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nswgov-my.sharepoint.com/personal/maria_tortura_ipart_nsw_gov_au/Documents/Desktop/"/>
    </mc:Choice>
  </mc:AlternateContent>
  <xr:revisionPtr revIDLastSave="0" documentId="8_{FACB4B32-E456-4198-9416-A4F70A3A44D6}" xr6:coauthVersionLast="47" xr6:coauthVersionMax="47" xr10:uidLastSave="{00000000-0000-0000-0000-000000000000}"/>
  <bookViews>
    <workbookView xWindow="-110" yWindow="-110" windowWidth="19420" windowHeight="10420" tabRatio="722" firstSheet="2" activeTab="3" xr2:uid="{00000000-000D-0000-FFFF-FFFF00000000}"/>
  </bookViews>
  <sheets>
    <sheet name="Cover" sheetId="12" r:id="rId1"/>
    <sheet name="Journal of changes" sheetId="27" state="hidden" r:id="rId2"/>
    <sheet name="Summary of result" sheetId="25" r:id="rId3"/>
    <sheet name="MP Calculations" sheetId="20" r:id="rId4"/>
    <sheet name="General inputs" sheetId="15" r:id="rId5"/>
    <sheet name="Pre-1996 assets" sheetId="14" r:id="rId6"/>
    <sheet name="Post-1996 commissioned assets" sheetId="16" r:id="rId7"/>
    <sheet name="Uncommissioned assets" sheetId="17" r:id="rId8"/>
    <sheet name="ET inputs" sheetId="19" r:id="rId9"/>
    <sheet name="Reduction amount" sheetId="22" r:id="rId10"/>
    <sheet name="Headwork assets" sheetId="23" state="hidden" r:id="rId11"/>
    <sheet name="Scheme cost allocation" sheetId="26" r:id="rId12"/>
    <sheet name="Asset exclusions" sheetId="24" r:id="rId13"/>
  </sheets>
  <definedNames>
    <definedName name="_xlnm._FilterDatabase" localSheetId="6" hidden="1">'Post-1996 commissioned assets'!$A$21:$R$1998</definedName>
    <definedName name="_xlnm._FilterDatabase" localSheetId="5" hidden="1">'Pre-1996 assets'!$A$21:$R$792</definedName>
    <definedName name="_xlnm.Print_Area" localSheetId="0">Cover!$B$1:$E$100</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9" i="19" l="1"/>
  <c r="AL15" i="19"/>
  <c r="AI13" i="19"/>
  <c r="AI14" i="19"/>
  <c r="AI15" i="19"/>
  <c r="AI16" i="19"/>
  <c r="AI17" i="19"/>
  <c r="AI18" i="19"/>
  <c r="D69" i="19"/>
  <c r="D70" i="19"/>
  <c r="D71" i="19"/>
  <c r="D72" i="19"/>
  <c r="D73" i="19"/>
  <c r="D74" i="19"/>
  <c r="D75" i="19"/>
  <c r="D76" i="19"/>
  <c r="D77" i="19"/>
  <c r="D78" i="19"/>
  <c r="D79" i="19"/>
  <c r="D80" i="19"/>
  <c r="D81" i="19"/>
  <c r="D82" i="19"/>
  <c r="D83" i="19"/>
  <c r="D84" i="19"/>
  <c r="D85" i="19"/>
  <c r="D86" i="19"/>
  <c r="D87" i="19"/>
  <c r="D88" i="19"/>
  <c r="D89" i="19"/>
  <c r="D90" i="19"/>
  <c r="D91" i="19"/>
  <c r="D92" i="19"/>
  <c r="D93" i="19"/>
  <c r="D94" i="19"/>
  <c r="D95" i="19"/>
  <c r="D96" i="19"/>
  <c r="D97" i="19"/>
  <c r="D98" i="19"/>
  <c r="D99" i="19"/>
  <c r="D100" i="19"/>
  <c r="D101" i="19"/>
  <c r="D102" i="19"/>
  <c r="H39" i="20"/>
  <c r="H40" i="20"/>
  <c r="H41" i="20"/>
  <c r="H42" i="20"/>
  <c r="H43" i="20"/>
  <c r="H44" i="20"/>
  <c r="H45" i="20"/>
  <c r="H46" i="20"/>
  <c r="H47" i="20"/>
  <c r="H48" i="20"/>
  <c r="H49" i="20"/>
  <c r="H50" i="20"/>
  <c r="H51" i="20"/>
  <c r="H52" i="20"/>
  <c r="H53" i="20"/>
  <c r="H54" i="20"/>
  <c r="H55" i="20"/>
  <c r="H56" i="20"/>
  <c r="H57" i="20"/>
  <c r="H58" i="20"/>
  <c r="H59" i="20"/>
  <c r="H60" i="20"/>
  <c r="H61" i="20"/>
  <c r="H62" i="20"/>
  <c r="H63" i="20"/>
  <c r="H64" i="20"/>
  <c r="H65" i="20"/>
  <c r="H96" i="20"/>
  <c r="H97" i="20"/>
  <c r="H98" i="20"/>
  <c r="H99" i="20"/>
  <c r="H100" i="20"/>
  <c r="H101" i="20"/>
  <c r="H102" i="20"/>
  <c r="H103" i="20"/>
  <c r="H104" i="20"/>
  <c r="H105" i="20"/>
  <c r="H106" i="20"/>
  <c r="H107" i="20"/>
  <c r="H108" i="20"/>
  <c r="H109" i="20"/>
  <c r="H110" i="20"/>
  <c r="H111" i="20"/>
  <c r="H112" i="20"/>
  <c r="H113" i="20"/>
  <c r="H114" i="20"/>
  <c r="H115" i="20"/>
  <c r="H116" i="20"/>
  <c r="H117" i="20"/>
  <c r="H118" i="20"/>
  <c r="H119" i="20"/>
  <c r="H120" i="20"/>
  <c r="H121" i="20"/>
  <c r="H122" i="20"/>
  <c r="H123" i="20"/>
  <c r="H124" i="20"/>
  <c r="H125" i="20"/>
  <c r="H126" i="20"/>
  <c r="H127" i="20"/>
  <c r="H128" i="20"/>
  <c r="H129" i="20"/>
  <c r="F96" i="20"/>
  <c r="F97" i="20"/>
  <c r="F98" i="20"/>
  <c r="F99" i="20"/>
  <c r="F100" i="20"/>
  <c r="F101" i="20"/>
  <c r="F102" i="20"/>
  <c r="F103" i="20"/>
  <c r="F104" i="20"/>
  <c r="F105" i="20"/>
  <c r="F106" i="20"/>
  <c r="F107" i="20"/>
  <c r="F108" i="20"/>
  <c r="F109" i="20"/>
  <c r="F110" i="20"/>
  <c r="F111" i="20"/>
  <c r="F112" i="20"/>
  <c r="F113" i="20"/>
  <c r="F114" i="20"/>
  <c r="F115" i="20"/>
  <c r="F116" i="20"/>
  <c r="F117" i="20"/>
  <c r="F118" i="20"/>
  <c r="F119" i="20"/>
  <c r="F120" i="20"/>
  <c r="F121" i="20"/>
  <c r="F122" i="20"/>
  <c r="F123" i="20"/>
  <c r="F124" i="20"/>
  <c r="F125" i="20"/>
  <c r="F126" i="20"/>
  <c r="F127" i="20"/>
  <c r="F128" i="20"/>
  <c r="F129" i="20"/>
  <c r="L40" i="20"/>
  <c r="M40" i="20"/>
  <c r="L47" i="20"/>
  <c r="M47" i="20"/>
  <c r="L65" i="20"/>
  <c r="M65" i="20"/>
  <c r="L66" i="20"/>
  <c r="M66" i="20"/>
  <c r="L67" i="20"/>
  <c r="M67" i="20"/>
  <c r="L68" i="20"/>
  <c r="M68" i="20"/>
  <c r="L69" i="20"/>
  <c r="M69" i="20"/>
  <c r="L70" i="20"/>
  <c r="M70" i="20"/>
  <c r="L71" i="20"/>
  <c r="M71" i="20"/>
  <c r="L72" i="20"/>
  <c r="M72" i="20"/>
  <c r="L73" i="20"/>
  <c r="M73" i="20"/>
  <c r="L74" i="20"/>
  <c r="M74" i="20"/>
  <c r="L75" i="20"/>
  <c r="M75" i="20"/>
  <c r="L76" i="20"/>
  <c r="M76" i="20"/>
  <c r="L77" i="20"/>
  <c r="M77" i="20"/>
  <c r="L78" i="20"/>
  <c r="M78" i="20"/>
  <c r="L79" i="20"/>
  <c r="M79" i="20"/>
  <c r="L80" i="20"/>
  <c r="M80" i="20"/>
  <c r="L81" i="20"/>
  <c r="M81" i="20"/>
  <c r="L82" i="20"/>
  <c r="M82" i="20"/>
  <c r="L83" i="20"/>
  <c r="M83" i="20"/>
  <c r="L84" i="20"/>
  <c r="M84" i="20"/>
  <c r="L85" i="20"/>
  <c r="M85" i="20"/>
  <c r="L86" i="20"/>
  <c r="M86" i="20"/>
  <c r="L87" i="20"/>
  <c r="M87" i="20"/>
  <c r="L88" i="20"/>
  <c r="M88" i="20"/>
  <c r="L89" i="20"/>
  <c r="M89" i="20"/>
  <c r="L90" i="20"/>
  <c r="M90" i="20"/>
  <c r="L91" i="20"/>
  <c r="M91" i="20"/>
  <c r="L92" i="20"/>
  <c r="M92" i="20"/>
  <c r="L93" i="20"/>
  <c r="M93" i="20"/>
  <c r="L94" i="20"/>
  <c r="M94" i="20"/>
  <c r="L95" i="20"/>
  <c r="M95" i="20"/>
  <c r="L96" i="20"/>
  <c r="M96" i="20"/>
  <c r="L97" i="20"/>
  <c r="M97" i="20"/>
  <c r="L98" i="20"/>
  <c r="M98" i="20"/>
  <c r="L99" i="20"/>
  <c r="M99" i="20"/>
  <c r="L100" i="20"/>
  <c r="M100" i="20"/>
  <c r="L101" i="20"/>
  <c r="M101" i="20"/>
  <c r="L102" i="20"/>
  <c r="M102" i="20"/>
  <c r="L103" i="20"/>
  <c r="M103" i="20"/>
  <c r="L104" i="20"/>
  <c r="M104" i="20"/>
  <c r="L105" i="20"/>
  <c r="M105" i="20"/>
  <c r="L106" i="20"/>
  <c r="M106" i="20"/>
  <c r="L107" i="20"/>
  <c r="M107" i="20"/>
  <c r="L108" i="20"/>
  <c r="M108" i="20"/>
  <c r="L109" i="20"/>
  <c r="M109" i="20"/>
  <c r="L110" i="20"/>
  <c r="M110" i="20"/>
  <c r="L111" i="20"/>
  <c r="M111" i="20"/>
  <c r="L112" i="20"/>
  <c r="M112" i="20"/>
  <c r="L113" i="20"/>
  <c r="M113" i="20"/>
  <c r="L114" i="20"/>
  <c r="M114" i="20"/>
  <c r="L115" i="20"/>
  <c r="M115" i="20"/>
  <c r="L116" i="20"/>
  <c r="M116" i="20"/>
  <c r="L117" i="20"/>
  <c r="M117" i="20"/>
  <c r="L118" i="20"/>
  <c r="M118" i="20"/>
  <c r="L119" i="20"/>
  <c r="M119" i="20"/>
  <c r="L120" i="20"/>
  <c r="M120" i="20"/>
  <c r="L121" i="20"/>
  <c r="M121" i="20"/>
  <c r="L122" i="20"/>
  <c r="M122" i="20"/>
  <c r="L123" i="20"/>
  <c r="M123" i="20"/>
  <c r="L124" i="20"/>
  <c r="M124" i="20"/>
  <c r="L125" i="20"/>
  <c r="M125" i="20"/>
  <c r="L126" i="20"/>
  <c r="M126" i="20"/>
  <c r="L127" i="20"/>
  <c r="M127" i="20"/>
  <c r="L128" i="20"/>
  <c r="M128" i="20"/>
  <c r="L129" i="20"/>
  <c r="M129" i="20"/>
  <c r="G96" i="20"/>
  <c r="G97" i="20"/>
  <c r="G98" i="20"/>
  <c r="G99" i="20"/>
  <c r="G100" i="20"/>
  <c r="G101" i="20"/>
  <c r="G102" i="20"/>
  <c r="G103" i="20"/>
  <c r="G104" i="20"/>
  <c r="G105" i="20"/>
  <c r="G106" i="20"/>
  <c r="G107" i="20"/>
  <c r="G108" i="20"/>
  <c r="G109" i="20"/>
  <c r="G110" i="20"/>
  <c r="G111" i="20"/>
  <c r="G112" i="20"/>
  <c r="G113" i="20"/>
  <c r="G114" i="20"/>
  <c r="G115" i="20"/>
  <c r="G116" i="20"/>
  <c r="G117" i="20"/>
  <c r="G118" i="20"/>
  <c r="G119" i="20"/>
  <c r="G120" i="20"/>
  <c r="G121" i="20"/>
  <c r="G122" i="20"/>
  <c r="G123" i="20"/>
  <c r="G124" i="20"/>
  <c r="G125" i="20"/>
  <c r="G126" i="20"/>
  <c r="G127" i="20"/>
  <c r="G128" i="20"/>
  <c r="G129" i="20"/>
  <c r="N39" i="20"/>
  <c r="O39" i="20"/>
  <c r="N40" i="20"/>
  <c r="O40" i="20"/>
  <c r="N41" i="20"/>
  <c r="O41" i="20"/>
  <c r="N42" i="20"/>
  <c r="O42" i="20"/>
  <c r="N43" i="20"/>
  <c r="O43" i="20"/>
  <c r="N44" i="20"/>
  <c r="O44" i="20"/>
  <c r="N45" i="20"/>
  <c r="O45" i="20"/>
  <c r="N46" i="20"/>
  <c r="O46" i="20"/>
  <c r="N47" i="20"/>
  <c r="O47" i="20"/>
  <c r="N48" i="20"/>
  <c r="O48" i="20"/>
  <c r="N49" i="20"/>
  <c r="O49" i="20"/>
  <c r="N50" i="20"/>
  <c r="O50" i="20"/>
  <c r="N51" i="20"/>
  <c r="O51" i="20"/>
  <c r="N52" i="20"/>
  <c r="O52" i="20"/>
  <c r="N53" i="20"/>
  <c r="O53" i="20"/>
  <c r="N54" i="20"/>
  <c r="O54" i="20"/>
  <c r="N55" i="20"/>
  <c r="O55" i="20"/>
  <c r="N56" i="20"/>
  <c r="O56" i="20"/>
  <c r="N57" i="20"/>
  <c r="O57" i="20"/>
  <c r="N58" i="20"/>
  <c r="O58" i="20"/>
  <c r="N59" i="20"/>
  <c r="O59" i="20"/>
  <c r="N60" i="20"/>
  <c r="O60" i="20"/>
  <c r="N61" i="20"/>
  <c r="O61" i="20"/>
  <c r="N62" i="20"/>
  <c r="O62" i="20"/>
  <c r="N63" i="20"/>
  <c r="O63" i="20"/>
  <c r="N64" i="20"/>
  <c r="O64" i="20"/>
  <c r="N65" i="20"/>
  <c r="O65" i="20"/>
  <c r="N66" i="20"/>
  <c r="O66" i="20"/>
  <c r="N67" i="20"/>
  <c r="O67" i="20"/>
  <c r="N68" i="20"/>
  <c r="O68" i="20"/>
  <c r="N69" i="20"/>
  <c r="O69" i="20"/>
  <c r="N70" i="20"/>
  <c r="O70" i="20"/>
  <c r="N71" i="20"/>
  <c r="O71" i="20"/>
  <c r="N72" i="20"/>
  <c r="O72" i="20"/>
  <c r="N73" i="20"/>
  <c r="O73" i="20"/>
  <c r="N74" i="20"/>
  <c r="O74" i="20"/>
  <c r="N75" i="20"/>
  <c r="O75" i="20"/>
  <c r="N76" i="20"/>
  <c r="O76" i="20"/>
  <c r="N77" i="20"/>
  <c r="O77" i="20"/>
  <c r="N78" i="20"/>
  <c r="O78" i="20"/>
  <c r="N79" i="20"/>
  <c r="O79" i="20"/>
  <c r="N80" i="20"/>
  <c r="O80" i="20"/>
  <c r="N81" i="20"/>
  <c r="O81" i="20"/>
  <c r="N82" i="20"/>
  <c r="O82" i="20"/>
  <c r="N83" i="20"/>
  <c r="O83" i="20"/>
  <c r="N84" i="20"/>
  <c r="O84" i="20"/>
  <c r="N85" i="20"/>
  <c r="O85" i="20"/>
  <c r="N86" i="20"/>
  <c r="O86" i="20"/>
  <c r="N87" i="20"/>
  <c r="O87" i="20"/>
  <c r="N88" i="20"/>
  <c r="O88" i="20"/>
  <c r="N89" i="20"/>
  <c r="O89" i="20"/>
  <c r="N90" i="20"/>
  <c r="O90" i="20"/>
  <c r="N91" i="20"/>
  <c r="O91" i="20"/>
  <c r="N92" i="20"/>
  <c r="O92" i="20"/>
  <c r="N93" i="20"/>
  <c r="O93" i="20"/>
  <c r="N94" i="20"/>
  <c r="O94" i="20"/>
  <c r="N95" i="20"/>
  <c r="O95" i="20"/>
  <c r="N96" i="20"/>
  <c r="O96" i="20"/>
  <c r="N97" i="20"/>
  <c r="O97" i="20"/>
  <c r="N98" i="20"/>
  <c r="O98" i="20"/>
  <c r="N99" i="20"/>
  <c r="O99" i="20"/>
  <c r="N100" i="20"/>
  <c r="O100" i="20"/>
  <c r="N101" i="20"/>
  <c r="O101" i="20"/>
  <c r="N102" i="20"/>
  <c r="O102" i="20"/>
  <c r="N103" i="20"/>
  <c r="O103" i="20"/>
  <c r="N104" i="20"/>
  <c r="O104" i="20"/>
  <c r="N105" i="20"/>
  <c r="O105" i="20"/>
  <c r="N106" i="20"/>
  <c r="O106" i="20"/>
  <c r="N107" i="20"/>
  <c r="O107" i="20"/>
  <c r="N108" i="20"/>
  <c r="O108" i="20"/>
  <c r="N109" i="20"/>
  <c r="O109" i="20"/>
  <c r="N110" i="20"/>
  <c r="O110" i="20"/>
  <c r="N111" i="20"/>
  <c r="O111" i="20"/>
  <c r="N112" i="20"/>
  <c r="O112" i="20"/>
  <c r="N113" i="20"/>
  <c r="O113" i="20"/>
  <c r="N114" i="20"/>
  <c r="O114" i="20"/>
  <c r="N115" i="20"/>
  <c r="O115" i="20"/>
  <c r="N116" i="20"/>
  <c r="O116" i="20"/>
  <c r="N117" i="20"/>
  <c r="O117" i="20"/>
  <c r="N118" i="20"/>
  <c r="O118" i="20"/>
  <c r="N119" i="20"/>
  <c r="O119" i="20"/>
  <c r="N120" i="20"/>
  <c r="O120" i="20"/>
  <c r="N121" i="20"/>
  <c r="O121" i="20"/>
  <c r="N122" i="20"/>
  <c r="O122" i="20"/>
  <c r="N123" i="20"/>
  <c r="O123" i="20"/>
  <c r="N124" i="20"/>
  <c r="O124" i="20"/>
  <c r="N125" i="20"/>
  <c r="O125" i="20"/>
  <c r="N126" i="20"/>
  <c r="O126" i="20"/>
  <c r="N127" i="20"/>
  <c r="O127" i="20"/>
  <c r="N128" i="20"/>
  <c r="O128" i="20"/>
  <c r="N129" i="20"/>
  <c r="O129" i="20"/>
  <c r="O29" i="20"/>
  <c r="K20" i="20"/>
  <c r="I19" i="17"/>
  <c r="O58" i="17"/>
  <c r="P58" i="17"/>
  <c r="O55" i="17"/>
  <c r="P55" i="17"/>
  <c r="J55" i="17"/>
  <c r="O46" i="17"/>
  <c r="O38" i="17"/>
  <c r="O39" i="17"/>
  <c r="O40" i="17"/>
  <c r="O41" i="17"/>
  <c r="O42" i="17"/>
  <c r="O43" i="17"/>
  <c r="O44" i="17"/>
  <c r="E40" i="17"/>
  <c r="E41" i="17"/>
  <c r="E44" i="17"/>
  <c r="O310" i="16"/>
  <c r="E310" i="16"/>
  <c r="F310" i="16"/>
  <c r="O309" i="16"/>
  <c r="E309" i="16"/>
  <c r="E302" i="16"/>
  <c r="E303" i="16"/>
  <c r="AO11" i="19"/>
  <c r="O57" i="17"/>
  <c r="E57" i="17"/>
  <c r="O317" i="16"/>
  <c r="O316" i="16"/>
  <c r="O315" i="16"/>
  <c r="O314" i="16"/>
  <c r="O313" i="16"/>
  <c r="O312" i="16"/>
  <c r="E317" i="16"/>
  <c r="E316" i="16"/>
  <c r="E315" i="16"/>
  <c r="E314" i="16"/>
  <c r="E313" i="16"/>
  <c r="E312" i="16"/>
  <c r="O48" i="17"/>
  <c r="O49" i="17"/>
  <c r="O50" i="17"/>
  <c r="O51" i="17"/>
  <c r="O52" i="17"/>
  <c r="O53" i="17"/>
  <c r="O54" i="17"/>
  <c r="E48" i="17"/>
  <c r="E49" i="17"/>
  <c r="E50" i="17"/>
  <c r="E51" i="17"/>
  <c r="E52" i="17"/>
  <c r="E53" i="17"/>
  <c r="E54" i="17"/>
  <c r="O23" i="17"/>
  <c r="O24" i="17"/>
  <c r="O25" i="17"/>
  <c r="O26" i="17"/>
  <c r="O27" i="17"/>
  <c r="O28" i="17"/>
  <c r="O29" i="17"/>
  <c r="O30" i="17"/>
  <c r="O31" i="17"/>
  <c r="O32" i="17"/>
  <c r="O33" i="17"/>
  <c r="O34" i="17"/>
  <c r="O35" i="17"/>
  <c r="O36" i="17"/>
  <c r="O37" i="17"/>
  <c r="E23" i="17"/>
  <c r="E24" i="17"/>
  <c r="E25" i="17"/>
  <c r="E26" i="17"/>
  <c r="E27" i="17"/>
  <c r="E28" i="17"/>
  <c r="E29" i="17"/>
  <c r="E30" i="17"/>
  <c r="E31" i="17"/>
  <c r="E32" i="17"/>
  <c r="E33" i="17"/>
  <c r="E34" i="17"/>
  <c r="O303" i="16"/>
  <c r="O304" i="16"/>
  <c r="O305" i="16"/>
  <c r="O306" i="16"/>
  <c r="O307" i="16"/>
  <c r="O308" i="16"/>
  <c r="E305" i="16"/>
  <c r="E306" i="16"/>
  <c r="E307" i="16"/>
  <c r="E308" i="16"/>
  <c r="E304" i="16"/>
  <c r="O286" i="16"/>
  <c r="O287" i="16"/>
  <c r="O288" i="16"/>
  <c r="O289" i="16"/>
  <c r="O290" i="16"/>
  <c r="O291" i="16"/>
  <c r="O292" i="16"/>
  <c r="O293" i="16"/>
  <c r="O294" i="16"/>
  <c r="O295" i="16"/>
  <c r="O296" i="16"/>
  <c r="O297" i="16"/>
  <c r="O298" i="16"/>
  <c r="O299" i="16"/>
  <c r="O300" i="16"/>
  <c r="O302" i="16"/>
  <c r="E285" i="16"/>
  <c r="E286" i="16"/>
  <c r="E287" i="16"/>
  <c r="E288" i="16"/>
  <c r="E289" i="16"/>
  <c r="E290" i="16"/>
  <c r="E291" i="16"/>
  <c r="E292" i="16"/>
  <c r="E293" i="16"/>
  <c r="E294" i="16"/>
  <c r="E295" i="16"/>
  <c r="E296" i="16"/>
  <c r="E297" i="16"/>
  <c r="E298" i="16"/>
  <c r="E299" i="16"/>
  <c r="E300"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59" i="16"/>
  <c r="O60" i="16"/>
  <c r="O61" i="16"/>
  <c r="O62" i="16"/>
  <c r="O63" i="16"/>
  <c r="O64" i="16"/>
  <c r="O65" i="16"/>
  <c r="O66" i="16"/>
  <c r="O67" i="16"/>
  <c r="O68" i="16"/>
  <c r="O69" i="16"/>
  <c r="O70" i="16"/>
  <c r="O71" i="16"/>
  <c r="O72" i="16"/>
  <c r="O73" i="16"/>
  <c r="O74" i="16"/>
  <c r="O75" i="16"/>
  <c r="O76" i="16"/>
  <c r="O77" i="16"/>
  <c r="O78" i="16"/>
  <c r="O79" i="16"/>
  <c r="O80" i="16"/>
  <c r="O81" i="16"/>
  <c r="O82" i="16"/>
  <c r="O83" i="16"/>
  <c r="O84" i="16"/>
  <c r="O85" i="16"/>
  <c r="O86" i="16"/>
  <c r="O87" i="16"/>
  <c r="O88" i="16"/>
  <c r="O89" i="16"/>
  <c r="O90" i="16"/>
  <c r="O91" i="16"/>
  <c r="O92" i="16"/>
  <c r="O93" i="16"/>
  <c r="O94" i="16"/>
  <c r="O95" i="16"/>
  <c r="O96" i="16"/>
  <c r="O97" i="16"/>
  <c r="O98" i="16"/>
  <c r="O99" i="16"/>
  <c r="O100" i="16"/>
  <c r="O101" i="16"/>
  <c r="O102" i="16"/>
  <c r="O103" i="16"/>
  <c r="O104" i="16"/>
  <c r="O105" i="16"/>
  <c r="O106" i="16"/>
  <c r="O107" i="16"/>
  <c r="O108" i="16"/>
  <c r="O109" i="16"/>
  <c r="O110" i="16"/>
  <c r="O111" i="16"/>
  <c r="O112" i="16"/>
  <c r="O113" i="16"/>
  <c r="O114" i="16"/>
  <c r="O115" i="16"/>
  <c r="O116" i="16"/>
  <c r="O117" i="16"/>
  <c r="O118" i="16"/>
  <c r="O119" i="16"/>
  <c r="O120" i="16"/>
  <c r="O121" i="16"/>
  <c r="O122" i="16"/>
  <c r="O123" i="16"/>
  <c r="O124" i="16"/>
  <c r="O125" i="16"/>
  <c r="O126" i="16"/>
  <c r="O127" i="16"/>
  <c r="O128" i="16"/>
  <c r="O129" i="16"/>
  <c r="O130" i="16"/>
  <c r="O131" i="16"/>
  <c r="O132" i="16"/>
  <c r="O133" i="16"/>
  <c r="O134" i="16"/>
  <c r="O135" i="16"/>
  <c r="O136" i="16"/>
  <c r="O137" i="16"/>
  <c r="O138" i="16"/>
  <c r="O139" i="16"/>
  <c r="O140" i="16"/>
  <c r="O141" i="16"/>
  <c r="O142" i="16"/>
  <c r="O143" i="16"/>
  <c r="O144" i="16"/>
  <c r="O145" i="16"/>
  <c r="O146" i="16"/>
  <c r="O147" i="16"/>
  <c r="O148" i="16"/>
  <c r="O149" i="16"/>
  <c r="O150" i="16"/>
  <c r="O151" i="16"/>
  <c r="O152" i="16"/>
  <c r="O153" i="16"/>
  <c r="O154" i="16"/>
  <c r="O155" i="16"/>
  <c r="O156" i="16"/>
  <c r="O157" i="16"/>
  <c r="O158" i="16"/>
  <c r="O159" i="16"/>
  <c r="O160" i="16"/>
  <c r="O161" i="16"/>
  <c r="O162" i="16"/>
  <c r="O163" i="16"/>
  <c r="O164" i="16"/>
  <c r="O165" i="16"/>
  <c r="O166" i="16"/>
  <c r="O167" i="16"/>
  <c r="O168" i="16"/>
  <c r="O169" i="16"/>
  <c r="O170" i="16"/>
  <c r="O171" i="16"/>
  <c r="O172" i="16"/>
  <c r="O173" i="16"/>
  <c r="O174" i="16"/>
  <c r="O175" i="16"/>
  <c r="O176" i="16"/>
  <c r="O177" i="16"/>
  <c r="O178" i="16"/>
  <c r="O179" i="16"/>
  <c r="O180" i="16"/>
  <c r="O181" i="16"/>
  <c r="O182" i="16"/>
  <c r="O183" i="16"/>
  <c r="O184" i="16"/>
  <c r="O185" i="16"/>
  <c r="O186" i="16"/>
  <c r="O187" i="16"/>
  <c r="O188" i="16"/>
  <c r="O189" i="16"/>
  <c r="O190" i="16"/>
  <c r="O191" i="16"/>
  <c r="O192" i="16"/>
  <c r="O193" i="16"/>
  <c r="O194" i="16"/>
  <c r="O195" i="16"/>
  <c r="O196" i="16"/>
  <c r="O197" i="16"/>
  <c r="O198" i="16"/>
  <c r="O199" i="16"/>
  <c r="O200" i="16"/>
  <c r="O201" i="16"/>
  <c r="O202" i="16"/>
  <c r="O203" i="16"/>
  <c r="O204" i="16"/>
  <c r="O205" i="16"/>
  <c r="O206" i="16"/>
  <c r="O207" i="16"/>
  <c r="O208" i="16"/>
  <c r="O209" i="16"/>
  <c r="O210" i="16"/>
  <c r="O211" i="16"/>
  <c r="O212" i="16"/>
  <c r="O213" i="16"/>
  <c r="O214" i="16"/>
  <c r="O215" i="16"/>
  <c r="O216" i="16"/>
  <c r="O217" i="16"/>
  <c r="O218" i="16"/>
  <c r="O219" i="16"/>
  <c r="O220" i="16"/>
  <c r="O221" i="16"/>
  <c r="O222" i="16"/>
  <c r="O223" i="16"/>
  <c r="O224" i="16"/>
  <c r="O225" i="16"/>
  <c r="O226" i="16"/>
  <c r="O227" i="16"/>
  <c r="O228" i="16"/>
  <c r="O229" i="16"/>
  <c r="O230" i="16"/>
  <c r="O231" i="16"/>
  <c r="O232" i="16"/>
  <c r="O233" i="16"/>
  <c r="O234" i="16"/>
  <c r="O235" i="16"/>
  <c r="O236" i="16"/>
  <c r="O237" i="16"/>
  <c r="O238" i="16"/>
  <c r="O239" i="16"/>
  <c r="O240" i="16"/>
  <c r="O241" i="16"/>
  <c r="O242" i="16"/>
  <c r="O243" i="16"/>
  <c r="O244" i="16"/>
  <c r="O245" i="16"/>
  <c r="O246" i="16"/>
  <c r="O247" i="16"/>
  <c r="O248" i="16"/>
  <c r="O249" i="16"/>
  <c r="O250" i="16"/>
  <c r="O251" i="16"/>
  <c r="O252" i="16"/>
  <c r="O253" i="16"/>
  <c r="O254" i="16"/>
  <c r="O255" i="16"/>
  <c r="O256" i="16"/>
  <c r="O257" i="16"/>
  <c r="O258" i="16"/>
  <c r="O259" i="16"/>
  <c r="O260" i="16"/>
  <c r="O261" i="16"/>
  <c r="O262" i="16"/>
  <c r="O263" i="16"/>
  <c r="O264" i="16"/>
  <c r="O265" i="16"/>
  <c r="O266" i="16"/>
  <c r="O267" i="16"/>
  <c r="O268" i="16"/>
  <c r="O269" i="16"/>
  <c r="O270" i="16"/>
  <c r="O271" i="16"/>
  <c r="O272" i="16"/>
  <c r="O273" i="16"/>
  <c r="O274" i="16"/>
  <c r="O275" i="16"/>
  <c r="O276" i="16"/>
  <c r="O277" i="16"/>
  <c r="O278" i="16"/>
  <c r="O279" i="16"/>
  <c r="O280" i="16"/>
  <c r="O281" i="16"/>
  <c r="O282" i="16"/>
  <c r="O283" i="16"/>
  <c r="O285" i="16"/>
  <c r="O23"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08" i="16"/>
  <c r="E109" i="16"/>
  <c r="E110" i="16"/>
  <c r="E111" i="16"/>
  <c r="E112" i="16"/>
  <c r="E113" i="16"/>
  <c r="E114" i="16"/>
  <c r="E115" i="16"/>
  <c r="E116" i="16"/>
  <c r="E117" i="16"/>
  <c r="E118" i="16"/>
  <c r="E119" i="16"/>
  <c r="E120" i="16"/>
  <c r="E121" i="16"/>
  <c r="E122" i="16"/>
  <c r="E123" i="16"/>
  <c r="E124" i="16"/>
  <c r="E125" i="16"/>
  <c r="E126" i="16"/>
  <c r="E127" i="16"/>
  <c r="E128" i="16"/>
  <c r="E129" i="16"/>
  <c r="E130" i="16"/>
  <c r="E131" i="16"/>
  <c r="E132" i="16"/>
  <c r="E133" i="16"/>
  <c r="E134" i="16"/>
  <c r="E135" i="16"/>
  <c r="E136" i="16"/>
  <c r="E137" i="16"/>
  <c r="E138" i="16"/>
  <c r="E139" i="16"/>
  <c r="E140" i="16"/>
  <c r="E141" i="16"/>
  <c r="E142" i="16"/>
  <c r="E143" i="16"/>
  <c r="E144" i="16"/>
  <c r="E145" i="16"/>
  <c r="E146" i="16"/>
  <c r="E147" i="16"/>
  <c r="E148" i="16"/>
  <c r="E149" i="16"/>
  <c r="E150" i="16"/>
  <c r="E151" i="16"/>
  <c r="E152" i="16"/>
  <c r="E153" i="16"/>
  <c r="E154" i="16"/>
  <c r="E155" i="16"/>
  <c r="E156" i="16"/>
  <c r="E157" i="16"/>
  <c r="E158" i="16"/>
  <c r="E159" i="16"/>
  <c r="E160" i="16"/>
  <c r="E161" i="16"/>
  <c r="E162" i="16"/>
  <c r="E163" i="16"/>
  <c r="E164" i="16"/>
  <c r="E165" i="16"/>
  <c r="E166" i="16"/>
  <c r="E167" i="16"/>
  <c r="E168" i="16"/>
  <c r="E169" i="16"/>
  <c r="E170" i="16"/>
  <c r="E171" i="16"/>
  <c r="E172" i="16"/>
  <c r="E173" i="16"/>
  <c r="E174" i="16"/>
  <c r="E175" i="16"/>
  <c r="E176" i="16"/>
  <c r="E177" i="16"/>
  <c r="E178" i="16"/>
  <c r="E179" i="16"/>
  <c r="E180" i="16"/>
  <c r="E181" i="16"/>
  <c r="E182" i="16"/>
  <c r="E183" i="16"/>
  <c r="E184" i="16"/>
  <c r="E185" i="16"/>
  <c r="E186" i="16"/>
  <c r="E187" i="16"/>
  <c r="E188" i="16"/>
  <c r="E189" i="16"/>
  <c r="E190" i="16"/>
  <c r="E191" i="16"/>
  <c r="E192" i="16"/>
  <c r="E193" i="16"/>
  <c r="E194" i="16"/>
  <c r="E195" i="16"/>
  <c r="E196" i="16"/>
  <c r="E197" i="16"/>
  <c r="E198" i="16"/>
  <c r="E199" i="16"/>
  <c r="E200" i="16"/>
  <c r="E201" i="16"/>
  <c r="E202" i="16"/>
  <c r="E203" i="16"/>
  <c r="E204" i="16"/>
  <c r="E205" i="16"/>
  <c r="E206" i="16"/>
  <c r="E207" i="16"/>
  <c r="E208" i="16"/>
  <c r="E209" i="16"/>
  <c r="E210" i="16"/>
  <c r="E211" i="16"/>
  <c r="E212" i="16"/>
  <c r="E213" i="16"/>
  <c r="E214" i="16"/>
  <c r="E215" i="16"/>
  <c r="E216" i="16"/>
  <c r="E217" i="16"/>
  <c r="E218" i="16"/>
  <c r="E219" i="16"/>
  <c r="E220" i="16"/>
  <c r="E221" i="16"/>
  <c r="E222" i="16"/>
  <c r="E223" i="16"/>
  <c r="E224" i="16"/>
  <c r="E225" i="16"/>
  <c r="E226" i="16"/>
  <c r="E227" i="16"/>
  <c r="E228" i="16"/>
  <c r="E229" i="16"/>
  <c r="E230" i="16"/>
  <c r="E231" i="16"/>
  <c r="E232" i="16"/>
  <c r="E233" i="16"/>
  <c r="E234" i="16"/>
  <c r="E235" i="16"/>
  <c r="E236" i="16"/>
  <c r="E237" i="16"/>
  <c r="E238" i="16"/>
  <c r="E239" i="16"/>
  <c r="E240" i="16"/>
  <c r="E241" i="16"/>
  <c r="E242" i="16"/>
  <c r="E243" i="16"/>
  <c r="E244" i="16"/>
  <c r="E245" i="16"/>
  <c r="E246" i="16"/>
  <c r="E247" i="16"/>
  <c r="E248" i="16"/>
  <c r="E249" i="16"/>
  <c r="E250" i="16"/>
  <c r="E251" i="16"/>
  <c r="E252" i="16"/>
  <c r="E253" i="16"/>
  <c r="E254" i="16"/>
  <c r="E255" i="16"/>
  <c r="E256" i="16"/>
  <c r="E257" i="16"/>
  <c r="E258" i="16"/>
  <c r="E259" i="16"/>
  <c r="E260" i="16"/>
  <c r="E261" i="16"/>
  <c r="E262" i="16"/>
  <c r="E263" i="16"/>
  <c r="E264" i="16"/>
  <c r="E265" i="16"/>
  <c r="E266" i="16"/>
  <c r="E267" i="16"/>
  <c r="E268" i="16"/>
  <c r="E269" i="16"/>
  <c r="E270" i="16"/>
  <c r="E271" i="16"/>
  <c r="E272" i="16"/>
  <c r="E273" i="16"/>
  <c r="E274" i="16"/>
  <c r="E275" i="16"/>
  <c r="E276" i="16"/>
  <c r="E277" i="16"/>
  <c r="E278" i="16"/>
  <c r="E279" i="16"/>
  <c r="E280" i="16"/>
  <c r="E281" i="16"/>
  <c r="E282" i="16"/>
  <c r="E283" i="16"/>
  <c r="E38" i="16"/>
  <c r="E24" i="16"/>
  <c r="E25" i="16"/>
  <c r="E26" i="16"/>
  <c r="E27" i="16"/>
  <c r="E28" i="16"/>
  <c r="E29" i="16"/>
  <c r="E30" i="16"/>
  <c r="E31" i="16"/>
  <c r="E32" i="16"/>
  <c r="E33" i="16"/>
  <c r="E34" i="16"/>
  <c r="E35" i="16"/>
  <c r="E36" i="16"/>
  <c r="E37" i="16"/>
  <c r="E23" i="16"/>
  <c r="O403" i="14"/>
  <c r="O404" i="14"/>
  <c r="O405" i="14"/>
  <c r="O406" i="14"/>
  <c r="O407" i="14"/>
  <c r="O408" i="14"/>
  <c r="O409" i="14"/>
  <c r="O410" i="14"/>
  <c r="O411" i="14"/>
  <c r="O412" i="14"/>
  <c r="O413" i="14"/>
  <c r="O414" i="14"/>
  <c r="O415" i="14"/>
  <c r="O416" i="14"/>
  <c r="O417" i="14"/>
  <c r="O418" i="14"/>
  <c r="O419" i="14"/>
  <c r="O420" i="14"/>
  <c r="O421" i="14"/>
  <c r="O422" i="14"/>
  <c r="E403" i="14"/>
  <c r="E404" i="14"/>
  <c r="E405" i="14"/>
  <c r="E406" i="14"/>
  <c r="E407" i="14"/>
  <c r="E408" i="14"/>
  <c r="E409" i="14"/>
  <c r="E410" i="14"/>
  <c r="E411" i="14"/>
  <c r="E412" i="14"/>
  <c r="E413" i="14"/>
  <c r="E414" i="14"/>
  <c r="E415" i="14"/>
  <c r="E416" i="14"/>
  <c r="E417" i="14"/>
  <c r="E418" i="14"/>
  <c r="E419" i="14"/>
  <c r="E420" i="14"/>
  <c r="E421" i="14"/>
  <c r="E422" i="14"/>
  <c r="O385" i="14"/>
  <c r="O386" i="14"/>
  <c r="O387" i="14"/>
  <c r="O388" i="14"/>
  <c r="O389" i="14"/>
  <c r="O390" i="14"/>
  <c r="O391" i="14"/>
  <c r="O392" i="14"/>
  <c r="O393" i="14"/>
  <c r="O394" i="14"/>
  <c r="O395" i="14"/>
  <c r="O396" i="14"/>
  <c r="O397" i="14"/>
  <c r="O398" i="14"/>
  <c r="O399" i="14"/>
  <c r="O400" i="14"/>
  <c r="O401" i="14"/>
  <c r="E385" i="14"/>
  <c r="E386" i="14"/>
  <c r="E387" i="14"/>
  <c r="E388" i="14"/>
  <c r="E389" i="14"/>
  <c r="E390" i="14"/>
  <c r="E391" i="14"/>
  <c r="E392" i="14"/>
  <c r="E393" i="14"/>
  <c r="E394" i="14"/>
  <c r="E395" i="14"/>
  <c r="E396" i="14"/>
  <c r="E397" i="14"/>
  <c r="E398" i="14"/>
  <c r="E399" i="14"/>
  <c r="E400" i="14"/>
  <c r="E401" i="14"/>
  <c r="O24" i="14"/>
  <c r="O25" i="14"/>
  <c r="O26" i="14"/>
  <c r="O27" i="14"/>
  <c r="O28" i="14"/>
  <c r="O29" i="14"/>
  <c r="O30" i="14"/>
  <c r="O31" i="14"/>
  <c r="O32" i="14"/>
  <c r="O33" i="14"/>
  <c r="O34" i="14"/>
  <c r="O35" i="14"/>
  <c r="O36" i="14"/>
  <c r="O37" i="14"/>
  <c r="O38" i="14"/>
  <c r="O39" i="14"/>
  <c r="O40" i="14"/>
  <c r="O41" i="14"/>
  <c r="O42" i="14"/>
  <c r="O43" i="14"/>
  <c r="O44" i="14"/>
  <c r="O45" i="14"/>
  <c r="O46" i="14"/>
  <c r="O47" i="14"/>
  <c r="O48" i="14"/>
  <c r="O49" i="14"/>
  <c r="O50" i="14"/>
  <c r="O51" i="14"/>
  <c r="O52" i="14"/>
  <c r="O53" i="14"/>
  <c r="O54" i="14"/>
  <c r="O55" i="14"/>
  <c r="O56" i="14"/>
  <c r="O57" i="14"/>
  <c r="O58" i="14"/>
  <c r="O59" i="14"/>
  <c r="O60" i="14"/>
  <c r="O61" i="14"/>
  <c r="O62" i="14"/>
  <c r="O63" i="14"/>
  <c r="O64" i="14"/>
  <c r="O65" i="14"/>
  <c r="O66" i="14"/>
  <c r="O67" i="14"/>
  <c r="O68" i="14"/>
  <c r="O69" i="14"/>
  <c r="O70" i="14"/>
  <c r="O71" i="14"/>
  <c r="O72" i="14"/>
  <c r="O73" i="14"/>
  <c r="O74" i="14"/>
  <c r="O75" i="14"/>
  <c r="O76" i="14"/>
  <c r="O77" i="14"/>
  <c r="O78" i="14"/>
  <c r="O79" i="14"/>
  <c r="O80" i="14"/>
  <c r="O81" i="14"/>
  <c r="O82" i="14"/>
  <c r="O83" i="14"/>
  <c r="O84" i="14"/>
  <c r="O85" i="14"/>
  <c r="O86" i="14"/>
  <c r="O87" i="14"/>
  <c r="O88" i="14"/>
  <c r="O89" i="14"/>
  <c r="O90" i="14"/>
  <c r="O91" i="14"/>
  <c r="O92" i="14"/>
  <c r="O93" i="14"/>
  <c r="O94" i="14"/>
  <c r="O95" i="14"/>
  <c r="O96" i="14"/>
  <c r="O97" i="14"/>
  <c r="O98" i="14"/>
  <c r="O99" i="14"/>
  <c r="O100" i="14"/>
  <c r="O101" i="14"/>
  <c r="O102" i="14"/>
  <c r="O103" i="14"/>
  <c r="O104" i="14"/>
  <c r="O105" i="14"/>
  <c r="O106" i="14"/>
  <c r="O107" i="14"/>
  <c r="O108" i="14"/>
  <c r="O109" i="14"/>
  <c r="O110" i="14"/>
  <c r="O111" i="14"/>
  <c r="O112" i="14"/>
  <c r="O113" i="14"/>
  <c r="O114" i="14"/>
  <c r="O115" i="14"/>
  <c r="O116" i="14"/>
  <c r="O117" i="14"/>
  <c r="O118" i="14"/>
  <c r="O119" i="14"/>
  <c r="O120" i="14"/>
  <c r="O121" i="14"/>
  <c r="O122" i="14"/>
  <c r="O123" i="14"/>
  <c r="O124" i="14"/>
  <c r="O125" i="14"/>
  <c r="O126" i="14"/>
  <c r="O127" i="14"/>
  <c r="O128" i="14"/>
  <c r="O129" i="14"/>
  <c r="O130" i="14"/>
  <c r="O131" i="14"/>
  <c r="O132" i="14"/>
  <c r="O133" i="14"/>
  <c r="O134" i="14"/>
  <c r="O135" i="14"/>
  <c r="O136" i="14"/>
  <c r="O137" i="14"/>
  <c r="O138" i="14"/>
  <c r="O139" i="14"/>
  <c r="O140" i="14"/>
  <c r="O141" i="14"/>
  <c r="O142" i="14"/>
  <c r="O143" i="14"/>
  <c r="O144" i="14"/>
  <c r="O145" i="14"/>
  <c r="O146" i="14"/>
  <c r="O147" i="14"/>
  <c r="O148" i="14"/>
  <c r="O149" i="14"/>
  <c r="O150" i="14"/>
  <c r="O151" i="14"/>
  <c r="O152" i="14"/>
  <c r="O153" i="14"/>
  <c r="O154" i="14"/>
  <c r="O155" i="14"/>
  <c r="O156" i="14"/>
  <c r="O157" i="14"/>
  <c r="O158" i="14"/>
  <c r="O159" i="14"/>
  <c r="O160" i="14"/>
  <c r="O161" i="14"/>
  <c r="O162" i="14"/>
  <c r="O163" i="14"/>
  <c r="O164" i="14"/>
  <c r="O165" i="14"/>
  <c r="O166" i="14"/>
  <c r="O167" i="14"/>
  <c r="O168" i="14"/>
  <c r="O169" i="14"/>
  <c r="O170" i="14"/>
  <c r="O171" i="14"/>
  <c r="O172" i="14"/>
  <c r="O173" i="14"/>
  <c r="O174" i="14"/>
  <c r="O175" i="14"/>
  <c r="O176" i="14"/>
  <c r="O177" i="14"/>
  <c r="O178" i="14"/>
  <c r="O179" i="14"/>
  <c r="O180" i="14"/>
  <c r="O181" i="14"/>
  <c r="O182" i="14"/>
  <c r="O183" i="14"/>
  <c r="O184" i="14"/>
  <c r="O185" i="14"/>
  <c r="O186" i="14"/>
  <c r="O187" i="14"/>
  <c r="O188" i="14"/>
  <c r="O189" i="14"/>
  <c r="O190" i="14"/>
  <c r="O191" i="14"/>
  <c r="O192" i="14"/>
  <c r="O193" i="14"/>
  <c r="O194" i="14"/>
  <c r="O195" i="14"/>
  <c r="O196" i="14"/>
  <c r="O197" i="14"/>
  <c r="O198" i="14"/>
  <c r="O199" i="14"/>
  <c r="O200" i="14"/>
  <c r="O201" i="14"/>
  <c r="O202" i="14"/>
  <c r="O203" i="14"/>
  <c r="O204" i="14"/>
  <c r="O205" i="14"/>
  <c r="O206" i="14"/>
  <c r="O207" i="14"/>
  <c r="O208" i="14"/>
  <c r="O209" i="14"/>
  <c r="O210" i="14"/>
  <c r="O211" i="14"/>
  <c r="O212" i="14"/>
  <c r="O213" i="14"/>
  <c r="O214" i="14"/>
  <c r="O215" i="14"/>
  <c r="O216" i="14"/>
  <c r="O217" i="14"/>
  <c r="O218" i="14"/>
  <c r="O219" i="14"/>
  <c r="O220" i="14"/>
  <c r="O221" i="14"/>
  <c r="O222" i="14"/>
  <c r="O223" i="14"/>
  <c r="O224" i="14"/>
  <c r="O225" i="14"/>
  <c r="O226" i="14"/>
  <c r="O227" i="14"/>
  <c r="O228" i="14"/>
  <c r="O229" i="14"/>
  <c r="O230" i="14"/>
  <c r="O231" i="14"/>
  <c r="O232" i="14"/>
  <c r="O233" i="14"/>
  <c r="O234" i="14"/>
  <c r="O235" i="14"/>
  <c r="O236" i="14"/>
  <c r="O237" i="14"/>
  <c r="O238" i="14"/>
  <c r="O239" i="14"/>
  <c r="O240" i="14"/>
  <c r="O241" i="14"/>
  <c r="O242" i="14"/>
  <c r="O243" i="14"/>
  <c r="O244" i="14"/>
  <c r="O245" i="14"/>
  <c r="O246" i="14"/>
  <c r="O247" i="14"/>
  <c r="O248" i="14"/>
  <c r="O249" i="14"/>
  <c r="O250" i="14"/>
  <c r="O251" i="14"/>
  <c r="O252" i="14"/>
  <c r="O253" i="14"/>
  <c r="O254" i="14"/>
  <c r="O255" i="14"/>
  <c r="O256" i="14"/>
  <c r="O257" i="14"/>
  <c r="O258" i="14"/>
  <c r="O259" i="14"/>
  <c r="O260" i="14"/>
  <c r="O261" i="14"/>
  <c r="O262" i="14"/>
  <c r="O263" i="14"/>
  <c r="O264" i="14"/>
  <c r="O265" i="14"/>
  <c r="O266" i="14"/>
  <c r="O267" i="14"/>
  <c r="O268" i="14"/>
  <c r="O269" i="14"/>
  <c r="O270" i="14"/>
  <c r="O271" i="14"/>
  <c r="O272" i="14"/>
  <c r="O273" i="14"/>
  <c r="O274" i="14"/>
  <c r="O275" i="14"/>
  <c r="O276" i="14"/>
  <c r="O277" i="14"/>
  <c r="O278" i="14"/>
  <c r="O279" i="14"/>
  <c r="O280" i="14"/>
  <c r="O281" i="14"/>
  <c r="O282" i="14"/>
  <c r="O283" i="14"/>
  <c r="O284" i="14"/>
  <c r="O285" i="14"/>
  <c r="O286" i="14"/>
  <c r="O287" i="14"/>
  <c r="O288" i="14"/>
  <c r="O289" i="14"/>
  <c r="O290" i="14"/>
  <c r="O291" i="14"/>
  <c r="O292" i="14"/>
  <c r="O293" i="14"/>
  <c r="O294" i="14"/>
  <c r="O295" i="14"/>
  <c r="O296" i="14"/>
  <c r="O297" i="14"/>
  <c r="O298" i="14"/>
  <c r="O299" i="14"/>
  <c r="O300" i="14"/>
  <c r="O301" i="14"/>
  <c r="O302" i="14"/>
  <c r="O303" i="14"/>
  <c r="O304" i="14"/>
  <c r="O305" i="14"/>
  <c r="O306" i="14"/>
  <c r="O307" i="14"/>
  <c r="O308" i="14"/>
  <c r="O309" i="14"/>
  <c r="O310" i="14"/>
  <c r="O311" i="14"/>
  <c r="O312" i="14"/>
  <c r="O313" i="14"/>
  <c r="O314" i="14"/>
  <c r="O315" i="14"/>
  <c r="O316" i="14"/>
  <c r="O317" i="14"/>
  <c r="O318" i="14"/>
  <c r="O319" i="14"/>
  <c r="O320" i="14"/>
  <c r="O321" i="14"/>
  <c r="O322" i="14"/>
  <c r="O323" i="14"/>
  <c r="O324" i="14"/>
  <c r="O325" i="14"/>
  <c r="O326" i="14"/>
  <c r="O327" i="14"/>
  <c r="O328" i="14"/>
  <c r="O329" i="14"/>
  <c r="O330" i="14"/>
  <c r="O331" i="14"/>
  <c r="O332" i="14"/>
  <c r="O333" i="14"/>
  <c r="O334" i="14"/>
  <c r="O335" i="14"/>
  <c r="O336" i="14"/>
  <c r="O337" i="14"/>
  <c r="O338" i="14"/>
  <c r="O339" i="14"/>
  <c r="O340" i="14"/>
  <c r="O341" i="14"/>
  <c r="O342" i="14"/>
  <c r="O343" i="14"/>
  <c r="O344" i="14"/>
  <c r="O345" i="14"/>
  <c r="O346" i="14"/>
  <c r="O347" i="14"/>
  <c r="O348" i="14"/>
  <c r="O349" i="14"/>
  <c r="O350" i="14"/>
  <c r="O351" i="14"/>
  <c r="O352" i="14"/>
  <c r="O353" i="14"/>
  <c r="O354" i="14"/>
  <c r="O355" i="14"/>
  <c r="O356" i="14"/>
  <c r="O357" i="14"/>
  <c r="O358" i="14"/>
  <c r="O359" i="14"/>
  <c r="O360" i="14"/>
  <c r="O361" i="14"/>
  <c r="O362" i="14"/>
  <c r="O363" i="14"/>
  <c r="O364" i="14"/>
  <c r="O365" i="14"/>
  <c r="O366" i="14"/>
  <c r="O367" i="14"/>
  <c r="O368" i="14"/>
  <c r="O369" i="14"/>
  <c r="O370" i="14"/>
  <c r="O371" i="14"/>
  <c r="O372" i="14"/>
  <c r="O373" i="14"/>
  <c r="O374" i="14"/>
  <c r="O375" i="14"/>
  <c r="O376" i="14"/>
  <c r="O377" i="14"/>
  <c r="O378" i="14"/>
  <c r="O379" i="14"/>
  <c r="O380" i="14"/>
  <c r="O381" i="14"/>
  <c r="O382" i="14"/>
  <c r="O383" i="14"/>
  <c r="O23" i="14"/>
  <c r="E383" i="14"/>
  <c r="E382" i="14"/>
  <c r="E381" i="14"/>
  <c r="E380" i="14"/>
  <c r="E379" i="14"/>
  <c r="E378" i="14"/>
  <c r="E377" i="14"/>
  <c r="E376" i="14"/>
  <c r="E375" i="14"/>
  <c r="E374" i="14"/>
  <c r="E373" i="14"/>
  <c r="E372" i="14"/>
  <c r="E371" i="14"/>
  <c r="E370" i="14"/>
  <c r="E369" i="14"/>
  <c r="E368" i="14"/>
  <c r="E367" i="14"/>
  <c r="E366" i="14"/>
  <c r="E365" i="14"/>
  <c r="E364" i="14"/>
  <c r="E363" i="14"/>
  <c r="E362" i="14"/>
  <c r="E361" i="14"/>
  <c r="E360" i="14"/>
  <c r="E359" i="14"/>
  <c r="E358" i="14"/>
  <c r="E357" i="14"/>
  <c r="E356" i="14"/>
  <c r="E355" i="14"/>
  <c r="E354" i="14"/>
  <c r="E353" i="14"/>
  <c r="E352" i="14"/>
  <c r="E351" i="14"/>
  <c r="E350" i="14"/>
  <c r="E349" i="14"/>
  <c r="E348" i="14"/>
  <c r="E347" i="14"/>
  <c r="E346" i="14"/>
  <c r="E345" i="14"/>
  <c r="E344" i="14"/>
  <c r="E343" i="14"/>
  <c r="E342" i="14"/>
  <c r="E341" i="14"/>
  <c r="E340" i="14"/>
  <c r="E339" i="14"/>
  <c r="E338" i="14"/>
  <c r="E337" i="14"/>
  <c r="E336" i="14"/>
  <c r="E335" i="14"/>
  <c r="E334" i="14"/>
  <c r="E333" i="14"/>
  <c r="E332" i="14"/>
  <c r="E331" i="14"/>
  <c r="E330" i="14"/>
  <c r="E329" i="14"/>
  <c r="E328" i="14"/>
  <c r="E327" i="14"/>
  <c r="E326" i="14"/>
  <c r="E325" i="14"/>
  <c r="E324" i="14"/>
  <c r="E323" i="14"/>
  <c r="E322" i="14"/>
  <c r="E321" i="14"/>
  <c r="E320" i="14"/>
  <c r="E319" i="14"/>
  <c r="E318" i="14"/>
  <c r="E317" i="14"/>
  <c r="E316" i="14"/>
  <c r="E315" i="14"/>
  <c r="E314" i="14"/>
  <c r="E313" i="14"/>
  <c r="E312" i="14"/>
  <c r="E311" i="14"/>
  <c r="E310" i="14"/>
  <c r="E309" i="14"/>
  <c r="E308" i="14"/>
  <c r="E307" i="14"/>
  <c r="E306" i="14"/>
  <c r="E305" i="14"/>
  <c r="E304" i="14"/>
  <c r="E303" i="14"/>
  <c r="E302" i="14"/>
  <c r="E301" i="14"/>
  <c r="E300" i="14"/>
  <c r="E299" i="14"/>
  <c r="E298" i="14"/>
  <c r="E297" i="14"/>
  <c r="E296" i="14"/>
  <c r="E295" i="14"/>
  <c r="E294" i="14"/>
  <c r="E293" i="14"/>
  <c r="E292" i="14"/>
  <c r="E291" i="14"/>
  <c r="E290" i="14"/>
  <c r="E289" i="14"/>
  <c r="E288" i="14"/>
  <c r="E287" i="14"/>
  <c r="E286" i="14"/>
  <c r="E285" i="14"/>
  <c r="E284" i="14"/>
  <c r="E283" i="14"/>
  <c r="E282" i="14"/>
  <c r="E281" i="14"/>
  <c r="E280" i="14"/>
  <c r="E279" i="14"/>
  <c r="E278" i="14"/>
  <c r="E277" i="14"/>
  <c r="E276" i="14"/>
  <c r="E275" i="14"/>
  <c r="E274" i="14"/>
  <c r="E273" i="14"/>
  <c r="E272" i="14"/>
  <c r="E271" i="14"/>
  <c r="E270" i="14"/>
  <c r="E269" i="14"/>
  <c r="E268" i="14"/>
  <c r="E267" i="14"/>
  <c r="E266" i="14"/>
  <c r="E265" i="14"/>
  <c r="E264" i="14"/>
  <c r="E263" i="14"/>
  <c r="E262" i="14"/>
  <c r="E261" i="14"/>
  <c r="E260" i="14"/>
  <c r="E259" i="14"/>
  <c r="E258" i="14"/>
  <c r="E257" i="14"/>
  <c r="E256" i="14"/>
  <c r="E255" i="14"/>
  <c r="E254" i="14"/>
  <c r="E253" i="14"/>
  <c r="E252" i="14"/>
  <c r="E251" i="14"/>
  <c r="E250" i="14"/>
  <c r="E249" i="14"/>
  <c r="E248" i="14"/>
  <c r="E247" i="14"/>
  <c r="E246" i="14"/>
  <c r="E245" i="14"/>
  <c r="E244" i="14"/>
  <c r="E243" i="14"/>
  <c r="E242" i="14"/>
  <c r="E241" i="14"/>
  <c r="E240" i="14"/>
  <c r="E239" i="14"/>
  <c r="E238" i="14"/>
  <c r="E237" i="14"/>
  <c r="E236" i="14"/>
  <c r="E235" i="14"/>
  <c r="E234" i="14"/>
  <c r="E233" i="14"/>
  <c r="E232" i="14"/>
  <c r="E231" i="14"/>
  <c r="E230" i="14"/>
  <c r="E229" i="14"/>
  <c r="E228" i="14"/>
  <c r="E227" i="14"/>
  <c r="E226" i="14"/>
  <c r="E225" i="14"/>
  <c r="E224" i="14"/>
  <c r="E223" i="14"/>
  <c r="E222" i="14"/>
  <c r="E221" i="14"/>
  <c r="E220" i="14"/>
  <c r="E219" i="14"/>
  <c r="E218" i="14"/>
  <c r="E217" i="14"/>
  <c r="E216" i="14"/>
  <c r="E215" i="14"/>
  <c r="E214" i="14"/>
  <c r="E213" i="14"/>
  <c r="E212" i="14"/>
  <c r="E211" i="14"/>
  <c r="E210" i="14"/>
  <c r="E209" i="14"/>
  <c r="E208" i="14"/>
  <c r="E207" i="14"/>
  <c r="E206" i="14"/>
  <c r="E205" i="14"/>
  <c r="E204" i="14"/>
  <c r="E203" i="14"/>
  <c r="E202" i="14"/>
  <c r="E201" i="14"/>
  <c r="E200" i="14"/>
  <c r="E199" i="14"/>
  <c r="E198" i="14"/>
  <c r="E197" i="14"/>
  <c r="E196" i="14"/>
  <c r="E195" i="14"/>
  <c r="E194" i="14"/>
  <c r="E193" i="14"/>
  <c r="E192" i="14"/>
  <c r="E191" i="14"/>
  <c r="E190" i="14"/>
  <c r="E189" i="14"/>
  <c r="E188" i="14"/>
  <c r="E187" i="14"/>
  <c r="E186" i="14"/>
  <c r="E185" i="14"/>
  <c r="E184" i="14"/>
  <c r="E183" i="14"/>
  <c r="E182" i="14"/>
  <c r="E181" i="14"/>
  <c r="E180" i="14"/>
  <c r="E179" i="14"/>
  <c r="E178" i="14"/>
  <c r="E177" i="14"/>
  <c r="E176" i="14"/>
  <c r="E175" i="14"/>
  <c r="E174" i="14"/>
  <c r="E173" i="14"/>
  <c r="E172" i="14"/>
  <c r="E171" i="14"/>
  <c r="E170" i="14"/>
  <c r="E169" i="14"/>
  <c r="E168" i="14"/>
  <c r="E167" i="14"/>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O2010" i="16"/>
  <c r="O2011" i="16"/>
  <c r="O2012" i="16"/>
  <c r="O2013" i="16"/>
  <c r="E22" i="17"/>
  <c r="E22" i="16"/>
  <c r="O22" i="14"/>
  <c r="E22" i="14"/>
  <c r="B39" i="22"/>
  <c r="B40" i="22"/>
  <c r="B41" i="22"/>
  <c r="B42" i="22"/>
  <c r="B43" i="22"/>
  <c r="B44" i="22"/>
  <c r="B45" i="22"/>
  <c r="B46" i="22"/>
  <c r="B47" i="22"/>
  <c r="B48" i="22"/>
  <c r="B49" i="22"/>
  <c r="B50" i="22"/>
  <c r="B51" i="22"/>
  <c r="B52" i="22"/>
  <c r="B53" i="22"/>
  <c r="B54" i="22"/>
  <c r="B55" i="22"/>
  <c r="C66" i="20"/>
  <c r="C38" i="22"/>
  <c r="D17" i="22"/>
  <c r="C40" i="22"/>
  <c r="P40" i="22"/>
  <c r="P38" i="22"/>
  <c r="B56" i="22"/>
  <c r="B57" i="22"/>
  <c r="B58" i="22"/>
  <c r="B59" i="22"/>
  <c r="C55" i="22"/>
  <c r="P55" i="22"/>
  <c r="C51" i="22"/>
  <c r="P51" i="22"/>
  <c r="C47" i="22"/>
  <c r="P47" i="22"/>
  <c r="C43" i="22"/>
  <c r="P43" i="22"/>
  <c r="C54" i="22"/>
  <c r="P54" i="22"/>
  <c r="C50" i="22"/>
  <c r="P50" i="22"/>
  <c r="C46" i="22"/>
  <c r="P46" i="22"/>
  <c r="C42" i="22"/>
  <c r="P42" i="22"/>
  <c r="C53" i="22"/>
  <c r="P53" i="22"/>
  <c r="C49" i="22"/>
  <c r="P49" i="22"/>
  <c r="C45" i="22"/>
  <c r="P45" i="22"/>
  <c r="C41" i="22"/>
  <c r="P41" i="22"/>
  <c r="C39" i="22"/>
  <c r="P39" i="22"/>
  <c r="C52" i="22"/>
  <c r="P52" i="22"/>
  <c r="C48" i="22"/>
  <c r="P48" i="22"/>
  <c r="C44" i="22"/>
  <c r="P44" i="22"/>
  <c r="K10" i="26"/>
  <c r="K10" i="23"/>
  <c r="C15" i="22"/>
  <c r="C56" i="22"/>
  <c r="P56" i="22"/>
  <c r="C58" i="22"/>
  <c r="P58" i="22"/>
  <c r="C57" i="22"/>
  <c r="P57" i="22"/>
  <c r="B60" i="22"/>
  <c r="C59" i="22"/>
  <c r="P59" i="22"/>
  <c r="B15" i="20"/>
  <c r="B14" i="20"/>
  <c r="C18" i="12"/>
  <c r="D60" i="12"/>
  <c r="C66" i="12"/>
  <c r="J10" i="26"/>
  <c r="D14" i="26"/>
  <c r="B61" i="22"/>
  <c r="C60" i="22"/>
  <c r="P60" i="22"/>
  <c r="B62" i="22"/>
  <c r="C61" i="22"/>
  <c r="P61" i="22"/>
  <c r="B63" i="22"/>
  <c r="C62" i="22"/>
  <c r="P62" i="22"/>
  <c r="C9" i="20"/>
  <c r="C20" i="12"/>
  <c r="C54" i="12"/>
  <c r="C42" i="12"/>
  <c r="D8" i="25"/>
  <c r="B64" i="22"/>
  <c r="C63" i="22"/>
  <c r="P63" i="22"/>
  <c r="C7" i="17"/>
  <c r="C6" i="17"/>
  <c r="C7" i="16"/>
  <c r="C6" i="16"/>
  <c r="C6" i="14"/>
  <c r="B65" i="22"/>
  <c r="C64" i="22"/>
  <c r="P64" i="22"/>
  <c r="L12" i="15"/>
  <c r="B66" i="22"/>
  <c r="C65" i="22"/>
  <c r="P65" i="22"/>
  <c r="C7" i="14"/>
  <c r="B67" i="22"/>
  <c r="C67" i="22"/>
  <c r="P67" i="22"/>
  <c r="C66" i="22"/>
  <c r="P66" i="22"/>
  <c r="O196" i="17"/>
  <c r="O195" i="17"/>
  <c r="O194" i="17"/>
  <c r="O193" i="17"/>
  <c r="O192" i="17"/>
  <c r="O191" i="17"/>
  <c r="O190" i="17"/>
  <c r="O189" i="17"/>
  <c r="O188" i="17"/>
  <c r="O187" i="17"/>
  <c r="O186" i="17"/>
  <c r="O185" i="17"/>
  <c r="O184" i="17"/>
  <c r="O183" i="17"/>
  <c r="O182" i="17"/>
  <c r="O181" i="17"/>
  <c r="O180" i="17"/>
  <c r="O179" i="17"/>
  <c r="O178" i="17"/>
  <c r="O177" i="17"/>
  <c r="O176" i="17"/>
  <c r="O175" i="17"/>
  <c r="O174" i="17"/>
  <c r="O173" i="17"/>
  <c r="O172" i="17"/>
  <c r="O171" i="17"/>
  <c r="O22" i="17"/>
  <c r="O22" i="16"/>
  <c r="J10" i="23"/>
  <c r="D39" i="20"/>
  <c r="L5" i="15"/>
  <c r="I18" i="15"/>
  <c r="H30" i="15"/>
  <c r="G6" i="19"/>
  <c r="D24" i="22"/>
  <c r="P195" i="17"/>
  <c r="F195" i="17"/>
  <c r="P194" i="17"/>
  <c r="F194" i="17"/>
  <c r="P193" i="17"/>
  <c r="F193" i="17"/>
  <c r="P192" i="17"/>
  <c r="F192" i="17"/>
  <c r="P191" i="17"/>
  <c r="F191" i="17"/>
  <c r="P190" i="17"/>
  <c r="F190" i="17"/>
  <c r="P189" i="17"/>
  <c r="F189" i="17"/>
  <c r="P188" i="17"/>
  <c r="F188" i="17"/>
  <c r="P187" i="17"/>
  <c r="F187" i="17"/>
  <c r="P186" i="17"/>
  <c r="F186" i="17"/>
  <c r="P185" i="17"/>
  <c r="F185" i="17"/>
  <c r="P184" i="17"/>
  <c r="F184" i="17"/>
  <c r="P183" i="17"/>
  <c r="F183" i="17"/>
  <c r="P182" i="17"/>
  <c r="F182" i="17"/>
  <c r="P181" i="17"/>
  <c r="F181" i="17"/>
  <c r="P180" i="17"/>
  <c r="F180" i="17"/>
  <c r="P179" i="17"/>
  <c r="F179" i="17"/>
  <c r="P178" i="17"/>
  <c r="F178" i="17"/>
  <c r="P177" i="17"/>
  <c r="F177" i="17"/>
  <c r="P176" i="17"/>
  <c r="F176" i="17"/>
  <c r="P175" i="17"/>
  <c r="F175" i="17"/>
  <c r="P174" i="17"/>
  <c r="F174" i="17"/>
  <c r="P173" i="17"/>
  <c r="F173" i="17"/>
  <c r="P172" i="17"/>
  <c r="F172" i="17"/>
  <c r="P171" i="17"/>
  <c r="F171" i="17"/>
  <c r="D38" i="12"/>
  <c r="C40" i="12"/>
  <c r="D81" i="12"/>
  <c r="D73" i="12"/>
  <c r="D72" i="12"/>
  <c r="D48" i="12"/>
  <c r="F196" i="17"/>
  <c r="P196" i="17"/>
  <c r="AG11" i="19"/>
  <c r="AD11" i="19"/>
  <c r="AA11" i="19"/>
  <c r="X11" i="19"/>
  <c r="U11" i="19"/>
  <c r="R11" i="19"/>
  <c r="D14" i="23"/>
  <c r="L18" i="15"/>
  <c r="J20" i="22"/>
  <c r="D32" i="12"/>
  <c r="D31" i="12"/>
  <c r="D30" i="12"/>
  <c r="D28" i="12"/>
  <c r="D29" i="12"/>
  <c r="K8" i="25"/>
  <c r="D17" i="25"/>
  <c r="O11" i="19"/>
  <c r="L36" i="15"/>
  <c r="J11" i="20"/>
  <c r="J10" i="20"/>
  <c r="C17" i="20"/>
  <c r="A10" i="20"/>
  <c r="C10" i="20"/>
  <c r="C26" i="20"/>
  <c r="A11" i="20"/>
  <c r="C11" i="20"/>
  <c r="C35" i="20"/>
  <c r="E15" i="17"/>
  <c r="E16" i="16"/>
  <c r="E15" i="16"/>
  <c r="E16" i="14"/>
  <c r="E15" i="14"/>
  <c r="F46" i="17"/>
  <c r="F43" i="17"/>
  <c r="F41" i="17"/>
  <c r="F42" i="17"/>
  <c r="F38" i="17"/>
  <c r="F44" i="17"/>
  <c r="F39" i="17"/>
  <c r="F40" i="17"/>
  <c r="F309" i="16"/>
  <c r="F138" i="14"/>
  <c r="F32" i="14"/>
  <c r="F395" i="14"/>
  <c r="F400" i="14"/>
  <c r="F214" i="14"/>
  <c r="F150" i="14"/>
  <c r="F24" i="14"/>
  <c r="F174" i="14"/>
  <c r="F82" i="14"/>
  <c r="F206" i="14"/>
  <c r="F142" i="14"/>
  <c r="F71" i="14"/>
  <c r="F50" i="14"/>
  <c r="F36" i="14"/>
  <c r="F387" i="14"/>
  <c r="F415" i="14"/>
  <c r="F238" i="14"/>
  <c r="F110" i="14"/>
  <c r="F392" i="14"/>
  <c r="F410" i="14"/>
  <c r="F399" i="14"/>
  <c r="F198" i="14"/>
  <c r="F118" i="14"/>
  <c r="F106" i="14"/>
  <c r="F404" i="14"/>
  <c r="F357" i="14"/>
  <c r="F175" i="14"/>
  <c r="F366" i="14"/>
  <c r="F91" i="14"/>
  <c r="F163" i="14"/>
  <c r="F240" i="14"/>
  <c r="F303" i="14"/>
  <c r="F367" i="14"/>
  <c r="F168" i="14"/>
  <c r="F69" i="14"/>
  <c r="F302" i="14"/>
  <c r="F56" i="14"/>
  <c r="F128" i="14"/>
  <c r="F199" i="14"/>
  <c r="F272" i="14"/>
  <c r="F336" i="14"/>
  <c r="F89" i="14"/>
  <c r="F83" i="14"/>
  <c r="F294" i="14"/>
  <c r="F65" i="14"/>
  <c r="F129" i="14"/>
  <c r="F200" i="14"/>
  <c r="F273" i="14"/>
  <c r="F337" i="14"/>
  <c r="F413" i="14"/>
  <c r="F317" i="14"/>
  <c r="F137" i="14"/>
  <c r="F274" i="14"/>
  <c r="F25" i="14"/>
  <c r="F109" i="14"/>
  <c r="F180" i="14"/>
  <c r="F251" i="14"/>
  <c r="F315" i="14"/>
  <c r="F379" i="14"/>
  <c r="F269" i="14"/>
  <c r="F130" i="14"/>
  <c r="F298" i="14"/>
  <c r="F46" i="14"/>
  <c r="F117" i="14"/>
  <c r="F188" i="14"/>
  <c r="F260" i="14"/>
  <c r="F324" i="14"/>
  <c r="F394" i="14"/>
  <c r="F60" i="14"/>
  <c r="F340" i="14"/>
  <c r="F166" i="14"/>
  <c r="F248" i="14"/>
  <c r="F249" i="14"/>
  <c r="F222" i="14"/>
  <c r="F355" i="14"/>
  <c r="F88" i="14"/>
  <c r="F62" i="14"/>
  <c r="F122" i="14"/>
  <c r="F371" i="14"/>
  <c r="F181" i="14"/>
  <c r="F422" i="14"/>
  <c r="F230" i="14"/>
  <c r="F418" i="14"/>
  <c r="F170" i="14"/>
  <c r="F47" i="14"/>
  <c r="F393" i="14"/>
  <c r="F204" i="14"/>
  <c r="F420" i="14"/>
  <c r="F99" i="14"/>
  <c r="F176" i="14"/>
  <c r="F247" i="14"/>
  <c r="F311" i="14"/>
  <c r="F375" i="14"/>
  <c r="F203" i="14"/>
  <c r="F98" i="14"/>
  <c r="F334" i="14"/>
  <c r="F64" i="14"/>
  <c r="F135" i="14"/>
  <c r="F213" i="14"/>
  <c r="F280" i="14"/>
  <c r="F344" i="14"/>
  <c r="F153" i="14"/>
  <c r="F105" i="14"/>
  <c r="F326" i="14"/>
  <c r="F79" i="14"/>
  <c r="F136" i="14"/>
  <c r="F221" i="14"/>
  <c r="F281" i="14"/>
  <c r="F345" i="14"/>
  <c r="F33" i="14"/>
  <c r="F373" i="14"/>
  <c r="F158" i="14"/>
  <c r="F290" i="14"/>
  <c r="F38" i="14"/>
  <c r="F116" i="14"/>
  <c r="F187" i="14"/>
  <c r="F259" i="14"/>
  <c r="F323" i="14"/>
  <c r="F389" i="14"/>
  <c r="F309" i="14"/>
  <c r="F143" i="14"/>
  <c r="F314" i="14"/>
  <c r="F53" i="14"/>
  <c r="F124" i="14"/>
  <c r="F196" i="14"/>
  <c r="F268" i="14"/>
  <c r="F332" i="14"/>
  <c r="F416" i="14"/>
  <c r="F417" i="14"/>
  <c r="F330" i="14"/>
  <c r="F209" i="14"/>
  <c r="F54" i="14"/>
  <c r="F90" i="14"/>
  <c r="F310" i="14"/>
  <c r="F70" i="14"/>
  <c r="F343" i="14"/>
  <c r="F381" i="14"/>
  <c r="F177" i="14"/>
  <c r="F211" i="14"/>
  <c r="F313" i="14"/>
  <c r="F354" i="14"/>
  <c r="F291" i="14"/>
  <c r="F378" i="14"/>
  <c r="F364" i="14"/>
  <c r="F270" i="14"/>
  <c r="F385" i="14"/>
  <c r="F95" i="14"/>
  <c r="F232" i="14"/>
  <c r="F252" i="14"/>
  <c r="F406" i="14"/>
  <c r="F246" i="14"/>
  <c r="F55" i="14"/>
  <c r="F202" i="14"/>
  <c r="F97" i="14"/>
  <c r="F405" i="14"/>
  <c r="F233" i="14"/>
  <c r="F35" i="14"/>
  <c r="F112" i="14"/>
  <c r="F183" i="14"/>
  <c r="F255" i="14"/>
  <c r="F319" i="14"/>
  <c r="F383" i="14"/>
  <c r="F253" i="14"/>
  <c r="F126" i="14"/>
  <c r="F358" i="14"/>
  <c r="F78" i="14"/>
  <c r="F149" i="14"/>
  <c r="F220" i="14"/>
  <c r="F288" i="14"/>
  <c r="F352" i="14"/>
  <c r="F197" i="14"/>
  <c r="F140" i="14"/>
  <c r="F350" i="14"/>
  <c r="F86" i="14"/>
  <c r="F157" i="14"/>
  <c r="F229" i="14"/>
  <c r="F289" i="14"/>
  <c r="F353" i="14"/>
  <c r="F236" i="14"/>
  <c r="F37" i="14"/>
  <c r="F172" i="14"/>
  <c r="F306" i="14"/>
  <c r="F45" i="14"/>
  <c r="F123" i="14"/>
  <c r="F195" i="14"/>
  <c r="F267" i="14"/>
  <c r="F331" i="14"/>
  <c r="F349" i="14"/>
  <c r="F179" i="14"/>
  <c r="F132" i="14"/>
  <c r="F276" i="14"/>
  <c r="F261" i="14"/>
  <c r="F141" i="14"/>
  <c r="F27" i="14"/>
  <c r="F100" i="14"/>
  <c r="F333" i="14"/>
  <c r="F178" i="14"/>
  <c r="F94" i="14"/>
  <c r="F223" i="14"/>
  <c r="F250" i="14"/>
  <c r="F300" i="14"/>
  <c r="F57" i="14"/>
  <c r="F277" i="14"/>
  <c r="F244" i="14"/>
  <c r="F282" i="14"/>
  <c r="F380" i="14"/>
  <c r="F391" i="14"/>
  <c r="F396" i="14"/>
  <c r="F134" i="14"/>
  <c r="F234" i="14"/>
  <c r="F139" i="14"/>
  <c r="F34" i="14"/>
  <c r="F262" i="14"/>
  <c r="F49" i="14"/>
  <c r="F119" i="14"/>
  <c r="F191" i="14"/>
  <c r="F263" i="14"/>
  <c r="F327" i="14"/>
  <c r="F397" i="14"/>
  <c r="F301" i="14"/>
  <c r="F147" i="14"/>
  <c r="F382" i="14"/>
  <c r="F85" i="14"/>
  <c r="F156" i="14"/>
  <c r="F228" i="14"/>
  <c r="F296" i="14"/>
  <c r="F360" i="14"/>
  <c r="F225" i="14"/>
  <c r="F162" i="14"/>
  <c r="F374" i="14"/>
  <c r="F93" i="14"/>
  <c r="F165" i="14"/>
  <c r="F235" i="14"/>
  <c r="F297" i="14"/>
  <c r="F361" i="14"/>
  <c r="F412" i="14"/>
  <c r="F51" i="14"/>
  <c r="F186" i="14"/>
  <c r="F322" i="14"/>
  <c r="F52" i="14"/>
  <c r="F131" i="14"/>
  <c r="F208" i="14"/>
  <c r="F275" i="14"/>
  <c r="F339" i="14"/>
  <c r="F68" i="14"/>
  <c r="F31" i="14"/>
  <c r="F194" i="14"/>
  <c r="F346" i="14"/>
  <c r="F67" i="14"/>
  <c r="F145" i="14"/>
  <c r="F216" i="14"/>
  <c r="F284" i="14"/>
  <c r="F348" i="14"/>
  <c r="F419" i="14"/>
  <c r="F212" i="14"/>
  <c r="F23" i="14"/>
  <c r="F376" i="14"/>
  <c r="F107" i="14"/>
  <c r="F161" i="14"/>
  <c r="F151" i="14"/>
  <c r="F58" i="14"/>
  <c r="F231" i="14"/>
  <c r="F328" i="14"/>
  <c r="F329" i="14"/>
  <c r="F173" i="14"/>
  <c r="F39" i="14"/>
  <c r="F414" i="14"/>
  <c r="F388" i="14"/>
  <c r="F40" i="14"/>
  <c r="F407" i="14"/>
  <c r="F217" i="14"/>
  <c r="F76" i="14"/>
  <c r="F286" i="14"/>
  <c r="F63" i="14"/>
  <c r="F127" i="14"/>
  <c r="F205" i="14"/>
  <c r="F271" i="14"/>
  <c r="F335" i="14"/>
  <c r="F409" i="14"/>
  <c r="F341" i="14"/>
  <c r="F169" i="14"/>
  <c r="F41" i="14"/>
  <c r="F92" i="14"/>
  <c r="F164" i="14"/>
  <c r="F241" i="14"/>
  <c r="F304" i="14"/>
  <c r="F368" i="14"/>
  <c r="F285" i="14"/>
  <c r="F190" i="14"/>
  <c r="F398" i="14"/>
  <c r="F101" i="14"/>
  <c r="F171" i="14"/>
  <c r="F242" i="14"/>
  <c r="F305" i="14"/>
  <c r="F369" i="14"/>
  <c r="F61" i="14"/>
  <c r="F80" i="14"/>
  <c r="F201" i="14"/>
  <c r="F338" i="14"/>
  <c r="F59" i="14"/>
  <c r="F144" i="14"/>
  <c r="F215" i="14"/>
  <c r="F283" i="14"/>
  <c r="F347" i="14"/>
  <c r="F104" i="14"/>
  <c r="F44" i="14"/>
  <c r="F207" i="14"/>
  <c r="F362" i="14"/>
  <c r="F74" i="14"/>
  <c r="F152" i="14"/>
  <c r="F224" i="14"/>
  <c r="F292" i="14"/>
  <c r="F356" i="14"/>
  <c r="F28" i="14"/>
  <c r="F279" i="14"/>
  <c r="F218" i="14"/>
  <c r="F312" i="14"/>
  <c r="F30" i="14"/>
  <c r="F377" i="14"/>
  <c r="F73" i="14"/>
  <c r="F146" i="14"/>
  <c r="F160" i="14"/>
  <c r="F408" i="14"/>
  <c r="F265" i="14"/>
  <c r="F390" i="14"/>
  <c r="F115" i="14"/>
  <c r="F316" i="14"/>
  <c r="F102" i="14"/>
  <c r="F411" i="14"/>
  <c r="F87" i="14"/>
  <c r="F125" i="14"/>
  <c r="F293" i="14"/>
  <c r="F111" i="14"/>
  <c r="F318" i="14"/>
  <c r="F77" i="14"/>
  <c r="F148" i="14"/>
  <c r="F219" i="14"/>
  <c r="F287" i="14"/>
  <c r="F351" i="14"/>
  <c r="F75" i="14"/>
  <c r="F421" i="14"/>
  <c r="F254" i="14"/>
  <c r="F29" i="14"/>
  <c r="F113" i="14"/>
  <c r="F184" i="14"/>
  <c r="F256" i="14"/>
  <c r="F320" i="14"/>
  <c r="F386" i="14"/>
  <c r="F365" i="14"/>
  <c r="F239" i="14"/>
  <c r="F43" i="14"/>
  <c r="F114" i="14"/>
  <c r="F185" i="14"/>
  <c r="F257" i="14"/>
  <c r="F321" i="14"/>
  <c r="F401" i="14"/>
  <c r="F210" i="14"/>
  <c r="F108" i="14"/>
  <c r="F243" i="14"/>
  <c r="F370" i="14"/>
  <c r="F81" i="14"/>
  <c r="F159" i="14"/>
  <c r="F237" i="14"/>
  <c r="F299" i="14"/>
  <c r="F363" i="14"/>
  <c r="F189" i="14"/>
  <c r="F72" i="14"/>
  <c r="F266" i="14"/>
  <c r="F26" i="14"/>
  <c r="F96" i="14"/>
  <c r="F167" i="14"/>
  <c r="F245" i="14"/>
  <c r="F308" i="14"/>
  <c r="F372" i="14"/>
  <c r="F182" i="14"/>
  <c r="F403" i="14"/>
  <c r="F66" i="14"/>
  <c r="F226" i="14"/>
  <c r="F325" i="14"/>
  <c r="F154" i="14"/>
  <c r="F342" i="14"/>
  <c r="F84" i="14"/>
  <c r="F155" i="14"/>
  <c r="F227" i="14"/>
  <c r="F295" i="14"/>
  <c r="F359" i="14"/>
  <c r="F133" i="14"/>
  <c r="F48" i="14"/>
  <c r="F278" i="14"/>
  <c r="F42" i="14"/>
  <c r="F120" i="14"/>
  <c r="F192" i="14"/>
  <c r="F264" i="14"/>
  <c r="F121" i="14"/>
  <c r="F193" i="14"/>
  <c r="F258" i="14"/>
  <c r="F307" i="14"/>
  <c r="F103" i="14"/>
  <c r="F57" i="17"/>
  <c r="F25" i="17"/>
  <c r="F32" i="17"/>
  <c r="F28" i="17"/>
  <c r="F33" i="17"/>
  <c r="F31" i="17"/>
  <c r="F54" i="17"/>
  <c r="F27" i="17"/>
  <c r="F37" i="17"/>
  <c r="F53" i="17"/>
  <c r="F30" i="17"/>
  <c r="F36" i="17"/>
  <c r="F51" i="17"/>
  <c r="F29" i="17"/>
  <c r="F24" i="17"/>
  <c r="F26" i="17"/>
  <c r="F50" i="17"/>
  <c r="F49" i="17"/>
  <c r="F35" i="17"/>
  <c r="F52" i="17"/>
  <c r="F34" i="17"/>
  <c r="F48" i="17"/>
  <c r="F23" i="17"/>
  <c r="F316" i="16"/>
  <c r="F312" i="16"/>
  <c r="F317" i="16"/>
  <c r="F313" i="16"/>
  <c r="F314" i="16"/>
  <c r="F315" i="16"/>
  <c r="F302" i="16"/>
  <c r="F308" i="16"/>
  <c r="F55" i="16"/>
  <c r="F87" i="16"/>
  <c r="F119" i="16"/>
  <c r="F151" i="16"/>
  <c r="F183" i="16"/>
  <c r="F215" i="16"/>
  <c r="F247" i="16"/>
  <c r="F279" i="16"/>
  <c r="F47" i="16"/>
  <c r="F68" i="16"/>
  <c r="F48" i="16"/>
  <c r="F59" i="16"/>
  <c r="F69" i="16"/>
  <c r="F80" i="16"/>
  <c r="F91" i="16"/>
  <c r="F101" i="16"/>
  <c r="F112" i="16"/>
  <c r="F123" i="16"/>
  <c r="F133" i="16"/>
  <c r="F144" i="16"/>
  <c r="F155" i="16"/>
  <c r="F165" i="16"/>
  <c r="F176" i="16"/>
  <c r="F187" i="16"/>
  <c r="F197" i="16"/>
  <c r="F208" i="16"/>
  <c r="F219" i="16"/>
  <c r="F229" i="16"/>
  <c r="F240" i="16"/>
  <c r="F251" i="16"/>
  <c r="F261" i="16"/>
  <c r="F272" i="16"/>
  <c r="F283" i="16"/>
  <c r="F28" i="16"/>
  <c r="F45" i="16"/>
  <c r="F63" i="16"/>
  <c r="F79" i="16"/>
  <c r="F93" i="16"/>
  <c r="F107" i="16"/>
  <c r="F122" i="16"/>
  <c r="F136" i="16"/>
  <c r="F149" i="16"/>
  <c r="F164" i="16"/>
  <c r="F179" i="16"/>
  <c r="F192" i="16"/>
  <c r="F207" i="16"/>
  <c r="F221" i="16"/>
  <c r="F235" i="16"/>
  <c r="F250" i="16"/>
  <c r="F264" i="16"/>
  <c r="F277" i="16"/>
  <c r="F92" i="16"/>
  <c r="F263" i="16"/>
  <c r="F50" i="16"/>
  <c r="F64" i="16"/>
  <c r="F82" i="16"/>
  <c r="F95" i="16"/>
  <c r="F109" i="16"/>
  <c r="F124" i="16"/>
  <c r="F138" i="16"/>
  <c r="F152" i="16"/>
  <c r="F167" i="16"/>
  <c r="F180" i="16"/>
  <c r="F195" i="16"/>
  <c r="F210" i="16"/>
  <c r="F223" i="16"/>
  <c r="F237" i="16"/>
  <c r="F252" i="16"/>
  <c r="F280" i="16"/>
  <c r="F243" i="16"/>
  <c r="F77" i="16"/>
  <c r="F276" i="16"/>
  <c r="F51" i="16"/>
  <c r="F67" i="16"/>
  <c r="F83" i="16"/>
  <c r="F96" i="16"/>
  <c r="F111" i="16"/>
  <c r="F125" i="16"/>
  <c r="F139" i="16"/>
  <c r="F154" i="16"/>
  <c r="F168" i="16"/>
  <c r="F181" i="16"/>
  <c r="F196" i="16"/>
  <c r="F211" i="16"/>
  <c r="F224" i="16"/>
  <c r="F239" i="16"/>
  <c r="F253" i="16"/>
  <c r="F267" i="16"/>
  <c r="F282" i="16"/>
  <c r="F200" i="16"/>
  <c r="F106" i="16"/>
  <c r="F52" i="16"/>
  <c r="F71" i="16"/>
  <c r="F84" i="16"/>
  <c r="F99" i="16"/>
  <c r="F114" i="16"/>
  <c r="F127" i="16"/>
  <c r="F141" i="16"/>
  <c r="F156" i="16"/>
  <c r="F170" i="16"/>
  <c r="F184" i="16"/>
  <c r="F199" i="16"/>
  <c r="F212" i="16"/>
  <c r="F227" i="16"/>
  <c r="F242" i="16"/>
  <c r="F255" i="16"/>
  <c r="F269" i="16"/>
  <c r="F228" i="16"/>
  <c r="F61" i="16"/>
  <c r="F31" i="16"/>
  <c r="F39" i="16"/>
  <c r="F53" i="16"/>
  <c r="F72" i="16"/>
  <c r="F85" i="16"/>
  <c r="F100" i="16"/>
  <c r="F115" i="16"/>
  <c r="F128" i="16"/>
  <c r="F143" i="16"/>
  <c r="F157" i="16"/>
  <c r="F171" i="16"/>
  <c r="F186" i="16"/>
  <c r="F213" i="16"/>
  <c r="F256" i="16"/>
  <c r="F271" i="16"/>
  <c r="F135" i="16"/>
  <c r="F40" i="16"/>
  <c r="F56" i="16"/>
  <c r="F74" i="16"/>
  <c r="F88" i="16"/>
  <c r="F103" i="16"/>
  <c r="F116" i="16"/>
  <c r="F131" i="16"/>
  <c r="F146" i="16"/>
  <c r="F159" i="16"/>
  <c r="F173" i="16"/>
  <c r="F188" i="16"/>
  <c r="F202" i="16"/>
  <c r="F216" i="16"/>
  <c r="F231" i="16"/>
  <c r="F244" i="16"/>
  <c r="F259" i="16"/>
  <c r="F274" i="16"/>
  <c r="F248" i="16"/>
  <c r="F60" i="16"/>
  <c r="F75" i="16"/>
  <c r="F104" i="16"/>
  <c r="F117" i="16"/>
  <c r="F132" i="16"/>
  <c r="F147" i="16"/>
  <c r="F160" i="16"/>
  <c r="F175" i="16"/>
  <c r="F189" i="16"/>
  <c r="F203" i="16"/>
  <c r="F232" i="16"/>
  <c r="F245" i="16"/>
  <c r="F260" i="16"/>
  <c r="F275" i="16"/>
  <c r="F43" i="16"/>
  <c r="F120" i="16"/>
  <c r="F148" i="16"/>
  <c r="F163" i="16"/>
  <c r="F178" i="16"/>
  <c r="F191" i="16"/>
  <c r="F205" i="16"/>
  <c r="F220" i="16"/>
  <c r="F234" i="16"/>
  <c r="F281" i="16"/>
  <c r="F217" i="16"/>
  <c r="F145" i="16"/>
  <c r="F81" i="16"/>
  <c r="F270" i="16"/>
  <c r="F206" i="16"/>
  <c r="F142" i="16"/>
  <c r="F78" i="16"/>
  <c r="F44" i="16"/>
  <c r="F162" i="16"/>
  <c r="F295" i="16"/>
  <c r="F27" i="16"/>
  <c r="F273" i="16"/>
  <c r="F201" i="16"/>
  <c r="F137" i="16"/>
  <c r="F73" i="16"/>
  <c r="F262" i="16"/>
  <c r="F198" i="16"/>
  <c r="F134" i="16"/>
  <c r="F70" i="16"/>
  <c r="F268" i="16"/>
  <c r="F130" i="16"/>
  <c r="F36" i="16"/>
  <c r="F34" i="16"/>
  <c r="F265" i="16"/>
  <c r="F193" i="16"/>
  <c r="F257" i="16"/>
  <c r="F185" i="16"/>
  <c r="F121" i="16"/>
  <c r="F57" i="16"/>
  <c r="F246" i="16"/>
  <c r="F182" i="16"/>
  <c r="F118" i="16"/>
  <c r="F204" i="16"/>
  <c r="F66" i="16"/>
  <c r="F307" i="16"/>
  <c r="F306" i="16"/>
  <c r="F298" i="16"/>
  <c r="F266" i="16"/>
  <c r="F249" i="16"/>
  <c r="F177" i="16"/>
  <c r="F113" i="16"/>
  <c r="F49" i="16"/>
  <c r="F238" i="16"/>
  <c r="F174" i="16"/>
  <c r="F110" i="16"/>
  <c r="F25" i="16"/>
  <c r="F30" i="16"/>
  <c r="F172" i="16"/>
  <c r="F35" i="16"/>
  <c r="F58" i="16"/>
  <c r="F54" i="16"/>
  <c r="F38" i="16"/>
  <c r="F296" i="16"/>
  <c r="F287" i="16"/>
  <c r="F291" i="16"/>
  <c r="F288" i="16"/>
  <c r="F218" i="16"/>
  <c r="F241" i="16"/>
  <c r="F169" i="16"/>
  <c r="F105" i="16"/>
  <c r="F41" i="16"/>
  <c r="F230" i="16"/>
  <c r="F166" i="16"/>
  <c r="F102" i="16"/>
  <c r="F24" i="16"/>
  <c r="F140" i="16"/>
  <c r="F258" i="16"/>
  <c r="F23" i="16"/>
  <c r="F46" i="16"/>
  <c r="F32" i="16"/>
  <c r="F90" i="16"/>
  <c r="F233" i="16"/>
  <c r="F161" i="16"/>
  <c r="F42" i="16"/>
  <c r="F225" i="16"/>
  <c r="F153" i="16"/>
  <c r="F89" i="16"/>
  <c r="F278" i="16"/>
  <c r="F214" i="16"/>
  <c r="F150" i="16"/>
  <c r="F86" i="16"/>
  <c r="F76" i="16"/>
  <c r="F194" i="16"/>
  <c r="F129" i="16"/>
  <c r="F297" i="16"/>
  <c r="F226" i="16"/>
  <c r="F292" i="16"/>
  <c r="F290" i="16"/>
  <c r="F65" i="16"/>
  <c r="F254" i="16"/>
  <c r="F98" i="16"/>
  <c r="F222" i="16"/>
  <c r="F289" i="16"/>
  <c r="F37" i="16"/>
  <c r="F303" i="16"/>
  <c r="F294" i="16"/>
  <c r="F300" i="16"/>
  <c r="F190" i="16"/>
  <c r="F158" i="16"/>
  <c r="F299" i="16"/>
  <c r="F26" i="16"/>
  <c r="F126" i="16"/>
  <c r="F29" i="16"/>
  <c r="F33" i="16"/>
  <c r="F94" i="16"/>
  <c r="F293" i="16"/>
  <c r="F286" i="16"/>
  <c r="F285" i="16"/>
  <c r="F209" i="16"/>
  <c r="F62" i="16"/>
  <c r="F236" i="16"/>
  <c r="F304" i="16"/>
  <c r="F305" i="16"/>
  <c r="F97" i="16"/>
  <c r="F108" i="16"/>
  <c r="F22" i="14"/>
  <c r="F22" i="16"/>
  <c r="F22" i="17"/>
  <c r="C12" i="19"/>
  <c r="D40" i="20"/>
  <c r="C13" i="19"/>
  <c r="D41" i="20"/>
  <c r="C14" i="19"/>
  <c r="D42" i="20"/>
  <c r="C15" i="19"/>
  <c r="D43" i="20"/>
  <c r="C16" i="19"/>
  <c r="D44" i="20"/>
  <c r="C17" i="19"/>
  <c r="D45" i="20"/>
  <c r="D46" i="20"/>
  <c r="C18" i="19"/>
  <c r="D47" i="20"/>
  <c r="C19" i="19"/>
  <c r="D48" i="20"/>
  <c r="C20" i="19"/>
  <c r="D49" i="20"/>
  <c r="C21" i="19"/>
  <c r="D50" i="20"/>
  <c r="C22" i="19"/>
  <c r="C23" i="19"/>
  <c r="D51" i="20"/>
  <c r="D52" i="20"/>
  <c r="C24" i="19"/>
  <c r="D53" i="20"/>
  <c r="C25" i="19"/>
  <c r="D54" i="20"/>
  <c r="C26" i="19"/>
  <c r="C27" i="19"/>
  <c r="D55" i="20"/>
  <c r="C28" i="19"/>
  <c r="D56" i="20"/>
  <c r="D57" i="20"/>
  <c r="C29" i="19"/>
  <c r="C30" i="19"/>
  <c r="D58" i="20"/>
  <c r="D59" i="20"/>
  <c r="C31" i="19"/>
  <c r="C32" i="19"/>
  <c r="D60" i="20"/>
  <c r="C33" i="19"/>
  <c r="D61" i="20"/>
  <c r="C34" i="19"/>
  <c r="D62" i="20"/>
  <c r="D63" i="20"/>
  <c r="C35" i="19"/>
  <c r="D64" i="20"/>
  <c r="C36" i="19"/>
  <c r="C37" i="19"/>
  <c r="D65" i="20"/>
  <c r="D66" i="20"/>
  <c r="C38" i="19"/>
  <c r="D67" i="20"/>
  <c r="C39" i="19"/>
  <c r="D68" i="20"/>
  <c r="C40" i="19"/>
  <c r="D69" i="20"/>
  <c r="C41" i="19"/>
  <c r="D70" i="20"/>
  <c r="C42" i="19"/>
  <c r="C43" i="19"/>
  <c r="D71" i="20"/>
  <c r="D72" i="20"/>
  <c r="C44" i="19"/>
  <c r="C45" i="19"/>
  <c r="D73" i="20"/>
  <c r="D74" i="20"/>
  <c r="C46" i="19"/>
  <c r="D75" i="20"/>
  <c r="C47" i="19"/>
  <c r="D76" i="20"/>
  <c r="C48" i="19"/>
  <c r="D77" i="20"/>
  <c r="C49" i="19"/>
  <c r="D78" i="20"/>
  <c r="C50" i="19"/>
  <c r="C51" i="19"/>
  <c r="D79" i="20"/>
  <c r="D80" i="20"/>
  <c r="C52" i="19"/>
  <c r="D81" i="20"/>
  <c r="C53" i="19"/>
  <c r="D82" i="20"/>
  <c r="C54" i="19"/>
  <c r="D83" i="20"/>
  <c r="C55" i="19"/>
  <c r="D84" i="20"/>
  <c r="C56" i="19"/>
  <c r="D85" i="20"/>
  <c r="C57" i="19"/>
  <c r="D86" i="20"/>
  <c r="C58" i="19"/>
  <c r="D87" i="20"/>
  <c r="C59" i="19"/>
  <c r="D88" i="20"/>
  <c r="C60" i="19"/>
  <c r="C61" i="19"/>
  <c r="D89" i="20"/>
  <c r="D90" i="20"/>
  <c r="C62" i="19"/>
  <c r="D91" i="20"/>
  <c r="C63" i="19"/>
  <c r="D92" i="20"/>
  <c r="C64" i="19"/>
  <c r="D93" i="20"/>
  <c r="C65" i="19"/>
  <c r="C66" i="19"/>
  <c r="D94" i="20"/>
  <c r="D95" i="20"/>
  <c r="C67" i="19"/>
  <c r="C68" i="19"/>
  <c r="D96" i="20"/>
  <c r="D97" i="20"/>
  <c r="C69" i="19"/>
  <c r="E96" i="20"/>
  <c r="D98" i="20"/>
  <c r="C70" i="19"/>
  <c r="E97" i="20"/>
  <c r="E98" i="20"/>
  <c r="R98" i="20"/>
  <c r="U98" i="20"/>
  <c r="D99" i="20"/>
  <c r="C71" i="19"/>
  <c r="R99" i="20"/>
  <c r="U99" i="20"/>
  <c r="E99" i="20"/>
  <c r="C72" i="19"/>
  <c r="D100" i="20"/>
  <c r="R100" i="20"/>
  <c r="E100" i="20"/>
  <c r="U100" i="20"/>
  <c r="C73" i="19"/>
  <c r="D101" i="20"/>
  <c r="R101" i="20"/>
  <c r="U101" i="20"/>
  <c r="E101" i="20"/>
  <c r="C74" i="19"/>
  <c r="D102" i="20"/>
  <c r="R102" i="20"/>
  <c r="E102" i="20"/>
  <c r="U102" i="20"/>
  <c r="C75" i="19"/>
  <c r="D103" i="20"/>
  <c r="U103" i="20"/>
  <c r="R103" i="20"/>
  <c r="E103" i="20"/>
  <c r="C76" i="19"/>
  <c r="D104" i="20"/>
  <c r="U104" i="20"/>
  <c r="E104" i="20"/>
  <c r="R104" i="20"/>
  <c r="C77" i="19"/>
  <c r="D105" i="20"/>
  <c r="U105" i="20"/>
  <c r="R105" i="20"/>
  <c r="E105" i="20"/>
  <c r="C78" i="19"/>
  <c r="D106" i="20"/>
  <c r="E106" i="20"/>
  <c r="R106" i="20"/>
  <c r="U106" i="20"/>
  <c r="C79" i="19"/>
  <c r="D107" i="20"/>
  <c r="R107" i="20"/>
  <c r="E107" i="20"/>
  <c r="U107" i="20"/>
  <c r="C80" i="19"/>
  <c r="D108" i="20"/>
  <c r="R108" i="20"/>
  <c r="E108" i="20"/>
  <c r="U108" i="20"/>
  <c r="C81" i="19"/>
  <c r="D109" i="20"/>
  <c r="E109" i="20"/>
  <c r="U109" i="20"/>
  <c r="R109" i="20"/>
  <c r="C82" i="19"/>
  <c r="D110" i="20"/>
  <c r="E110" i="20"/>
  <c r="U110" i="20"/>
  <c r="R110" i="20"/>
  <c r="C83" i="19"/>
  <c r="D111" i="20"/>
  <c r="U111" i="20"/>
  <c r="E111" i="20"/>
  <c r="R111" i="20"/>
  <c r="C84" i="19"/>
  <c r="D112" i="20"/>
  <c r="U112" i="20"/>
  <c r="E112" i="20"/>
  <c r="R112" i="20"/>
  <c r="C85" i="19"/>
  <c r="D113" i="20"/>
  <c r="R113" i="20"/>
  <c r="E113" i="20"/>
  <c r="U113" i="20"/>
  <c r="C86" i="19"/>
  <c r="D114" i="20"/>
  <c r="U114" i="20"/>
  <c r="E114" i="20"/>
  <c r="R114" i="20"/>
  <c r="C87" i="19"/>
  <c r="D115" i="20"/>
  <c r="R115" i="20"/>
  <c r="E115" i="20"/>
  <c r="U115" i="20"/>
  <c r="C88" i="19"/>
  <c r="D116" i="20"/>
  <c r="R116" i="20"/>
  <c r="E116" i="20"/>
  <c r="U116" i="20"/>
  <c r="C89" i="19"/>
  <c r="D117" i="20"/>
  <c r="U117" i="20"/>
  <c r="R117" i="20"/>
  <c r="E117" i="20"/>
  <c r="C90" i="19"/>
  <c r="D118" i="20"/>
  <c r="E118" i="20"/>
  <c r="U118" i="20"/>
  <c r="R118" i="20"/>
  <c r="C91" i="19"/>
  <c r="D119" i="20"/>
  <c r="U119" i="20"/>
  <c r="R119" i="20"/>
  <c r="E119" i="20"/>
  <c r="C92" i="19"/>
  <c r="D120" i="20"/>
  <c r="U120" i="20"/>
  <c r="E120" i="20"/>
  <c r="R120" i="20"/>
  <c r="C93" i="19"/>
  <c r="D121" i="20"/>
  <c r="U121" i="20"/>
  <c r="R121" i="20"/>
  <c r="E121" i="20"/>
  <c r="C94" i="19"/>
  <c r="D122" i="20"/>
  <c r="E122" i="20"/>
  <c r="R122" i="20"/>
  <c r="U122" i="20"/>
  <c r="C95" i="19"/>
  <c r="D123" i="20"/>
  <c r="R123" i="20"/>
  <c r="U123" i="20"/>
  <c r="E123" i="20"/>
  <c r="C96" i="19"/>
  <c r="D124" i="20"/>
  <c r="R124" i="20"/>
  <c r="E124" i="20"/>
  <c r="U124" i="20"/>
  <c r="C97" i="19"/>
  <c r="D125" i="20"/>
  <c r="U125" i="20"/>
  <c r="E125" i="20"/>
  <c r="R125" i="20"/>
  <c r="C98" i="19"/>
  <c r="D126" i="20"/>
  <c r="R126" i="20"/>
  <c r="E126" i="20"/>
  <c r="U126" i="20"/>
  <c r="C99" i="19"/>
  <c r="D127" i="20"/>
  <c r="U127" i="20"/>
  <c r="E127" i="20"/>
  <c r="R127" i="20"/>
  <c r="C100" i="19"/>
  <c r="D128" i="20"/>
  <c r="U128" i="20"/>
  <c r="E128" i="20"/>
  <c r="R128" i="20"/>
  <c r="C101" i="19"/>
  <c r="D129" i="20"/>
  <c r="D18" i="22"/>
  <c r="R129" i="20"/>
  <c r="E129" i="20"/>
  <c r="U129" i="20"/>
  <c r="C102" i="19"/>
  <c r="R39" i="20"/>
  <c r="U39" i="20"/>
  <c r="J23" i="17"/>
  <c r="U40" i="20"/>
  <c r="R40" i="20"/>
  <c r="P22" i="17"/>
  <c r="R41" i="20"/>
  <c r="U41" i="20"/>
  <c r="R42" i="20"/>
  <c r="U42" i="20"/>
  <c r="R43" i="20"/>
  <c r="U43" i="20"/>
  <c r="U44" i="20"/>
  <c r="R44" i="20"/>
  <c r="R45" i="20"/>
  <c r="U45" i="20"/>
  <c r="R46" i="20"/>
  <c r="U46" i="20"/>
  <c r="J24" i="17"/>
  <c r="P23" i="17"/>
  <c r="R47" i="20"/>
  <c r="U47" i="20"/>
  <c r="J25" i="17"/>
  <c r="J26" i="17"/>
  <c r="P24" i="17"/>
  <c r="U48" i="20"/>
  <c r="R48" i="20"/>
  <c r="P25" i="17"/>
  <c r="R49" i="20"/>
  <c r="U49" i="20"/>
  <c r="R50" i="20"/>
  <c r="U50" i="20"/>
  <c r="J27" i="17"/>
  <c r="P26" i="17"/>
  <c r="R51" i="20"/>
  <c r="U51" i="20"/>
  <c r="J28" i="17"/>
  <c r="P27" i="17"/>
  <c r="U52" i="20"/>
  <c r="R52" i="20"/>
  <c r="J29" i="17"/>
  <c r="P28" i="17"/>
  <c r="R53" i="20"/>
  <c r="U53" i="20"/>
  <c r="J30" i="17"/>
  <c r="P29" i="17"/>
  <c r="U54" i="20"/>
  <c r="R54" i="20"/>
  <c r="J31" i="17"/>
  <c r="P30" i="17"/>
  <c r="R55" i="20"/>
  <c r="U55" i="20"/>
  <c r="J32" i="17"/>
  <c r="P31" i="17"/>
  <c r="U56" i="20"/>
  <c r="R56" i="20"/>
  <c r="J33" i="17"/>
  <c r="P32" i="17"/>
  <c r="R57" i="20"/>
  <c r="U57" i="20"/>
  <c r="J34" i="17"/>
  <c r="P33" i="17"/>
  <c r="R58" i="20"/>
  <c r="U58" i="20"/>
  <c r="J35" i="17"/>
  <c r="P34" i="17"/>
  <c r="R59" i="20"/>
  <c r="U59" i="20"/>
  <c r="U60" i="20"/>
  <c r="U61" i="20"/>
  <c r="R60" i="20"/>
  <c r="R61" i="20"/>
  <c r="J36" i="17"/>
  <c r="P35" i="17"/>
  <c r="U96" i="20"/>
  <c r="R96" i="20"/>
  <c r="J37" i="17"/>
  <c r="P36" i="17"/>
  <c r="R97" i="20"/>
  <c r="U97" i="20"/>
  <c r="J48" i="17"/>
  <c r="J38" i="17"/>
  <c r="P37" i="17"/>
  <c r="R62" i="20"/>
  <c r="U62" i="20"/>
  <c r="J39" i="17"/>
  <c r="P38" i="17"/>
  <c r="R63" i="20"/>
  <c r="U63" i="20"/>
  <c r="J40" i="17"/>
  <c r="P39" i="17"/>
  <c r="R64" i="20"/>
  <c r="U64" i="20"/>
  <c r="J41" i="17"/>
  <c r="P40" i="17"/>
  <c r="R65" i="20"/>
  <c r="U65" i="20"/>
  <c r="C65" i="20"/>
  <c r="J42" i="17"/>
  <c r="P41" i="17"/>
  <c r="C64" i="20"/>
  <c r="C63" i="20"/>
  <c r="C67" i="20"/>
  <c r="J43" i="17"/>
  <c r="P42" i="17"/>
  <c r="C62" i="20"/>
  <c r="C68" i="20"/>
  <c r="J44" i="17"/>
  <c r="P43" i="17"/>
  <c r="C61" i="20"/>
  <c r="C69" i="20"/>
  <c r="P44" i="17"/>
  <c r="J46" i="17"/>
  <c r="P46" i="17"/>
  <c r="C60" i="20"/>
  <c r="C70" i="20"/>
  <c r="C59" i="20"/>
  <c r="C71" i="20"/>
  <c r="C58" i="20"/>
  <c r="C72" i="20"/>
  <c r="C57" i="20"/>
  <c r="C73" i="20"/>
  <c r="C56" i="20"/>
  <c r="C74" i="20"/>
  <c r="C55" i="20"/>
  <c r="C75" i="20"/>
  <c r="C54" i="20"/>
  <c r="C76" i="20"/>
  <c r="C53" i="20"/>
  <c r="C77" i="20"/>
  <c r="C52" i="20"/>
  <c r="C78" i="20"/>
  <c r="C51" i="20"/>
  <c r="C79" i="20"/>
  <c r="J49" i="17"/>
  <c r="P48" i="17"/>
  <c r="C50" i="20"/>
  <c r="C80" i="20"/>
  <c r="J50" i="17"/>
  <c r="P49" i="17"/>
  <c r="C49" i="20"/>
  <c r="C81" i="20"/>
  <c r="J51" i="17"/>
  <c r="P50" i="17"/>
  <c r="C48" i="20"/>
  <c r="C82" i="20"/>
  <c r="J52" i="17"/>
  <c r="P51" i="17"/>
  <c r="C47" i="20"/>
  <c r="C83" i="20"/>
  <c r="J53" i="17"/>
  <c r="P52" i="17"/>
  <c r="C46" i="20"/>
  <c r="C84" i="20"/>
  <c r="J54" i="17"/>
  <c r="P53" i="17"/>
  <c r="C45" i="20"/>
  <c r="C85" i="20"/>
  <c r="P54" i="17"/>
  <c r="C44" i="20"/>
  <c r="C86" i="20"/>
  <c r="C43" i="20"/>
  <c r="C87" i="20"/>
  <c r="C42" i="20"/>
  <c r="C88" i="20"/>
  <c r="C41" i="20"/>
  <c r="C89" i="20"/>
  <c r="C40" i="20"/>
  <c r="C90" i="20"/>
  <c r="C39" i="20"/>
  <c r="C91" i="20"/>
  <c r="C92" i="20"/>
  <c r="C93" i="20"/>
  <c r="C94" i="20"/>
  <c r="C95" i="20"/>
  <c r="P57" i="17"/>
  <c r="I16" i="17"/>
  <c r="C96" i="20"/>
  <c r="C97" i="20"/>
  <c r="C98" i="20"/>
  <c r="C99" i="20"/>
  <c r="C100" i="20"/>
  <c r="C101" i="20"/>
  <c r="C102" i="20"/>
  <c r="C103" i="20"/>
  <c r="C104" i="20"/>
  <c r="C105" i="20"/>
  <c r="C106" i="20"/>
  <c r="C107" i="20"/>
  <c r="G27" i="25"/>
  <c r="C108" i="20"/>
  <c r="C109" i="20"/>
  <c r="C110" i="20"/>
  <c r="C111" i="20"/>
  <c r="C112" i="20"/>
  <c r="C113" i="20"/>
  <c r="C114" i="20"/>
  <c r="C115" i="20"/>
  <c r="C116" i="20"/>
  <c r="C117" i="20"/>
  <c r="C118" i="20"/>
  <c r="C119" i="20"/>
  <c r="C120" i="20"/>
  <c r="C121" i="20"/>
  <c r="C122" i="20"/>
  <c r="C123" i="20"/>
  <c r="C124" i="20"/>
  <c r="C125" i="20"/>
  <c r="C126" i="20"/>
  <c r="C127" i="20"/>
  <c r="C128" i="20"/>
  <c r="I18" i="17"/>
  <c r="I17" i="17"/>
  <c r="C129" i="20"/>
  <c r="AP18" i="19"/>
  <c r="F6" i="19"/>
  <c r="V68" i="19"/>
  <c r="S67" i="19"/>
  <c r="P66" i="19"/>
  <c r="AH64" i="19"/>
  <c r="AE63" i="19"/>
  <c r="AB62" i="19"/>
  <c r="Y61" i="19"/>
  <c r="V60" i="19"/>
  <c r="S59" i="19"/>
  <c r="P58" i="19"/>
  <c r="AH56" i="19"/>
  <c r="AE55" i="19"/>
  <c r="AB54" i="19"/>
  <c r="Y53" i="19"/>
  <c r="V52" i="19"/>
  <c r="S51" i="19"/>
  <c r="P50" i="19"/>
  <c r="AH48" i="19"/>
  <c r="AE47" i="19"/>
  <c r="AB46" i="19"/>
  <c r="Y45" i="19"/>
  <c r="V44" i="19"/>
  <c r="S43" i="19"/>
  <c r="P42" i="19"/>
  <c r="AH40" i="19"/>
  <c r="AE39" i="19"/>
  <c r="AB38" i="19"/>
  <c r="Y37" i="19"/>
  <c r="V36" i="19"/>
  <c r="S35" i="19"/>
  <c r="P34" i="19"/>
  <c r="AH32" i="19"/>
  <c r="AE31" i="19"/>
  <c r="AB30" i="19"/>
  <c r="Y29" i="19"/>
  <c r="V28" i="19"/>
  <c r="S27" i="19"/>
  <c r="P26" i="19"/>
  <c r="AH24" i="19"/>
  <c r="AE23" i="19"/>
  <c r="AB22" i="19"/>
  <c r="Y21" i="19"/>
  <c r="V20" i="19"/>
  <c r="V19" i="19"/>
  <c r="S18" i="19"/>
  <c r="P17" i="19"/>
  <c r="AH14" i="19"/>
  <c r="AH13" i="19"/>
  <c r="AE12" i="19"/>
  <c r="AE67" i="19"/>
  <c r="Y65" i="19"/>
  <c r="V64" i="19"/>
  <c r="AE59" i="19"/>
  <c r="Y57" i="19"/>
  <c r="P54" i="19"/>
  <c r="AE51" i="19"/>
  <c r="S47" i="19"/>
  <c r="AB42" i="19"/>
  <c r="P38" i="19"/>
  <c r="Y33" i="19"/>
  <c r="AH28" i="19"/>
  <c r="S23" i="19"/>
  <c r="AB17" i="19"/>
  <c r="S12" i="19"/>
  <c r="AE68" i="19"/>
  <c r="S68" i="19"/>
  <c r="P67" i="19"/>
  <c r="AH65" i="19"/>
  <c r="AE64" i="19"/>
  <c r="AB63" i="19"/>
  <c r="Y62" i="19"/>
  <c r="V61" i="19"/>
  <c r="S60" i="19"/>
  <c r="P59" i="19"/>
  <c r="AH57" i="19"/>
  <c r="AE56" i="19"/>
  <c r="AB55" i="19"/>
  <c r="Y54" i="19"/>
  <c r="V53" i="19"/>
  <c r="S52" i="19"/>
  <c r="P51" i="19"/>
  <c r="AH49" i="19"/>
  <c r="AE48" i="19"/>
  <c r="AB47" i="19"/>
  <c r="Y46" i="19"/>
  <c r="V45" i="19"/>
  <c r="S44" i="19"/>
  <c r="P43" i="19"/>
  <c r="AH41" i="19"/>
  <c r="AE40" i="19"/>
  <c r="AB39" i="19"/>
  <c r="Y38" i="19"/>
  <c r="V37" i="19"/>
  <c r="S36" i="19"/>
  <c r="P35" i="19"/>
  <c r="AH33" i="19"/>
  <c r="AE32" i="19"/>
  <c r="AB31" i="19"/>
  <c r="Y30" i="19"/>
  <c r="V29" i="19"/>
  <c r="S28" i="19"/>
  <c r="P27" i="19"/>
  <c r="AH25" i="19"/>
  <c r="AE24" i="19"/>
  <c r="AB23" i="19"/>
  <c r="Y22" i="19"/>
  <c r="V21" i="19"/>
  <c r="S20" i="19"/>
  <c r="S19" i="19"/>
  <c r="P18" i="19"/>
  <c r="AH16" i="19"/>
  <c r="AH15" i="19"/>
  <c r="AE14" i="19"/>
  <c r="AE13" i="19"/>
  <c r="AB12" i="19"/>
  <c r="AH60" i="19"/>
  <c r="AH52" i="19"/>
  <c r="V48" i="19"/>
  <c r="AE43" i="19"/>
  <c r="S39" i="19"/>
  <c r="AE35" i="19"/>
  <c r="V32" i="19"/>
  <c r="AE27" i="19"/>
  <c r="Y25" i="19"/>
  <c r="P22" i="19"/>
  <c r="AH19" i="19"/>
  <c r="Y15" i="19"/>
  <c r="V13" i="19"/>
  <c r="S24" i="19"/>
  <c r="P68" i="19"/>
  <c r="AH66" i="19"/>
  <c r="AE65" i="19"/>
  <c r="AB64" i="19"/>
  <c r="Y63" i="19"/>
  <c r="V62" i="19"/>
  <c r="S61" i="19"/>
  <c r="P60" i="19"/>
  <c r="AH58" i="19"/>
  <c r="AE57" i="19"/>
  <c r="AB56" i="19"/>
  <c r="Y55" i="19"/>
  <c r="V54" i="19"/>
  <c r="S53" i="19"/>
  <c r="P52" i="19"/>
  <c r="AH50" i="19"/>
  <c r="AE49" i="19"/>
  <c r="AB48" i="19"/>
  <c r="Y47" i="19"/>
  <c r="V46" i="19"/>
  <c r="S45" i="19"/>
  <c r="P44" i="19"/>
  <c r="AH42" i="19"/>
  <c r="AE41" i="19"/>
  <c r="AB40" i="19"/>
  <c r="Y39" i="19"/>
  <c r="V38" i="19"/>
  <c r="S37" i="19"/>
  <c r="P36" i="19"/>
  <c r="AH34" i="19"/>
  <c r="AE33" i="19"/>
  <c r="AB32" i="19"/>
  <c r="Y31" i="19"/>
  <c r="V30" i="19"/>
  <c r="S29" i="19"/>
  <c r="P28" i="19"/>
  <c r="AH26" i="19"/>
  <c r="AE25" i="19"/>
  <c r="AB24" i="19"/>
  <c r="Y23" i="19"/>
  <c r="V22" i="19"/>
  <c r="S21" i="19"/>
  <c r="P20" i="19"/>
  <c r="P19" i="19"/>
  <c r="AH17" i="19"/>
  <c r="AE16" i="19"/>
  <c r="AE15" i="19"/>
  <c r="AB14" i="19"/>
  <c r="AB13" i="19"/>
  <c r="Y12" i="19"/>
  <c r="P62" i="19"/>
  <c r="V56" i="19"/>
  <c r="Y49" i="19"/>
  <c r="AH44" i="19"/>
  <c r="V40" i="19"/>
  <c r="AH36" i="19"/>
  <c r="S31" i="19"/>
  <c r="AB26" i="19"/>
  <c r="AH20" i="19"/>
  <c r="Y16" i="19"/>
  <c r="AB67" i="19"/>
  <c r="V65" i="19"/>
  <c r="P63" i="19"/>
  <c r="AE60" i="19"/>
  <c r="AB59" i="19"/>
  <c r="S56" i="19"/>
  <c r="AH53" i="19"/>
  <c r="AB51" i="19"/>
  <c r="V49" i="19"/>
  <c r="AH45" i="19"/>
  <c r="Y42" i="19"/>
  <c r="P39" i="19"/>
  <c r="AE36" i="19"/>
  <c r="V33" i="19"/>
  <c r="P31" i="19"/>
  <c r="AE28" i="19"/>
  <c r="Y26" i="19"/>
  <c r="AH21" i="19"/>
  <c r="AE19" i="19"/>
  <c r="Y17" i="19"/>
  <c r="S14" i="19"/>
  <c r="AH67" i="19"/>
  <c r="AE66" i="19"/>
  <c r="AB65" i="19"/>
  <c r="Y64" i="19"/>
  <c r="V63" i="19"/>
  <c r="S62" i="19"/>
  <c r="P61" i="19"/>
  <c r="AH59" i="19"/>
  <c r="AE58" i="19"/>
  <c r="AB57" i="19"/>
  <c r="Y56" i="19"/>
  <c r="V55" i="19"/>
  <c r="S54" i="19"/>
  <c r="P53" i="19"/>
  <c r="AH51" i="19"/>
  <c r="AE50" i="19"/>
  <c r="AB49" i="19"/>
  <c r="Y48" i="19"/>
  <c r="V47" i="19"/>
  <c r="S46" i="19"/>
  <c r="P45" i="19"/>
  <c r="AH43" i="19"/>
  <c r="AE42" i="19"/>
  <c r="AB41" i="19"/>
  <c r="Y40" i="19"/>
  <c r="V39" i="19"/>
  <c r="S38" i="19"/>
  <c r="P37" i="19"/>
  <c r="AH35" i="19"/>
  <c r="AE34" i="19"/>
  <c r="AB33" i="19"/>
  <c r="Y32" i="19"/>
  <c r="V31" i="19"/>
  <c r="S30" i="19"/>
  <c r="P29" i="19"/>
  <c r="AH27" i="19"/>
  <c r="AE26" i="19"/>
  <c r="AB25" i="19"/>
  <c r="Y24" i="19"/>
  <c r="V23" i="19"/>
  <c r="S22" i="19"/>
  <c r="P21" i="19"/>
  <c r="AH18" i="19"/>
  <c r="AE17" i="19"/>
  <c r="AB16" i="19"/>
  <c r="AB15" i="19"/>
  <c r="Y14" i="19"/>
  <c r="Y13" i="19"/>
  <c r="V12" i="19"/>
  <c r="AH68" i="19"/>
  <c r="AB66" i="19"/>
  <c r="S63" i="19"/>
  <c r="AB58" i="19"/>
  <c r="S55" i="19"/>
  <c r="AB50" i="19"/>
  <c r="P46" i="19"/>
  <c r="Y41" i="19"/>
  <c r="AB34" i="19"/>
  <c r="P30" i="19"/>
  <c r="V24" i="19"/>
  <c r="AE18" i="19"/>
  <c r="V14" i="19"/>
  <c r="AB68" i="19"/>
  <c r="Y67" i="19"/>
  <c r="V66" i="19"/>
  <c r="S65" i="19"/>
  <c r="P64" i="19"/>
  <c r="AH62" i="19"/>
  <c r="AE61" i="19"/>
  <c r="AB60" i="19"/>
  <c r="Y59" i="19"/>
  <c r="V58" i="19"/>
  <c r="S57" i="19"/>
  <c r="P56" i="19"/>
  <c r="AH54" i="19"/>
  <c r="AE53" i="19"/>
  <c r="AB52" i="19"/>
  <c r="Y51" i="19"/>
  <c r="V50" i="19"/>
  <c r="S49" i="19"/>
  <c r="P48" i="19"/>
  <c r="AH46" i="19"/>
  <c r="AE45" i="19"/>
  <c r="AB44" i="19"/>
  <c r="Y43" i="19"/>
  <c r="V42" i="19"/>
  <c r="S41" i="19"/>
  <c r="P40" i="19"/>
  <c r="AH38" i="19"/>
  <c r="AE37" i="19"/>
  <c r="AB36" i="19"/>
  <c r="Y35" i="19"/>
  <c r="V34" i="19"/>
  <c r="S33" i="19"/>
  <c r="P32" i="19"/>
  <c r="AH30" i="19"/>
  <c r="AE29" i="19"/>
  <c r="AB28" i="19"/>
  <c r="Y27" i="19"/>
  <c r="V26" i="19"/>
  <c r="S25" i="19"/>
  <c r="P24" i="19"/>
  <c r="AH22" i="19"/>
  <c r="AE21" i="19"/>
  <c r="AB20" i="19"/>
  <c r="AB19" i="19"/>
  <c r="Y18" i="19"/>
  <c r="V17" i="19"/>
  <c r="S16" i="19"/>
  <c r="S15" i="19"/>
  <c r="P14" i="19"/>
  <c r="P13" i="19"/>
  <c r="S64" i="19"/>
  <c r="V57" i="19"/>
  <c r="AE52" i="19"/>
  <c r="P47" i="19"/>
  <c r="V41" i="19"/>
  <c r="Y34" i="19"/>
  <c r="V25" i="19"/>
  <c r="AB18" i="19"/>
  <c r="S13" i="19"/>
  <c r="Y68" i="19"/>
  <c r="V67" i="19"/>
  <c r="S66" i="19"/>
  <c r="P65" i="19"/>
  <c r="AH63" i="19"/>
  <c r="AE62" i="19"/>
  <c r="AB61" i="19"/>
  <c r="Y60" i="19"/>
  <c r="V59" i="19"/>
  <c r="S58" i="19"/>
  <c r="P57" i="19"/>
  <c r="AH55" i="19"/>
  <c r="AE54" i="19"/>
  <c r="AB53" i="19"/>
  <c r="Y52" i="19"/>
  <c r="V51" i="19"/>
  <c r="S50" i="19"/>
  <c r="P49" i="19"/>
  <c r="AH47" i="19"/>
  <c r="AE46" i="19"/>
  <c r="AB45" i="19"/>
  <c r="Y44" i="19"/>
  <c r="V43" i="19"/>
  <c r="S42" i="19"/>
  <c r="P41" i="19"/>
  <c r="AH39" i="19"/>
  <c r="AE38" i="19"/>
  <c r="AB37" i="19"/>
  <c r="Y36" i="19"/>
  <c r="V35" i="19"/>
  <c r="S34" i="19"/>
  <c r="P33" i="19"/>
  <c r="AH31" i="19"/>
  <c r="AE30" i="19"/>
  <c r="AB29" i="19"/>
  <c r="Y28" i="19"/>
  <c r="V27" i="19"/>
  <c r="S26" i="19"/>
  <c r="P25" i="19"/>
  <c r="AH23" i="19"/>
  <c r="AE22" i="19"/>
  <c r="AB21" i="19"/>
  <c r="Y20" i="19"/>
  <c r="Y19" i="19"/>
  <c r="V18" i="19"/>
  <c r="S17" i="19"/>
  <c r="P16" i="19"/>
  <c r="P15" i="19"/>
  <c r="AH12" i="19"/>
  <c r="Y66" i="19"/>
  <c r="AH61" i="19"/>
  <c r="Y58" i="19"/>
  <c r="P55" i="19"/>
  <c r="Y50" i="19"/>
  <c r="S48" i="19"/>
  <c r="AE44" i="19"/>
  <c r="AB43" i="19"/>
  <c r="S40" i="19"/>
  <c r="AH37" i="19"/>
  <c r="AB35" i="19"/>
  <c r="S32" i="19"/>
  <c r="AH29" i="19"/>
  <c r="AB27" i="19"/>
  <c r="P23" i="19"/>
  <c r="AE20" i="19"/>
  <c r="V16" i="19"/>
  <c r="V15" i="19"/>
  <c r="P12" i="19"/>
  <c r="Y94" i="19"/>
  <c r="Y86" i="19"/>
  <c r="AE75" i="19"/>
  <c r="P79" i="19"/>
  <c r="AH89" i="19"/>
  <c r="AB94" i="19"/>
  <c r="S77" i="19"/>
  <c r="AH101" i="19"/>
  <c r="P74" i="19"/>
  <c r="P73" i="19"/>
  <c r="AB96" i="19"/>
  <c r="AB71" i="19"/>
  <c r="V102" i="19"/>
  <c r="S86" i="19"/>
  <c r="AH81" i="19"/>
  <c r="P96" i="19"/>
  <c r="S94" i="19"/>
  <c r="AH93" i="19"/>
  <c r="Y99" i="19"/>
  <c r="AB73" i="19"/>
  <c r="AH98" i="19"/>
  <c r="V83" i="19"/>
  <c r="Y97" i="19"/>
  <c r="P102" i="19"/>
  <c r="AE72" i="19"/>
  <c r="AB84" i="19"/>
  <c r="S96" i="19"/>
  <c r="V92" i="19"/>
  <c r="Y82" i="19"/>
  <c r="P80" i="19"/>
  <c r="V96" i="19"/>
  <c r="AH69" i="19"/>
  <c r="AE96" i="19"/>
  <c r="S83" i="19"/>
  <c r="S85" i="19"/>
  <c r="AE93" i="19"/>
  <c r="S82" i="19"/>
  <c r="AB74" i="19"/>
  <c r="AE99" i="19"/>
  <c r="AE71" i="19"/>
  <c r="AH82" i="19"/>
  <c r="V84" i="19"/>
  <c r="V98" i="19"/>
  <c r="Y91" i="19"/>
  <c r="V88" i="19"/>
  <c r="S76" i="19"/>
  <c r="AH100" i="19"/>
  <c r="S74" i="19"/>
  <c r="AH102" i="19"/>
  <c r="AB99" i="19"/>
  <c r="S90" i="19"/>
  <c r="Y72" i="19"/>
  <c r="AH78" i="19"/>
  <c r="AB95" i="19"/>
  <c r="V82" i="19"/>
  <c r="AE76" i="19"/>
  <c r="S87" i="19"/>
  <c r="Y76" i="19"/>
  <c r="AH71" i="19"/>
  <c r="V101" i="19"/>
  <c r="AB93" i="19"/>
  <c r="P98" i="19"/>
  <c r="S84" i="19"/>
  <c r="Y71" i="19"/>
  <c r="P90" i="19"/>
  <c r="V79" i="19"/>
  <c r="Y92" i="19"/>
  <c r="AB97" i="19"/>
  <c r="S88" i="19"/>
  <c r="P82" i="19"/>
  <c r="P70" i="19"/>
  <c r="P87" i="19"/>
  <c r="AH90" i="19"/>
  <c r="V78" i="19"/>
  <c r="V91" i="19"/>
  <c r="AH80" i="19"/>
  <c r="AB82" i="19"/>
  <c r="AH99" i="19"/>
  <c r="AH76" i="19"/>
  <c r="AE84" i="19"/>
  <c r="P83" i="19"/>
  <c r="Y88" i="19"/>
  <c r="S101" i="19"/>
  <c r="AB83" i="19"/>
  <c r="AB79" i="19"/>
  <c r="AB85" i="19"/>
  <c r="AB89" i="19"/>
  <c r="S78" i="19"/>
  <c r="S97" i="19"/>
  <c r="Y95" i="19"/>
  <c r="P76" i="19"/>
  <c r="Y77" i="19"/>
  <c r="AE80" i="19"/>
  <c r="Y75" i="19"/>
  <c r="AE95" i="19"/>
  <c r="AB77" i="19"/>
  <c r="V95" i="19"/>
  <c r="AB101" i="19"/>
  <c r="AE94" i="19"/>
  <c r="AE79" i="19"/>
  <c r="Y83" i="19"/>
  <c r="S69" i="19"/>
  <c r="S80" i="19"/>
  <c r="AE82" i="19"/>
  <c r="V73" i="19"/>
  <c r="S89" i="19"/>
  <c r="S81" i="19"/>
  <c r="P94" i="19"/>
  <c r="AE87" i="19"/>
  <c r="AH72" i="19"/>
  <c r="Y69" i="19"/>
  <c r="P97" i="19"/>
  <c r="P100" i="19"/>
  <c r="G9" i="19"/>
  <c r="P75" i="19"/>
  <c r="AB102" i="19"/>
  <c r="AH75" i="19"/>
  <c r="V81" i="19"/>
  <c r="AH85" i="19"/>
  <c r="AH73" i="19"/>
  <c r="AH94" i="19"/>
  <c r="P95" i="19"/>
  <c r="AE70" i="19"/>
  <c r="AB90" i="19"/>
  <c r="V99" i="19"/>
  <c r="V77" i="19"/>
  <c r="AH87" i="19"/>
  <c r="Y101" i="19"/>
  <c r="Y84" i="19"/>
  <c r="Y73" i="19"/>
  <c r="AB80" i="19"/>
  <c r="AH92" i="19"/>
  <c r="AE100" i="19"/>
  <c r="P101" i="19"/>
  <c r="V86" i="19"/>
  <c r="Y87" i="19"/>
  <c r="V87" i="19"/>
  <c r="S100" i="19"/>
  <c r="Y85" i="19"/>
  <c r="AH70" i="19"/>
  <c r="P77" i="19"/>
  <c r="Y89" i="19"/>
  <c r="AH95" i="19"/>
  <c r="Y100" i="19"/>
  <c r="AE102" i="19"/>
  <c r="S92" i="19"/>
  <c r="S93" i="19"/>
  <c r="AH79" i="19"/>
  <c r="AH84" i="19"/>
  <c r="AE92" i="19"/>
  <c r="P78" i="19"/>
  <c r="S75" i="19"/>
  <c r="P88" i="19"/>
  <c r="AB86" i="19"/>
  <c r="Y102" i="19"/>
  <c r="AE98" i="19"/>
  <c r="S70" i="19"/>
  <c r="AH77" i="19"/>
  <c r="Y74" i="19"/>
  <c r="AE90" i="19"/>
  <c r="V80" i="19"/>
  <c r="V76" i="19"/>
  <c r="V93" i="19"/>
  <c r="V89" i="19"/>
  <c r="Y96" i="19"/>
  <c r="P81" i="19"/>
  <c r="Y80" i="19"/>
  <c r="AE81" i="19"/>
  <c r="AH97" i="19"/>
  <c r="V70" i="19"/>
  <c r="P85" i="19"/>
  <c r="AB78" i="19"/>
  <c r="V69" i="19"/>
  <c r="S71" i="19"/>
  <c r="V71" i="19"/>
  <c r="S95" i="19"/>
  <c r="P91" i="19"/>
  <c r="AH86" i="19"/>
  <c r="AE86" i="19"/>
  <c r="Y81" i="19"/>
  <c r="AE101" i="19"/>
  <c r="AE91" i="19"/>
  <c r="P89" i="19"/>
  <c r="V90" i="19"/>
  <c r="P72" i="19"/>
  <c r="AH74" i="19"/>
  <c r="AE89" i="19"/>
  <c r="AB75" i="19"/>
  <c r="P99" i="19"/>
  <c r="S99" i="19"/>
  <c r="AB98" i="19"/>
  <c r="S79" i="19"/>
  <c r="AB92" i="19"/>
  <c r="AB76" i="19"/>
  <c r="AE74" i="19"/>
  <c r="Y98" i="19"/>
  <c r="V97" i="19"/>
  <c r="AB70" i="19"/>
  <c r="P92" i="19"/>
  <c r="AB81" i="19"/>
  <c r="V72" i="19"/>
  <c r="S73" i="19"/>
  <c r="S91" i="19"/>
  <c r="Y78" i="19"/>
  <c r="AH96" i="19"/>
  <c r="AE73" i="19"/>
  <c r="AE83" i="19"/>
  <c r="AH88" i="19"/>
  <c r="P84" i="19"/>
  <c r="V94" i="19"/>
  <c r="S72" i="19"/>
  <c r="V100" i="19"/>
  <c r="P69" i="19"/>
  <c r="Y90" i="19"/>
  <c r="S98" i="19"/>
  <c r="Y70" i="19"/>
  <c r="AE97" i="19"/>
  <c r="AE85" i="19"/>
  <c r="AB72" i="19"/>
  <c r="Y79" i="19"/>
  <c r="AB100" i="19"/>
  <c r="AB69" i="19"/>
  <c r="V74" i="19"/>
  <c r="S102" i="19"/>
  <c r="AH91" i="19"/>
  <c r="AE88" i="19"/>
  <c r="P71" i="19"/>
  <c r="AE78" i="19"/>
  <c r="P86" i="19"/>
  <c r="P93" i="19"/>
  <c r="AE77" i="19"/>
  <c r="AB88" i="19"/>
  <c r="V85" i="19"/>
  <c r="AB91" i="19"/>
  <c r="AB87" i="19"/>
  <c r="Y93" i="19"/>
  <c r="AE69" i="19"/>
  <c r="AH83" i="19"/>
  <c r="V75" i="19"/>
  <c r="D24" i="19"/>
  <c r="D31" i="19"/>
  <c r="D49" i="19"/>
  <c r="D33" i="19"/>
  <c r="D29" i="19"/>
  <c r="D64" i="19"/>
  <c r="D14" i="19"/>
  <c r="D16" i="19"/>
  <c r="D12" i="19"/>
  <c r="E39" i="20"/>
  <c r="D37" i="19"/>
  <c r="D38" i="19"/>
  <c r="D15" i="19"/>
  <c r="D17" i="19"/>
  <c r="D46" i="19"/>
  <c r="D42" i="19"/>
  <c r="D36" i="19"/>
  <c r="D52" i="19"/>
  <c r="D26" i="19"/>
  <c r="D25" i="19"/>
  <c r="D44" i="19"/>
  <c r="D35" i="19"/>
  <c r="D34" i="19"/>
  <c r="D28" i="19"/>
  <c r="D13" i="19"/>
  <c r="D22" i="19"/>
  <c r="D32" i="19"/>
  <c r="D21" i="19"/>
  <c r="D57" i="19"/>
  <c r="D30" i="19"/>
  <c r="D48" i="19"/>
  <c r="D23" i="19"/>
  <c r="E60" i="20"/>
  <c r="D61" i="19"/>
  <c r="D63" i="19"/>
  <c r="D56" i="19"/>
  <c r="D18" i="19"/>
  <c r="D62" i="19"/>
  <c r="D67" i="19"/>
  <c r="D41" i="19"/>
  <c r="D43" i="19"/>
  <c r="D66" i="19"/>
  <c r="D65" i="19"/>
  <c r="D55" i="19"/>
  <c r="D27" i="19"/>
  <c r="D47" i="19"/>
  <c r="D45" i="19"/>
  <c r="D54" i="19"/>
  <c r="D50" i="19"/>
  <c r="D53" i="19"/>
  <c r="D20" i="19"/>
  <c r="D19" i="19"/>
  <c r="D51" i="19"/>
  <c r="D68" i="19"/>
  <c r="D60" i="19"/>
  <c r="D59" i="19"/>
  <c r="D58" i="19"/>
  <c r="D40" i="19"/>
  <c r="D39" i="19"/>
  <c r="AP14" i="19"/>
  <c r="E86" i="20"/>
  <c r="G86" i="20"/>
  <c r="E80" i="20"/>
  <c r="G80" i="20"/>
  <c r="E95" i="20"/>
  <c r="H95" i="20"/>
  <c r="E77" i="20"/>
  <c r="H77" i="20"/>
  <c r="E92" i="20"/>
  <c r="G92" i="20"/>
  <c r="E40" i="20"/>
  <c r="F40" i="20"/>
  <c r="E63" i="20"/>
  <c r="F63" i="20"/>
  <c r="E43" i="20"/>
  <c r="F43" i="20"/>
  <c r="E93" i="20"/>
  <c r="H93" i="20"/>
  <c r="E55" i="20"/>
  <c r="G55" i="20"/>
  <c r="E69" i="20"/>
  <c r="H69" i="20"/>
  <c r="E41" i="20"/>
  <c r="E94" i="20"/>
  <c r="G94" i="20"/>
  <c r="E89" i="20"/>
  <c r="F89" i="20"/>
  <c r="E75" i="20"/>
  <c r="G75" i="20"/>
  <c r="E61" i="20"/>
  <c r="F61" i="20"/>
  <c r="E73" i="20"/>
  <c r="H73" i="20"/>
  <c r="E91" i="20"/>
  <c r="F91" i="20"/>
  <c r="E50" i="20"/>
  <c r="F50" i="20"/>
  <c r="E66" i="20"/>
  <c r="F66" i="20"/>
  <c r="E57" i="20"/>
  <c r="F57" i="20"/>
  <c r="E62" i="20"/>
  <c r="F62" i="20"/>
  <c r="E44" i="20"/>
  <c r="G44" i="20"/>
  <c r="E56" i="20"/>
  <c r="E78" i="20"/>
  <c r="G78" i="20"/>
  <c r="E81" i="20"/>
  <c r="F81" i="20"/>
  <c r="E67" i="20"/>
  <c r="F67" i="20"/>
  <c r="E72" i="20"/>
  <c r="H72" i="20"/>
  <c r="E70" i="20"/>
  <c r="G70" i="20"/>
  <c r="E83" i="20"/>
  <c r="F83" i="20"/>
  <c r="E84" i="20"/>
  <c r="E71" i="20"/>
  <c r="E42" i="20"/>
  <c r="G42" i="20"/>
  <c r="E90" i="20"/>
  <c r="G90" i="20"/>
  <c r="E52" i="20"/>
  <c r="F52" i="20"/>
  <c r="E65" i="20"/>
  <c r="F65" i="20"/>
  <c r="E76" i="20"/>
  <c r="G76" i="20"/>
  <c r="E85" i="20"/>
  <c r="H85" i="20"/>
  <c r="E74" i="20"/>
  <c r="F74" i="20"/>
  <c r="E47" i="20"/>
  <c r="F47" i="20"/>
  <c r="E54" i="20"/>
  <c r="F54" i="20"/>
  <c r="E68" i="20"/>
  <c r="H68" i="20"/>
  <c r="E88" i="20"/>
  <c r="H88" i="20"/>
  <c r="E53" i="20"/>
  <c r="F53" i="20"/>
  <c r="E64" i="20"/>
  <c r="G64" i="20"/>
  <c r="E58" i="20"/>
  <c r="F58" i="20"/>
  <c r="E46" i="20"/>
  <c r="F46" i="20"/>
  <c r="E48" i="20"/>
  <c r="F48" i="20"/>
  <c r="E87" i="20"/>
  <c r="F87" i="20"/>
  <c r="E82" i="20"/>
  <c r="H82" i="20"/>
  <c r="E49" i="20"/>
  <c r="F49" i="20"/>
  <c r="E79" i="20"/>
  <c r="AP19" i="19"/>
  <c r="E51" i="20"/>
  <c r="F75" i="20"/>
  <c r="E59" i="20"/>
  <c r="G59" i="20"/>
  <c r="H75" i="20"/>
  <c r="F80" i="20"/>
  <c r="G62" i="20"/>
  <c r="F39" i="20"/>
  <c r="G39" i="20"/>
  <c r="E45" i="20"/>
  <c r="F77" i="20"/>
  <c r="G60" i="20"/>
  <c r="F60" i="20"/>
  <c r="G89" i="20"/>
  <c r="F93" i="20"/>
  <c r="H92" i="20"/>
  <c r="F86" i="20"/>
  <c r="F94" i="20"/>
  <c r="G63" i="20"/>
  <c r="G95" i="20"/>
  <c r="G67" i="20"/>
  <c r="G87" i="20"/>
  <c r="H83" i="20"/>
  <c r="G69" i="20"/>
  <c r="G66" i="20"/>
  <c r="H74" i="20"/>
  <c r="F64" i="20"/>
  <c r="G57" i="20"/>
  <c r="H67" i="20"/>
  <c r="G93" i="20"/>
  <c r="H94" i="20"/>
  <c r="H70" i="20"/>
  <c r="F73" i="20"/>
  <c r="F42" i="20"/>
  <c r="G72" i="20"/>
  <c r="G46" i="20"/>
  <c r="G77" i="20"/>
  <c r="G40" i="20"/>
  <c r="H89" i="20"/>
  <c r="F95" i="20"/>
  <c r="F78" i="20"/>
  <c r="F92" i="20"/>
  <c r="G54" i="20"/>
  <c r="H66" i="20"/>
  <c r="G68" i="20"/>
  <c r="H78" i="20"/>
  <c r="H86" i="20"/>
  <c r="G43" i="20"/>
  <c r="H87" i="20"/>
  <c r="F70" i="20"/>
  <c r="F69" i="20"/>
  <c r="F85" i="20"/>
  <c r="F88" i="20"/>
  <c r="G81" i="20"/>
  <c r="G73" i="20"/>
  <c r="G88" i="20"/>
  <c r="F82" i="20"/>
  <c r="G74" i="20"/>
  <c r="F90" i="20"/>
  <c r="G52" i="20"/>
  <c r="G47" i="20"/>
  <c r="G83" i="20"/>
  <c r="H90" i="20"/>
  <c r="H81" i="20"/>
  <c r="G48" i="20"/>
  <c r="G85" i="20"/>
  <c r="G82" i="20"/>
  <c r="G49" i="20"/>
  <c r="F79" i="20"/>
  <c r="H79" i="20"/>
  <c r="F56" i="20"/>
  <c r="G56" i="20"/>
  <c r="G71" i="20"/>
  <c r="F71" i="20"/>
  <c r="H71" i="20"/>
  <c r="G41" i="20"/>
  <c r="F41" i="20"/>
  <c r="F72" i="20"/>
  <c r="G61" i="20"/>
  <c r="H80" i="20"/>
  <c r="F44" i="20"/>
  <c r="F84" i="20"/>
  <c r="H84" i="20"/>
  <c r="G84" i="20"/>
  <c r="F59" i="20"/>
  <c r="G50" i="20"/>
  <c r="F76" i="20"/>
  <c r="H91" i="20"/>
  <c r="G91" i="20"/>
  <c r="G51" i="20"/>
  <c r="F51" i="20"/>
  <c r="F68" i="20"/>
  <c r="G58" i="20"/>
  <c r="G79" i="20"/>
  <c r="G53" i="20"/>
  <c r="H76" i="20"/>
  <c r="F55" i="20"/>
  <c r="G65" i="20"/>
  <c r="AP21" i="19"/>
  <c r="J22" i="16"/>
  <c r="AP20" i="19"/>
  <c r="J22" i="14"/>
  <c r="E29" i="20"/>
  <c r="F45" i="20"/>
  <c r="G45" i="20"/>
  <c r="H29" i="20"/>
  <c r="L21" i="20"/>
  <c r="G24" i="25"/>
  <c r="G29" i="20"/>
  <c r="J21" i="20"/>
  <c r="F29" i="20"/>
  <c r="H21" i="20"/>
  <c r="G22" i="25"/>
  <c r="J23" i="14"/>
  <c r="P22" i="14"/>
  <c r="J23" i="16"/>
  <c r="P22" i="16"/>
  <c r="K21" i="20"/>
  <c r="K22" i="20"/>
  <c r="P23" i="16"/>
  <c r="L41" i="20"/>
  <c r="M41" i="20"/>
  <c r="J24" i="16"/>
  <c r="G23" i="25"/>
  <c r="J24" i="14"/>
  <c r="P23" i="14"/>
  <c r="J25" i="16"/>
  <c r="P24" i="16"/>
  <c r="P24" i="14"/>
  <c r="J25" i="14"/>
  <c r="P25" i="14"/>
  <c r="J26" i="14"/>
  <c r="P25" i="16"/>
  <c r="J26" i="16"/>
  <c r="P26" i="14"/>
  <c r="J27" i="14"/>
  <c r="J27" i="16"/>
  <c r="P26" i="16"/>
  <c r="J28" i="14"/>
  <c r="P27" i="14"/>
  <c r="P27" i="16"/>
  <c r="J28" i="16"/>
  <c r="M53" i="22"/>
  <c r="Q81" i="20"/>
  <c r="R81" i="20"/>
  <c r="M59" i="22"/>
  <c r="Q87" i="20"/>
  <c r="R87" i="20"/>
  <c r="M48" i="22"/>
  <c r="Q76" i="20"/>
  <c r="R76" i="20"/>
  <c r="M58" i="22"/>
  <c r="Q86" i="20"/>
  <c r="R86" i="20"/>
  <c r="M56" i="22"/>
  <c r="Q84" i="20"/>
  <c r="R84" i="20"/>
  <c r="M43" i="22"/>
  <c r="Q71" i="20"/>
  <c r="R71" i="20"/>
  <c r="M65" i="22"/>
  <c r="Q93" i="20"/>
  <c r="R93" i="20"/>
  <c r="M40" i="22"/>
  <c r="Q68" i="20"/>
  <c r="R68" i="20"/>
  <c r="M64" i="22"/>
  <c r="Q92" i="20"/>
  <c r="R92" i="20"/>
  <c r="M54" i="22"/>
  <c r="Q82" i="20"/>
  <c r="R82" i="20"/>
  <c r="M38" i="22"/>
  <c r="Q66" i="20"/>
  <c r="R66" i="20"/>
  <c r="M63" i="22"/>
  <c r="Q91" i="20"/>
  <c r="R91" i="20"/>
  <c r="M52" i="22"/>
  <c r="Q80" i="20"/>
  <c r="R80" i="20"/>
  <c r="M49" i="22"/>
  <c r="Q77" i="20"/>
  <c r="R77" i="20"/>
  <c r="M62" i="22"/>
  <c r="Q90" i="20"/>
  <c r="R90" i="20"/>
  <c r="M51" i="22"/>
  <c r="Q79" i="20"/>
  <c r="R79" i="20"/>
  <c r="M66" i="22"/>
  <c r="Q94" i="20"/>
  <c r="R94" i="20"/>
  <c r="M46" i="22"/>
  <c r="Q74" i="20"/>
  <c r="R74" i="20"/>
  <c r="M42" i="22"/>
  <c r="Q70" i="20"/>
  <c r="R70" i="20"/>
  <c r="M41" i="22"/>
  <c r="Q69" i="20"/>
  <c r="R69" i="20"/>
  <c r="M39" i="22"/>
  <c r="Q67" i="20"/>
  <c r="R67" i="20"/>
  <c r="M47" i="22"/>
  <c r="Q75" i="20"/>
  <c r="R75" i="20"/>
  <c r="M60" i="22"/>
  <c r="Q88" i="20"/>
  <c r="R88" i="20"/>
  <c r="M45" i="22"/>
  <c r="Q73" i="20"/>
  <c r="R73" i="20"/>
  <c r="M57" i="22"/>
  <c r="Q85" i="20"/>
  <c r="R85" i="20"/>
  <c r="M61" i="22"/>
  <c r="Q89" i="20"/>
  <c r="R89" i="20"/>
  <c r="M55" i="22"/>
  <c r="Q83" i="20"/>
  <c r="R83" i="20"/>
  <c r="M44" i="22"/>
  <c r="Q72" i="20"/>
  <c r="R72" i="20"/>
  <c r="M67" i="22"/>
  <c r="Q95" i="20"/>
  <c r="R95" i="20"/>
  <c r="M50" i="22"/>
  <c r="Q78" i="20"/>
  <c r="R78" i="20"/>
  <c r="P28" i="14"/>
  <c r="J29" i="14"/>
  <c r="J29" i="16"/>
  <c r="P28" i="16"/>
  <c r="R29" i="20"/>
  <c r="P29" i="14"/>
  <c r="J30" i="14"/>
  <c r="J30" i="16"/>
  <c r="P29" i="16"/>
  <c r="G25" i="25"/>
  <c r="J31" i="14"/>
  <c r="P30" i="14"/>
  <c r="P30" i="16"/>
  <c r="J31" i="16"/>
  <c r="D41" i="22"/>
  <c r="F41" i="22"/>
  <c r="D51" i="22"/>
  <c r="F51" i="22"/>
  <c r="D42" i="22"/>
  <c r="F42" i="22"/>
  <c r="D57" i="22"/>
  <c r="F57" i="22"/>
  <c r="D67" i="22"/>
  <c r="F67" i="22"/>
  <c r="D60" i="22"/>
  <c r="F60" i="22"/>
  <c r="F53" i="22"/>
  <c r="D53" i="22"/>
  <c r="D47" i="22"/>
  <c r="F47" i="22"/>
  <c r="D49" i="22"/>
  <c r="F49" i="22"/>
  <c r="F50" i="22"/>
  <c r="D50" i="22"/>
  <c r="F59" i="22"/>
  <c r="D59" i="22"/>
  <c r="D63" i="22"/>
  <c r="F63" i="22"/>
  <c r="D65" i="22"/>
  <c r="F65" i="22"/>
  <c r="D58" i="22"/>
  <c r="F58" i="22"/>
  <c r="D46" i="22"/>
  <c r="F46" i="22"/>
  <c r="D48" i="22"/>
  <c r="F48" i="22"/>
  <c r="D39" i="22"/>
  <c r="F39" i="22"/>
  <c r="F66" i="22"/>
  <c r="D66" i="22"/>
  <c r="F40" i="22"/>
  <c r="D40" i="22"/>
  <c r="F64" i="22"/>
  <c r="D64" i="22"/>
  <c r="D55" i="22"/>
  <c r="F55" i="22"/>
  <c r="F54" i="22"/>
  <c r="D54" i="22"/>
  <c r="F56" i="22"/>
  <c r="D56" i="22"/>
  <c r="F45" i="22"/>
  <c r="D45" i="22"/>
  <c r="F62" i="22"/>
  <c r="D62" i="22"/>
  <c r="D44" i="22"/>
  <c r="F44" i="22"/>
  <c r="D43" i="22"/>
  <c r="F43" i="22"/>
  <c r="F61" i="22"/>
  <c r="D61" i="22"/>
  <c r="F52" i="22"/>
  <c r="D52" i="22"/>
  <c r="D38" i="22"/>
  <c r="F38" i="22"/>
  <c r="J32" i="14"/>
  <c r="P31" i="14"/>
  <c r="P31" i="16"/>
  <c r="J32" i="16"/>
  <c r="G39" i="22"/>
  <c r="E39" i="22"/>
  <c r="G56" i="22"/>
  <c r="E56" i="22"/>
  <c r="E53" i="22"/>
  <c r="G53" i="22"/>
  <c r="E57" i="22"/>
  <c r="G57" i="22"/>
  <c r="E65" i="22"/>
  <c r="G65" i="22"/>
  <c r="E61" i="22"/>
  <c r="G61" i="22"/>
  <c r="G42" i="22"/>
  <c r="E42" i="22"/>
  <c r="E64" i="22"/>
  <c r="G64" i="22"/>
  <c r="G62" i="22"/>
  <c r="E62" i="22"/>
  <c r="E38" i="22"/>
  <c r="G38" i="22"/>
  <c r="E63" i="22"/>
  <c r="G63" i="22"/>
  <c r="E52" i="22"/>
  <c r="G52" i="22"/>
  <c r="G48" i="22"/>
  <c r="E48" i="22"/>
  <c r="G58" i="22"/>
  <c r="E58" i="22"/>
  <c r="G60" i="22"/>
  <c r="E60" i="22"/>
  <c r="E51" i="22"/>
  <c r="G51" i="22"/>
  <c r="E67" i="22"/>
  <c r="G67" i="22"/>
  <c r="E43" i="22"/>
  <c r="G43" i="22"/>
  <c r="E45" i="22"/>
  <c r="G45" i="22"/>
  <c r="E46" i="22"/>
  <c r="G46" i="22"/>
  <c r="E40" i="22"/>
  <c r="G40" i="22"/>
  <c r="E41" i="22"/>
  <c r="G41" i="22"/>
  <c r="E47" i="22"/>
  <c r="G47" i="22"/>
  <c r="E55" i="22"/>
  <c r="G55" i="22"/>
  <c r="E66" i="22"/>
  <c r="G66" i="22"/>
  <c r="G44" i="22"/>
  <c r="E44" i="22"/>
  <c r="E59" i="22"/>
  <c r="G59" i="22"/>
  <c r="E50" i="22"/>
  <c r="G50" i="22"/>
  <c r="G54" i="22"/>
  <c r="E54" i="22"/>
  <c r="E49" i="22"/>
  <c r="G49" i="22"/>
  <c r="H48" i="22"/>
  <c r="T76" i="20"/>
  <c r="U76" i="20"/>
  <c r="H65" i="22"/>
  <c r="T93" i="20"/>
  <c r="U93" i="20"/>
  <c r="H39" i="22"/>
  <c r="T67" i="20"/>
  <c r="U67" i="20"/>
  <c r="H38" i="22"/>
  <c r="T66" i="20"/>
  <c r="U66" i="20"/>
  <c r="H55" i="22"/>
  <c r="T83" i="20"/>
  <c r="U83" i="20"/>
  <c r="H42" i="22"/>
  <c r="T70" i="20"/>
  <c r="U70" i="20"/>
  <c r="H41" i="22"/>
  <c r="T69" i="20"/>
  <c r="U69" i="20"/>
  <c r="H43" i="22"/>
  <c r="T71" i="20"/>
  <c r="U71" i="20"/>
  <c r="H56" i="22"/>
  <c r="T84" i="20"/>
  <c r="U84" i="20"/>
  <c r="P32" i="16"/>
  <c r="J33" i="16"/>
  <c r="J33" i="14"/>
  <c r="P32" i="14"/>
  <c r="H64" i="22"/>
  <c r="T92" i="20"/>
  <c r="U92" i="20"/>
  <c r="H57" i="22"/>
  <c r="T85" i="20"/>
  <c r="U85" i="20"/>
  <c r="H60" i="22"/>
  <c r="T88" i="20"/>
  <c r="U88" i="20"/>
  <c r="H63" i="22"/>
  <c r="T91" i="20"/>
  <c r="U91" i="20"/>
  <c r="H45" i="22"/>
  <c r="T73" i="20"/>
  <c r="U73" i="20"/>
  <c r="H50" i="22"/>
  <c r="T78" i="20"/>
  <c r="U78" i="20"/>
  <c r="H67" i="22"/>
  <c r="T95" i="20"/>
  <c r="U95" i="20"/>
  <c r="H46" i="22"/>
  <c r="T74" i="20"/>
  <c r="U74" i="20"/>
  <c r="H51" i="22"/>
  <c r="T79" i="20"/>
  <c r="U79" i="20"/>
  <c r="H58" i="22"/>
  <c r="T86" i="20"/>
  <c r="U86" i="20"/>
  <c r="H59" i="22"/>
  <c r="T87" i="20"/>
  <c r="U87" i="20"/>
  <c r="H53" i="22"/>
  <c r="T81" i="20"/>
  <c r="U81" i="20"/>
  <c r="H47" i="22"/>
  <c r="T75" i="20"/>
  <c r="U75" i="20"/>
  <c r="H49" i="22"/>
  <c r="T77" i="20"/>
  <c r="U77" i="20"/>
  <c r="H54" i="22"/>
  <c r="T82" i="20"/>
  <c r="U82" i="20"/>
  <c r="H44" i="22"/>
  <c r="T72" i="20"/>
  <c r="U72" i="20"/>
  <c r="H61" i="22"/>
  <c r="T89" i="20"/>
  <c r="U89" i="20"/>
  <c r="H66" i="22"/>
  <c r="T94" i="20"/>
  <c r="U94" i="20"/>
  <c r="H40" i="22"/>
  <c r="T68" i="20"/>
  <c r="U68" i="20"/>
  <c r="H52" i="22"/>
  <c r="T80" i="20"/>
  <c r="U80" i="20"/>
  <c r="H62" i="22"/>
  <c r="T90" i="20"/>
  <c r="U90" i="20"/>
  <c r="P33" i="14"/>
  <c r="J34" i="14"/>
  <c r="J34" i="16"/>
  <c r="P33" i="16"/>
  <c r="U29" i="20"/>
  <c r="G26" i="25"/>
  <c r="J35" i="14"/>
  <c r="P34" i="14"/>
  <c r="P34" i="16"/>
  <c r="J35" i="16"/>
  <c r="L20" i="20"/>
  <c r="L22" i="20"/>
  <c r="J36" i="14"/>
  <c r="P35" i="14"/>
  <c r="P35" i="16"/>
  <c r="J36" i="16"/>
  <c r="J37" i="14"/>
  <c r="P36" i="14"/>
  <c r="J37" i="16"/>
  <c r="P36" i="16"/>
  <c r="J38" i="14"/>
  <c r="P37" i="14"/>
  <c r="P37" i="16"/>
  <c r="J38" i="16"/>
  <c r="J39" i="16"/>
  <c r="P38" i="16"/>
  <c r="J39" i="14"/>
  <c r="P38" i="14"/>
  <c r="J40" i="14"/>
  <c r="P39" i="14"/>
  <c r="J40" i="16"/>
  <c r="P39" i="16"/>
  <c r="P40" i="16"/>
  <c r="J41" i="16"/>
  <c r="J41" i="14"/>
  <c r="P40" i="14"/>
  <c r="P41" i="14"/>
  <c r="J42" i="14"/>
  <c r="J42" i="16"/>
  <c r="P41" i="16"/>
  <c r="J43" i="16"/>
  <c r="P42" i="16"/>
  <c r="J43" i="14"/>
  <c r="P42" i="14"/>
  <c r="J44" i="14"/>
  <c r="P43" i="14"/>
  <c r="P43" i="16"/>
  <c r="J44" i="16"/>
  <c r="J45" i="14"/>
  <c r="P44" i="14"/>
  <c r="J45" i="16"/>
  <c r="P44" i="16"/>
  <c r="J46" i="16"/>
  <c r="P45" i="16"/>
  <c r="J46" i="14"/>
  <c r="P45" i="14"/>
  <c r="P46" i="16"/>
  <c r="J47" i="16"/>
  <c r="J47" i="14"/>
  <c r="P46" i="14"/>
  <c r="J48" i="16"/>
  <c r="P47" i="16"/>
  <c r="P47" i="14"/>
  <c r="J48" i="14"/>
  <c r="P48" i="16"/>
  <c r="J49" i="16"/>
  <c r="J49" i="14"/>
  <c r="P48" i="14"/>
  <c r="P49" i="14"/>
  <c r="J50" i="14"/>
  <c r="P49" i="16"/>
  <c r="J50" i="16"/>
  <c r="J51" i="14"/>
  <c r="P50" i="14"/>
  <c r="P50" i="16"/>
  <c r="J51" i="16"/>
  <c r="P51" i="16"/>
  <c r="J52" i="16"/>
  <c r="J52" i="14"/>
  <c r="P51" i="14"/>
  <c r="J53" i="16"/>
  <c r="P52" i="16"/>
  <c r="J53" i="14"/>
  <c r="P52" i="14"/>
  <c r="P53" i="16"/>
  <c r="J54" i="16"/>
  <c r="J54" i="14"/>
  <c r="P53" i="14"/>
  <c r="P54" i="16"/>
  <c r="J55" i="16"/>
  <c r="J55" i="14"/>
  <c r="P54" i="14"/>
  <c r="J56" i="14"/>
  <c r="P55" i="14"/>
  <c r="J56" i="16"/>
  <c r="P55" i="16"/>
  <c r="J57" i="14"/>
  <c r="P56" i="14"/>
  <c r="J57" i="16"/>
  <c r="P56" i="16"/>
  <c r="J58" i="16"/>
  <c r="P57" i="16"/>
  <c r="P57" i="14"/>
  <c r="J58" i="14"/>
  <c r="J59" i="14"/>
  <c r="P58" i="14"/>
  <c r="P58" i="16"/>
  <c r="J59" i="16"/>
  <c r="J60" i="16"/>
  <c r="P59" i="16"/>
  <c r="J60" i="14"/>
  <c r="P59" i="14"/>
  <c r="J61" i="16"/>
  <c r="P60" i="16"/>
  <c r="P60" i="14"/>
  <c r="J61" i="14"/>
  <c r="P61" i="16"/>
  <c r="J62" i="16"/>
  <c r="J62" i="14"/>
  <c r="P61" i="14"/>
  <c r="J63" i="16"/>
  <c r="P62" i="16"/>
  <c r="J63" i="14"/>
  <c r="P62" i="14"/>
  <c r="P63" i="16"/>
  <c r="J64" i="16"/>
  <c r="J64" i="14"/>
  <c r="P63" i="14"/>
  <c r="J65" i="16"/>
  <c r="P64" i="16"/>
  <c r="P64" i="14"/>
  <c r="J65" i="14"/>
  <c r="J66" i="14"/>
  <c r="P65" i="14"/>
  <c r="J66" i="16"/>
  <c r="P65" i="16"/>
  <c r="J67" i="16"/>
  <c r="P66" i="16"/>
  <c r="J67" i="14"/>
  <c r="P66" i="14"/>
  <c r="J68" i="14"/>
  <c r="P67" i="14"/>
  <c r="P67" i="16"/>
  <c r="J68" i="16"/>
  <c r="P68" i="14"/>
  <c r="J69" i="14"/>
  <c r="P68" i="16"/>
  <c r="J69" i="16"/>
  <c r="J70" i="14"/>
  <c r="P69" i="14"/>
  <c r="J70" i="16"/>
  <c r="P69" i="16"/>
  <c r="J71" i="14"/>
  <c r="P70" i="14"/>
  <c r="J71" i="16"/>
  <c r="P70" i="16"/>
  <c r="J72" i="16"/>
  <c r="P71" i="16"/>
  <c r="J72" i="14"/>
  <c r="P71" i="14"/>
  <c r="J73" i="16"/>
  <c r="P72" i="16"/>
  <c r="J73" i="14"/>
  <c r="P72" i="14"/>
  <c r="J74" i="14"/>
  <c r="P73" i="14"/>
  <c r="P73" i="16"/>
  <c r="J74" i="16"/>
  <c r="J75" i="16"/>
  <c r="P74" i="16"/>
  <c r="J75" i="14"/>
  <c r="P74" i="14"/>
  <c r="J76" i="14"/>
  <c r="P75" i="14"/>
  <c r="P75" i="16"/>
  <c r="J76" i="16"/>
  <c r="J77" i="16"/>
  <c r="P76" i="16"/>
  <c r="J77" i="14"/>
  <c r="P76" i="14"/>
  <c r="P77" i="14"/>
  <c r="J78" i="14"/>
  <c r="P77" i="16"/>
  <c r="J78" i="16"/>
  <c r="P78" i="16"/>
  <c r="J79" i="16"/>
  <c r="P78" i="14"/>
  <c r="J79" i="14"/>
  <c r="J80" i="14"/>
  <c r="P79" i="14"/>
  <c r="P79" i="16"/>
  <c r="J80" i="16"/>
  <c r="J81" i="14"/>
  <c r="P80" i="14"/>
  <c r="J81" i="16"/>
  <c r="P80" i="16"/>
  <c r="J82" i="16"/>
  <c r="P81" i="16"/>
  <c r="J82" i="14"/>
  <c r="P81" i="14"/>
  <c r="P82" i="14"/>
  <c r="J83" i="14"/>
  <c r="P82" i="16"/>
  <c r="J83" i="16"/>
  <c r="J84" i="16"/>
  <c r="P83" i="16"/>
  <c r="J84" i="14"/>
  <c r="P83" i="14"/>
  <c r="J85" i="16"/>
  <c r="P84" i="16"/>
  <c r="J85" i="14"/>
  <c r="P84" i="14"/>
  <c r="J86" i="14"/>
  <c r="P85" i="14"/>
  <c r="P85" i="16"/>
  <c r="J86" i="16"/>
  <c r="J87" i="14"/>
  <c r="P86" i="14"/>
  <c r="J87" i="16"/>
  <c r="P86" i="16"/>
  <c r="J88" i="16"/>
  <c r="P87" i="16"/>
  <c r="L51" i="20"/>
  <c r="M51" i="20"/>
  <c r="J88" i="14"/>
  <c r="P87" i="14"/>
  <c r="J89" i="14"/>
  <c r="P88" i="14"/>
  <c r="J89" i="16"/>
  <c r="P88" i="16"/>
  <c r="P89" i="14"/>
  <c r="J90" i="14"/>
  <c r="J90" i="16"/>
  <c r="P89" i="16"/>
  <c r="P90" i="14"/>
  <c r="J91" i="14"/>
  <c r="J91" i="16"/>
  <c r="P90" i="16"/>
  <c r="J92" i="16"/>
  <c r="P91" i="16"/>
  <c r="J92" i="14"/>
  <c r="P91" i="14"/>
  <c r="J93" i="14"/>
  <c r="P92" i="14"/>
  <c r="J93" i="16"/>
  <c r="P92" i="16"/>
  <c r="P93" i="14"/>
  <c r="J94" i="14"/>
  <c r="J94" i="16"/>
  <c r="P93" i="16"/>
  <c r="J95" i="16"/>
  <c r="P94" i="16"/>
  <c r="J95" i="14"/>
  <c r="P94" i="14"/>
  <c r="J96" i="14"/>
  <c r="P95" i="14"/>
  <c r="J96" i="16"/>
  <c r="P95" i="16"/>
  <c r="J97" i="14"/>
  <c r="P96" i="14"/>
  <c r="J97" i="16"/>
  <c r="P96" i="16"/>
  <c r="J98" i="16"/>
  <c r="P97" i="16"/>
  <c r="J98" i="14"/>
  <c r="P97" i="14"/>
  <c r="J99" i="14"/>
  <c r="P98" i="14"/>
  <c r="P98" i="16"/>
  <c r="J99" i="16"/>
  <c r="J100" i="14"/>
  <c r="P99" i="14"/>
  <c r="P99" i="16"/>
  <c r="J100" i="16"/>
  <c r="J101" i="16"/>
  <c r="P100" i="16"/>
  <c r="J101" i="14"/>
  <c r="P100" i="14"/>
  <c r="J102" i="14"/>
  <c r="P101" i="14"/>
  <c r="J102" i="16"/>
  <c r="P101" i="16"/>
  <c r="J103" i="16"/>
  <c r="P102" i="16"/>
  <c r="J103" i="14"/>
  <c r="P102" i="14"/>
  <c r="J104" i="16"/>
  <c r="P103" i="16"/>
  <c r="J104" i="14"/>
  <c r="P103" i="14"/>
  <c r="J105" i="14"/>
  <c r="P104" i="14"/>
  <c r="J105" i="16"/>
  <c r="P104" i="16"/>
  <c r="J106" i="16"/>
  <c r="P105" i="16"/>
  <c r="J106" i="14"/>
  <c r="P105" i="14"/>
  <c r="J107" i="14"/>
  <c r="P106" i="14"/>
  <c r="P106" i="16"/>
  <c r="J107" i="16"/>
  <c r="J108" i="14"/>
  <c r="P107" i="14"/>
  <c r="P107" i="16"/>
  <c r="J108" i="16"/>
  <c r="J109" i="16"/>
  <c r="P108" i="16"/>
  <c r="J109" i="14"/>
  <c r="P108" i="14"/>
  <c r="J110" i="16"/>
  <c r="P109" i="16"/>
  <c r="J110" i="14"/>
  <c r="P109" i="14"/>
  <c r="P110" i="14"/>
  <c r="J111" i="14"/>
  <c r="J111" i="16"/>
  <c r="P110" i="16"/>
  <c r="J112" i="14"/>
  <c r="P111" i="14"/>
  <c r="J112" i="16"/>
  <c r="P111" i="16"/>
  <c r="J113" i="14"/>
  <c r="P112" i="14"/>
  <c r="J113" i="16"/>
  <c r="P112" i="16"/>
  <c r="J114" i="16"/>
  <c r="P113" i="16"/>
  <c r="P113" i="14"/>
  <c r="J114" i="14"/>
  <c r="J115" i="14"/>
  <c r="P114" i="14"/>
  <c r="P114" i="16"/>
  <c r="J115" i="16"/>
  <c r="J116" i="14"/>
  <c r="P115" i="14"/>
  <c r="P115" i="16"/>
  <c r="J116" i="16"/>
  <c r="J117" i="16"/>
  <c r="P116" i="16"/>
  <c r="J117" i="14"/>
  <c r="P116" i="14"/>
  <c r="J118" i="14"/>
  <c r="P117" i="14"/>
  <c r="J118" i="16"/>
  <c r="P117" i="16"/>
  <c r="J119" i="14"/>
  <c r="P118" i="14"/>
  <c r="J119" i="16"/>
  <c r="P118" i="16"/>
  <c r="J120" i="16"/>
  <c r="P119" i="16"/>
  <c r="J120" i="14"/>
  <c r="P119" i="14"/>
  <c r="J121" i="14"/>
  <c r="P120" i="14"/>
  <c r="P120" i="16"/>
  <c r="J121" i="16"/>
  <c r="P121" i="14"/>
  <c r="J122" i="14"/>
  <c r="J122" i="16"/>
  <c r="P121" i="16"/>
  <c r="P122" i="16"/>
  <c r="J123" i="16"/>
  <c r="P122" i="14"/>
  <c r="J123" i="14"/>
  <c r="J124" i="16"/>
  <c r="P123" i="16"/>
  <c r="J124" i="14"/>
  <c r="P123" i="14"/>
  <c r="P124" i="16"/>
  <c r="J125" i="16"/>
  <c r="P124" i="14"/>
  <c r="J125" i="14"/>
  <c r="P125" i="16"/>
  <c r="J126" i="16"/>
  <c r="J126" i="14"/>
  <c r="P125" i="14"/>
  <c r="J127" i="16"/>
  <c r="P126" i="16"/>
  <c r="J127" i="14"/>
  <c r="P126" i="14"/>
  <c r="J128" i="14"/>
  <c r="P127" i="14"/>
  <c r="J128" i="16"/>
  <c r="P127" i="16"/>
  <c r="J129" i="14"/>
  <c r="P128" i="14"/>
  <c r="P128" i="16"/>
  <c r="J129" i="16"/>
  <c r="J130" i="16"/>
  <c r="P129" i="16"/>
  <c r="J130" i="14"/>
  <c r="P129" i="14"/>
  <c r="J131" i="14"/>
  <c r="P130" i="14"/>
  <c r="J131" i="16"/>
  <c r="P130" i="16"/>
  <c r="P131" i="14"/>
  <c r="J132" i="14"/>
  <c r="P131" i="16"/>
  <c r="J132" i="16"/>
  <c r="P132" i="14"/>
  <c r="J133" i="14"/>
  <c r="J133" i="16"/>
  <c r="P132" i="16"/>
  <c r="J134" i="16"/>
  <c r="P133" i="16"/>
  <c r="P133" i="14"/>
  <c r="J134" i="14"/>
  <c r="P134" i="14"/>
  <c r="J135" i="14"/>
  <c r="J135" i="16"/>
  <c r="P134" i="16"/>
  <c r="P135" i="14"/>
  <c r="J136" i="14"/>
  <c r="P135" i="16"/>
  <c r="J136" i="16"/>
  <c r="J137" i="14"/>
  <c r="P136" i="14"/>
  <c r="J137" i="16"/>
  <c r="P136" i="16"/>
  <c r="J138" i="16"/>
  <c r="P137" i="16"/>
  <c r="P137" i="14"/>
  <c r="J138" i="14"/>
  <c r="J139" i="16"/>
  <c r="P138" i="16"/>
  <c r="P138" i="14"/>
  <c r="J139" i="14"/>
  <c r="P139" i="16"/>
  <c r="J140" i="16"/>
  <c r="P139" i="14"/>
  <c r="J140" i="14"/>
  <c r="J141" i="16"/>
  <c r="P140" i="16"/>
  <c r="J141" i="14"/>
  <c r="P140" i="14"/>
  <c r="P141" i="14"/>
  <c r="J142" i="14"/>
  <c r="P141" i="16"/>
  <c r="J142" i="16"/>
  <c r="P142" i="16"/>
  <c r="J143" i="16"/>
  <c r="P142" i="14"/>
  <c r="J143" i="14"/>
  <c r="J144" i="14"/>
  <c r="P143" i="14"/>
  <c r="P143" i="16"/>
  <c r="J144" i="16"/>
  <c r="J145" i="16"/>
  <c r="P144" i="16"/>
  <c r="P144" i="14"/>
  <c r="J145" i="14"/>
  <c r="J146" i="14"/>
  <c r="P145" i="14"/>
  <c r="J146" i="16"/>
  <c r="P145" i="16"/>
  <c r="P146" i="16"/>
  <c r="J147" i="16"/>
  <c r="P146" i="14"/>
  <c r="J147" i="14"/>
  <c r="P147" i="14"/>
  <c r="J148" i="14"/>
  <c r="P147" i="16"/>
  <c r="J148" i="16"/>
  <c r="P148" i="14"/>
  <c r="J149" i="14"/>
  <c r="P148" i="16"/>
  <c r="J149" i="16"/>
  <c r="J150" i="16"/>
  <c r="P149" i="16"/>
  <c r="P149" i="14"/>
  <c r="J150" i="14"/>
  <c r="J151" i="14"/>
  <c r="P150" i="14"/>
  <c r="J151" i="16"/>
  <c r="P150" i="16"/>
  <c r="J152" i="16"/>
  <c r="P151" i="16"/>
  <c r="P151" i="14"/>
  <c r="J152" i="14"/>
  <c r="J153" i="14"/>
  <c r="P152" i="14"/>
  <c r="J153" i="16"/>
  <c r="P152" i="16"/>
  <c r="P153" i="14"/>
  <c r="J154" i="14"/>
  <c r="J154" i="16"/>
  <c r="P153" i="16"/>
  <c r="P154" i="14"/>
  <c r="J155" i="14"/>
  <c r="J155" i="16"/>
  <c r="P154" i="16"/>
  <c r="J156" i="14"/>
  <c r="P155" i="14"/>
  <c r="J156" i="16"/>
  <c r="P155" i="16"/>
  <c r="J157" i="16"/>
  <c r="P156" i="16"/>
  <c r="J157" i="14"/>
  <c r="P156" i="14"/>
  <c r="J158" i="14"/>
  <c r="P157" i="14"/>
  <c r="J158" i="16"/>
  <c r="P157" i="16"/>
  <c r="P158" i="14"/>
  <c r="J159" i="14"/>
  <c r="J159" i="16"/>
  <c r="P158" i="16"/>
  <c r="P159" i="14"/>
  <c r="J160" i="14"/>
  <c r="J160" i="16"/>
  <c r="P159" i="16"/>
  <c r="J161" i="16"/>
  <c r="P160" i="16"/>
  <c r="P160" i="14"/>
  <c r="J161" i="14"/>
  <c r="J162" i="14"/>
  <c r="P161" i="14"/>
  <c r="P161" i="16"/>
  <c r="J162" i="16"/>
  <c r="J163" i="16"/>
  <c r="P162" i="16"/>
  <c r="J163" i="14"/>
  <c r="P162" i="14"/>
  <c r="P163" i="14"/>
  <c r="J164" i="14"/>
  <c r="P163" i="16"/>
  <c r="J164" i="16"/>
  <c r="J165" i="16"/>
  <c r="P164" i="16"/>
  <c r="P164" i="14"/>
  <c r="J165" i="14"/>
  <c r="J166" i="14"/>
  <c r="P165" i="14"/>
  <c r="J166" i="16"/>
  <c r="P165" i="16"/>
  <c r="P166" i="16"/>
  <c r="J167" i="16"/>
  <c r="J167" i="14"/>
  <c r="P166" i="14"/>
  <c r="P167" i="14"/>
  <c r="J168" i="14"/>
  <c r="P167" i="16"/>
  <c r="J168" i="16"/>
  <c r="J169" i="16"/>
  <c r="P168" i="16"/>
  <c r="P168" i="14"/>
  <c r="J169" i="14"/>
  <c r="P169" i="14"/>
  <c r="J170" i="14"/>
  <c r="P169" i="16"/>
  <c r="J170" i="16"/>
  <c r="P170" i="14"/>
  <c r="J171" i="14"/>
  <c r="P170" i="16"/>
  <c r="J171" i="16"/>
  <c r="J172" i="16"/>
  <c r="P171" i="16"/>
  <c r="P171" i="14"/>
  <c r="J172" i="14"/>
  <c r="P172" i="14"/>
  <c r="J173" i="14"/>
  <c r="J173" i="16"/>
  <c r="P172" i="16"/>
  <c r="P173" i="14"/>
  <c r="J174" i="14"/>
  <c r="J174" i="16"/>
  <c r="P173" i="16"/>
  <c r="J175" i="14"/>
  <c r="P174" i="14"/>
  <c r="P174" i="16"/>
  <c r="J175" i="16"/>
  <c r="P175" i="16"/>
  <c r="J176" i="16"/>
  <c r="P175" i="14"/>
  <c r="J176" i="14"/>
  <c r="P176" i="14"/>
  <c r="J177" i="14"/>
  <c r="J177" i="16"/>
  <c r="P176" i="16"/>
  <c r="J178" i="16"/>
  <c r="P177" i="16"/>
  <c r="J178" i="14"/>
  <c r="P177" i="14"/>
  <c r="P178" i="14"/>
  <c r="J179" i="14"/>
  <c r="P178" i="16"/>
  <c r="J179" i="16"/>
  <c r="P179" i="14"/>
  <c r="J180" i="14"/>
  <c r="P179" i="16"/>
  <c r="J180" i="16"/>
  <c r="P180" i="16"/>
  <c r="J181" i="16"/>
  <c r="P180" i="14"/>
  <c r="J181" i="14"/>
  <c r="J182" i="16"/>
  <c r="P181" i="16"/>
  <c r="P181" i="14"/>
  <c r="J182" i="14"/>
  <c r="J183" i="16"/>
  <c r="P182" i="16"/>
  <c r="P182" i="14"/>
  <c r="J183" i="14"/>
  <c r="P183" i="14"/>
  <c r="J184" i="14"/>
  <c r="J184" i="16"/>
  <c r="P183" i="16"/>
  <c r="P184" i="16"/>
  <c r="J185" i="16"/>
  <c r="P184" i="14"/>
  <c r="J185" i="14"/>
  <c r="P185" i="14"/>
  <c r="J186" i="14"/>
  <c r="J186" i="16"/>
  <c r="P185" i="16"/>
  <c r="J187" i="16"/>
  <c r="P186" i="16"/>
  <c r="P186" i="14"/>
  <c r="J187" i="14"/>
  <c r="J188" i="14"/>
  <c r="P187" i="14"/>
  <c r="J188" i="16"/>
  <c r="P187" i="16"/>
  <c r="J189" i="16"/>
  <c r="P188" i="16"/>
  <c r="J189" i="14"/>
  <c r="P188" i="14"/>
  <c r="J190" i="16"/>
  <c r="P189" i="16"/>
  <c r="P189" i="14"/>
  <c r="J190" i="14"/>
  <c r="P190" i="14"/>
  <c r="J191" i="14"/>
  <c r="J191" i="16"/>
  <c r="P190" i="16"/>
  <c r="P191" i="14"/>
  <c r="J192" i="14"/>
  <c r="P191" i="16"/>
  <c r="J192" i="16"/>
  <c r="P192" i="14"/>
  <c r="J193" i="14"/>
  <c r="J193" i="16"/>
  <c r="P192" i="16"/>
  <c r="J194" i="16"/>
  <c r="P193" i="16"/>
  <c r="J194" i="14"/>
  <c r="P193" i="14"/>
  <c r="P194" i="14"/>
  <c r="J195" i="14"/>
  <c r="P194" i="16"/>
  <c r="J195" i="16"/>
  <c r="P195" i="14"/>
  <c r="J196" i="14"/>
  <c r="P195" i="16"/>
  <c r="J196" i="16"/>
  <c r="P196" i="16"/>
  <c r="J197" i="16"/>
  <c r="P196" i="14"/>
  <c r="J197" i="14"/>
  <c r="J198" i="14"/>
  <c r="P197" i="14"/>
  <c r="J198" i="16"/>
  <c r="P197" i="16"/>
  <c r="P198" i="16"/>
  <c r="J199" i="16"/>
  <c r="J199" i="14"/>
  <c r="P198" i="14"/>
  <c r="J200" i="14"/>
  <c r="P199" i="14"/>
  <c r="J200" i="16"/>
  <c r="P199" i="16"/>
  <c r="P200" i="14"/>
  <c r="J201" i="14"/>
  <c r="J201" i="16"/>
  <c r="P200" i="16"/>
  <c r="J202" i="16"/>
  <c r="P201" i="16"/>
  <c r="P201" i="14"/>
  <c r="J202" i="14"/>
  <c r="P202" i="14"/>
  <c r="J203" i="14"/>
  <c r="J203" i="16"/>
  <c r="P202" i="16"/>
  <c r="J204" i="16"/>
  <c r="P203" i="16"/>
  <c r="J204" i="14"/>
  <c r="P203" i="14"/>
  <c r="P204" i="16"/>
  <c r="J205" i="16"/>
  <c r="P204" i="14"/>
  <c r="J205" i="14"/>
  <c r="P205" i="14"/>
  <c r="J206" i="14"/>
  <c r="P205" i="16"/>
  <c r="J206" i="16"/>
  <c r="P206" i="14"/>
  <c r="J207" i="14"/>
  <c r="P206" i="16"/>
  <c r="J207" i="16"/>
  <c r="P207" i="14"/>
  <c r="J208" i="14"/>
  <c r="J208" i="16"/>
  <c r="P207" i="16"/>
  <c r="J209" i="16"/>
  <c r="P208" i="16"/>
  <c r="J209" i="14"/>
  <c r="P208" i="14"/>
  <c r="J210" i="14"/>
  <c r="P209" i="14"/>
  <c r="J210" i="16"/>
  <c r="P209" i="16"/>
  <c r="P210" i="16"/>
  <c r="J211" i="16"/>
  <c r="J211" i="14"/>
  <c r="P210" i="14"/>
  <c r="P211" i="16"/>
  <c r="J212" i="16"/>
  <c r="P211" i="14"/>
  <c r="J212" i="14"/>
  <c r="J213" i="14"/>
  <c r="P212" i="14"/>
  <c r="J213" i="16"/>
  <c r="P212" i="16"/>
  <c r="J214" i="14"/>
  <c r="P213" i="14"/>
  <c r="J214" i="16"/>
  <c r="P213" i="16"/>
  <c r="P214" i="16"/>
  <c r="J215" i="16"/>
  <c r="P214" i="14"/>
  <c r="J215" i="14"/>
  <c r="J216" i="16"/>
  <c r="P215" i="16"/>
  <c r="P215" i="14"/>
  <c r="J216" i="14"/>
  <c r="J217" i="14"/>
  <c r="P216" i="14"/>
  <c r="P216" i="16"/>
  <c r="J217" i="16"/>
  <c r="J218" i="16"/>
  <c r="P217" i="16"/>
  <c r="J218" i="14"/>
  <c r="P217" i="14"/>
  <c r="P218" i="14"/>
  <c r="J219" i="14"/>
  <c r="P218" i="16"/>
  <c r="J219" i="16"/>
  <c r="J220" i="14"/>
  <c r="P219" i="14"/>
  <c r="P219" i="16"/>
  <c r="J220" i="16"/>
  <c r="P220" i="16"/>
  <c r="J221" i="16"/>
  <c r="J221" i="14"/>
  <c r="P220" i="14"/>
  <c r="J222" i="16"/>
  <c r="P221" i="16"/>
  <c r="J222" i="14"/>
  <c r="P221" i="14"/>
  <c r="J223" i="16"/>
  <c r="P222" i="16"/>
  <c r="P222" i="14"/>
  <c r="J223" i="14"/>
  <c r="J224" i="16"/>
  <c r="P223" i="16"/>
  <c r="P223" i="14"/>
  <c r="J224" i="14"/>
  <c r="P224" i="14"/>
  <c r="J225" i="14"/>
  <c r="J225" i="16"/>
  <c r="P224" i="16"/>
  <c r="J226" i="14"/>
  <c r="P225" i="14"/>
  <c r="J226" i="16"/>
  <c r="P225" i="16"/>
  <c r="P226" i="16"/>
  <c r="J227" i="16"/>
  <c r="P226" i="14"/>
  <c r="J227" i="14"/>
  <c r="J228" i="14"/>
  <c r="P227" i="14"/>
  <c r="P227" i="16"/>
  <c r="J228" i="16"/>
  <c r="P228" i="14"/>
  <c r="J229" i="14"/>
  <c r="J229" i="16"/>
  <c r="P228" i="16"/>
  <c r="J230" i="14"/>
  <c r="P229" i="14"/>
  <c r="J230" i="16"/>
  <c r="P229" i="16"/>
  <c r="P230" i="16"/>
  <c r="J231" i="16"/>
  <c r="P230" i="14"/>
  <c r="J231" i="14"/>
  <c r="P231" i="16"/>
  <c r="J232" i="16"/>
  <c r="J232" i="14"/>
  <c r="P231" i="14"/>
  <c r="J233" i="16"/>
  <c r="P232" i="16"/>
  <c r="J233" i="14"/>
  <c r="P232" i="14"/>
  <c r="J234" i="14"/>
  <c r="P233" i="14"/>
  <c r="J234" i="16"/>
  <c r="P233" i="16"/>
  <c r="J235" i="16"/>
  <c r="P234" i="16"/>
  <c r="P234" i="14"/>
  <c r="J235" i="14"/>
  <c r="J236" i="14"/>
  <c r="P235" i="14"/>
  <c r="P235" i="16"/>
  <c r="J236" i="16"/>
  <c r="J237" i="16"/>
  <c r="P236" i="16"/>
  <c r="P236" i="14"/>
  <c r="J237" i="14"/>
  <c r="J238" i="14"/>
  <c r="P237" i="14"/>
  <c r="P237" i="16"/>
  <c r="J238" i="16"/>
  <c r="P238" i="16"/>
  <c r="J239" i="16"/>
  <c r="J239" i="14"/>
  <c r="P238" i="14"/>
  <c r="P239" i="14"/>
  <c r="J240" i="14"/>
  <c r="P239" i="16"/>
  <c r="J240" i="16"/>
  <c r="P240" i="16"/>
  <c r="J241" i="16"/>
  <c r="P240" i="14"/>
  <c r="J241" i="14"/>
  <c r="P241" i="14"/>
  <c r="J242" i="14"/>
  <c r="J242" i="16"/>
  <c r="P241" i="16"/>
  <c r="P242" i="14"/>
  <c r="J243" i="14"/>
  <c r="J243" i="16"/>
  <c r="P242" i="16"/>
  <c r="P243" i="16"/>
  <c r="J244" i="16"/>
  <c r="J244" i="14"/>
  <c r="P243" i="14"/>
  <c r="P244" i="14"/>
  <c r="J245" i="14"/>
  <c r="J245" i="16"/>
  <c r="P244" i="16"/>
  <c r="J246" i="16"/>
  <c r="P245" i="16"/>
  <c r="J246" i="14"/>
  <c r="P245" i="14"/>
  <c r="J247" i="14"/>
  <c r="P246" i="14"/>
  <c r="J247" i="16"/>
  <c r="P246" i="16"/>
  <c r="P247" i="16"/>
  <c r="J248" i="16"/>
  <c r="P247" i="14"/>
  <c r="J248" i="14"/>
  <c r="J249" i="14"/>
  <c r="P248" i="14"/>
  <c r="J249" i="16"/>
  <c r="P248" i="16"/>
  <c r="J250" i="16"/>
  <c r="P249" i="16"/>
  <c r="P249" i="14"/>
  <c r="J250" i="14"/>
  <c r="J251" i="14"/>
  <c r="P250" i="14"/>
  <c r="J251" i="16"/>
  <c r="P250" i="16"/>
  <c r="P251" i="16"/>
  <c r="J252" i="16"/>
  <c r="P251" i="14"/>
  <c r="J252" i="14"/>
  <c r="J253" i="16"/>
  <c r="P252" i="16"/>
  <c r="P252" i="14"/>
  <c r="J253" i="14"/>
  <c r="J254" i="14"/>
  <c r="P253" i="14"/>
  <c r="J254" i="16"/>
  <c r="P253" i="16"/>
  <c r="J255" i="16"/>
  <c r="P254" i="16"/>
  <c r="P254" i="14"/>
  <c r="J255" i="14"/>
  <c r="J256" i="14"/>
  <c r="P255" i="14"/>
  <c r="J256" i="16"/>
  <c r="P255" i="16"/>
  <c r="J257" i="16"/>
  <c r="P256" i="16"/>
  <c r="J257" i="14"/>
  <c r="P256" i="14"/>
  <c r="P257" i="16"/>
  <c r="J258" i="16"/>
  <c r="P257" i="14"/>
  <c r="J258" i="14"/>
  <c r="J259" i="14"/>
  <c r="P258" i="14"/>
  <c r="P258" i="16"/>
  <c r="J259" i="16"/>
  <c r="J260" i="16"/>
  <c r="P259" i="16"/>
  <c r="P259" i="14"/>
  <c r="J260" i="14"/>
  <c r="J261" i="14"/>
  <c r="P260" i="14"/>
  <c r="J261" i="16"/>
  <c r="P260" i="16"/>
  <c r="J262" i="16"/>
  <c r="P261" i="16"/>
  <c r="P261" i="14"/>
  <c r="J262" i="14"/>
  <c r="P262" i="16"/>
  <c r="J263" i="16"/>
  <c r="P262" i="14"/>
  <c r="J263" i="14"/>
  <c r="P263" i="14"/>
  <c r="J264" i="14"/>
  <c r="P263" i="16"/>
  <c r="J264" i="16"/>
  <c r="P264" i="14"/>
  <c r="J265" i="14"/>
  <c r="J265" i="16"/>
  <c r="P264" i="16"/>
  <c r="J266" i="16"/>
  <c r="P265" i="16"/>
  <c r="J266" i="14"/>
  <c r="P265" i="14"/>
  <c r="P266" i="14"/>
  <c r="J267" i="14"/>
  <c r="J267" i="16"/>
  <c r="P266" i="16"/>
  <c r="J268" i="16"/>
  <c r="P267" i="16"/>
  <c r="J268" i="14"/>
  <c r="P267" i="14"/>
  <c r="J269" i="14"/>
  <c r="P268" i="14"/>
  <c r="J269" i="16"/>
  <c r="P268" i="16"/>
  <c r="J270" i="16"/>
  <c r="P269" i="16"/>
  <c r="P269" i="14"/>
  <c r="J270" i="14"/>
  <c r="J271" i="14"/>
  <c r="P270" i="14"/>
  <c r="P270" i="16"/>
  <c r="J271" i="16"/>
  <c r="J272" i="16"/>
  <c r="P271" i="16"/>
  <c r="J272" i="14"/>
  <c r="P271" i="14"/>
  <c r="J273" i="14"/>
  <c r="P272" i="14"/>
  <c r="J273" i="16"/>
  <c r="P272" i="16"/>
  <c r="P273" i="16"/>
  <c r="J274" i="16"/>
  <c r="J274" i="14"/>
  <c r="P273" i="14"/>
  <c r="P274" i="14"/>
  <c r="J275" i="14"/>
  <c r="P274" i="16"/>
  <c r="J275" i="16"/>
  <c r="J276" i="16"/>
  <c r="P275" i="16"/>
  <c r="P275" i="14"/>
  <c r="J276" i="14"/>
  <c r="J277" i="14"/>
  <c r="P276" i="14"/>
  <c r="J277" i="16"/>
  <c r="P276" i="16"/>
  <c r="P277" i="16"/>
  <c r="J278" i="16"/>
  <c r="P277" i="14"/>
  <c r="J278" i="14"/>
  <c r="J279" i="16"/>
  <c r="P278" i="16"/>
  <c r="J279" i="14"/>
  <c r="P278" i="14"/>
  <c r="P279" i="14"/>
  <c r="J280" i="14"/>
  <c r="J280" i="16"/>
  <c r="P279" i="16"/>
  <c r="J281" i="16"/>
  <c r="P280" i="16"/>
  <c r="P280" i="14"/>
  <c r="J281" i="14"/>
  <c r="J282" i="14"/>
  <c r="P281" i="14"/>
  <c r="J282" i="16"/>
  <c r="P281" i="16"/>
  <c r="L63" i="20"/>
  <c r="M63" i="20"/>
  <c r="J283" i="16"/>
  <c r="P282" i="16"/>
  <c r="P282" i="14"/>
  <c r="J283" i="14"/>
  <c r="J284" i="14"/>
  <c r="P283" i="14"/>
  <c r="J285" i="16"/>
  <c r="P283" i="16"/>
  <c r="J286" i="16"/>
  <c r="P285" i="16"/>
  <c r="P284" i="14"/>
  <c r="J285" i="14"/>
  <c r="J286" i="14"/>
  <c r="P285" i="14"/>
  <c r="J287" i="16"/>
  <c r="P286" i="16"/>
  <c r="J288" i="16"/>
  <c r="P287" i="16"/>
  <c r="P286" i="14"/>
  <c r="J287" i="14"/>
  <c r="P287" i="14"/>
  <c r="J288" i="14"/>
  <c r="P288" i="16"/>
  <c r="J289" i="16"/>
  <c r="P288" i="14"/>
  <c r="J289" i="14"/>
  <c r="J290" i="16"/>
  <c r="P289" i="16"/>
  <c r="P290" i="16"/>
  <c r="J291" i="16"/>
  <c r="P289" i="14"/>
  <c r="J290" i="14"/>
  <c r="P291" i="16"/>
  <c r="J292" i="16"/>
  <c r="P290" i="14"/>
  <c r="J291" i="14"/>
  <c r="P291" i="14"/>
  <c r="J292" i="14"/>
  <c r="J293" i="16"/>
  <c r="P292" i="16"/>
  <c r="J294" i="16"/>
  <c r="P293" i="16"/>
  <c r="P292" i="14"/>
  <c r="J293" i="14"/>
  <c r="P293" i="14"/>
  <c r="J294" i="14"/>
  <c r="P294" i="16"/>
  <c r="J295" i="16"/>
  <c r="J295" i="14"/>
  <c r="P294" i="14"/>
  <c r="P295" i="16"/>
  <c r="J296" i="16"/>
  <c r="P295" i="14"/>
  <c r="J296" i="14"/>
  <c r="J297" i="16"/>
  <c r="P296" i="16"/>
  <c r="J298" i="16"/>
  <c r="P297" i="16"/>
  <c r="J297" i="14"/>
  <c r="P296" i="14"/>
  <c r="J298" i="14"/>
  <c r="P297" i="14"/>
  <c r="J299" i="16"/>
  <c r="P298" i="16"/>
  <c r="P299" i="16"/>
  <c r="J300" i="16"/>
  <c r="J299" i="14"/>
  <c r="P298" i="14"/>
  <c r="J302" i="16"/>
  <c r="P300" i="16"/>
  <c r="P299" i="14"/>
  <c r="J300" i="14"/>
  <c r="P300" i="14"/>
  <c r="J301" i="14"/>
  <c r="J303" i="16"/>
  <c r="P302" i="16"/>
  <c r="P303" i="16"/>
  <c r="L64" i="20"/>
  <c r="M64" i="20"/>
  <c r="J304" i="16"/>
  <c r="P301" i="14"/>
  <c r="J302" i="14"/>
  <c r="J303" i="14"/>
  <c r="P302" i="14"/>
  <c r="P304" i="16"/>
  <c r="J305" i="16"/>
  <c r="P305" i="16"/>
  <c r="J306" i="16"/>
  <c r="P303" i="14"/>
  <c r="J304" i="14"/>
  <c r="L58" i="20"/>
  <c r="M58" i="20"/>
  <c r="P306" i="16"/>
  <c r="J307" i="16"/>
  <c r="P304" i="14"/>
  <c r="J305" i="14"/>
  <c r="J306" i="14"/>
  <c r="P305" i="14"/>
  <c r="P307" i="16"/>
  <c r="J308" i="16"/>
  <c r="P308" i="16"/>
  <c r="J309" i="16"/>
  <c r="J312" i="16"/>
  <c r="J307" i="14"/>
  <c r="P306" i="14"/>
  <c r="J308" i="14"/>
  <c r="P307" i="14"/>
  <c r="J313" i="16"/>
  <c r="P312" i="16"/>
  <c r="P309" i="16"/>
  <c r="L45" i="20"/>
  <c r="M45" i="20"/>
  <c r="J310" i="16"/>
  <c r="P310" i="16"/>
  <c r="L39" i="20"/>
  <c r="M39" i="20"/>
  <c r="J314" i="16"/>
  <c r="P313" i="16"/>
  <c r="L42" i="20"/>
  <c r="M42" i="20"/>
  <c r="P308" i="14"/>
  <c r="J309" i="14"/>
  <c r="P314" i="16"/>
  <c r="L43" i="20"/>
  <c r="M43" i="20"/>
  <c r="J315" i="16"/>
  <c r="J310" i="14"/>
  <c r="P309" i="14"/>
  <c r="J311" i="14"/>
  <c r="P310" i="14"/>
  <c r="P315" i="16"/>
  <c r="L44" i="20"/>
  <c r="M44" i="20"/>
  <c r="J316" i="16"/>
  <c r="P316" i="16"/>
  <c r="J317" i="16"/>
  <c r="P317" i="16"/>
  <c r="I19" i="16"/>
  <c r="P311" i="14"/>
  <c r="J312" i="14"/>
  <c r="P312" i="14"/>
  <c r="J313" i="14"/>
  <c r="I16" i="16"/>
  <c r="L46" i="20"/>
  <c r="M46" i="20"/>
  <c r="L48" i="20"/>
  <c r="M48" i="20"/>
  <c r="L49" i="20"/>
  <c r="M49" i="20"/>
  <c r="L50" i="20"/>
  <c r="M50" i="20"/>
  <c r="L52" i="20"/>
  <c r="M52" i="20"/>
  <c r="L53" i="20"/>
  <c r="M53" i="20"/>
  <c r="L54" i="20"/>
  <c r="M54" i="20"/>
  <c r="L55" i="20"/>
  <c r="M55" i="20"/>
  <c r="L56" i="20"/>
  <c r="M56" i="20"/>
  <c r="L57" i="20"/>
  <c r="M57" i="20"/>
  <c r="L59" i="20"/>
  <c r="M59" i="20"/>
  <c r="L60" i="20"/>
  <c r="M60" i="20"/>
  <c r="L61" i="20"/>
  <c r="M61" i="20"/>
  <c r="L62" i="20"/>
  <c r="M62" i="20"/>
  <c r="I17" i="16"/>
  <c r="I18" i="16"/>
  <c r="L19" i="16"/>
  <c r="M29" i="20"/>
  <c r="J314" i="14"/>
  <c r="P313" i="14"/>
  <c r="P314" i="14"/>
  <c r="J315" i="14"/>
  <c r="J20" i="20"/>
  <c r="J22" i="20"/>
  <c r="G21" i="25"/>
  <c r="P315" i="14"/>
  <c r="J316" i="14"/>
  <c r="J317" i="14"/>
  <c r="P316" i="14"/>
  <c r="P317" i="14"/>
  <c r="J318" i="14"/>
  <c r="P318" i="14"/>
  <c r="J319" i="14"/>
  <c r="J320" i="14"/>
  <c r="P319" i="14"/>
  <c r="P320" i="14"/>
  <c r="J321" i="14"/>
  <c r="J322" i="14"/>
  <c r="P321" i="14"/>
  <c r="J323" i="14"/>
  <c r="P322" i="14"/>
  <c r="P323" i="14"/>
  <c r="J324" i="14"/>
  <c r="P324" i="14"/>
  <c r="J325" i="14"/>
  <c r="P325" i="14"/>
  <c r="J326" i="14"/>
  <c r="P326" i="14"/>
  <c r="J327" i="14"/>
  <c r="J328" i="14"/>
  <c r="P327" i="14"/>
  <c r="P328" i="14"/>
  <c r="J329" i="14"/>
  <c r="P329" i="14"/>
  <c r="J330" i="14"/>
  <c r="P330" i="14"/>
  <c r="J331" i="14"/>
  <c r="J332" i="14"/>
  <c r="P331" i="14"/>
  <c r="P332" i="14"/>
  <c r="J333" i="14"/>
  <c r="P333" i="14"/>
  <c r="J334" i="14"/>
  <c r="P334" i="14"/>
  <c r="J335" i="14"/>
  <c r="P335" i="14"/>
  <c r="J336" i="14"/>
  <c r="J337" i="14"/>
  <c r="P336" i="14"/>
  <c r="P337" i="14"/>
  <c r="J338" i="14"/>
  <c r="P338" i="14"/>
  <c r="J339" i="14"/>
  <c r="J340" i="14"/>
  <c r="P339" i="14"/>
  <c r="P340" i="14"/>
  <c r="J341" i="14"/>
  <c r="J342" i="14"/>
  <c r="P341" i="14"/>
  <c r="J343" i="14"/>
  <c r="P342" i="14"/>
  <c r="P343" i="14"/>
  <c r="J344" i="14"/>
  <c r="J345" i="14"/>
  <c r="P344" i="14"/>
  <c r="P345" i="14"/>
  <c r="J346" i="14"/>
  <c r="P346" i="14"/>
  <c r="J347" i="14"/>
  <c r="P347" i="14"/>
  <c r="J348" i="14"/>
  <c r="P348" i="14"/>
  <c r="J349" i="14"/>
  <c r="J350" i="14"/>
  <c r="P349" i="14"/>
  <c r="J351" i="14"/>
  <c r="P350" i="14"/>
  <c r="P351" i="14"/>
  <c r="J352" i="14"/>
  <c r="P352" i="14"/>
  <c r="J353" i="14"/>
  <c r="P353" i="14"/>
  <c r="J354" i="14"/>
  <c r="P354" i="14"/>
  <c r="J355" i="14"/>
  <c r="P355" i="14"/>
  <c r="J356" i="14"/>
  <c r="P356" i="14"/>
  <c r="J357" i="14"/>
  <c r="P357" i="14"/>
  <c r="J358" i="14"/>
  <c r="J359" i="14"/>
  <c r="P358" i="14"/>
  <c r="P359" i="14"/>
  <c r="J360" i="14"/>
  <c r="P360" i="14"/>
  <c r="J361" i="14"/>
  <c r="J362" i="14"/>
  <c r="P361" i="14"/>
  <c r="P362" i="14"/>
  <c r="J363" i="14"/>
  <c r="P363" i="14"/>
  <c r="J364" i="14"/>
  <c r="P364" i="14"/>
  <c r="J365" i="14"/>
  <c r="J366" i="14"/>
  <c r="P365" i="14"/>
  <c r="P366" i="14"/>
  <c r="J367" i="14"/>
  <c r="P367" i="14"/>
  <c r="J368" i="14"/>
  <c r="P368" i="14"/>
  <c r="J369" i="14"/>
  <c r="P369" i="14"/>
  <c r="J370" i="14"/>
  <c r="P370" i="14"/>
  <c r="J371" i="14"/>
  <c r="J372" i="14"/>
  <c r="P371" i="14"/>
  <c r="J373" i="14"/>
  <c r="P372" i="14"/>
  <c r="J374" i="14"/>
  <c r="P373" i="14"/>
  <c r="P374" i="14"/>
  <c r="J375" i="14"/>
  <c r="J376" i="14"/>
  <c r="P375" i="14"/>
  <c r="J377" i="14"/>
  <c r="P376" i="14"/>
  <c r="J378" i="14"/>
  <c r="P377" i="14"/>
  <c r="P378" i="14"/>
  <c r="J379" i="14"/>
  <c r="P379" i="14"/>
  <c r="J380" i="14"/>
  <c r="J381" i="14"/>
  <c r="P380" i="14"/>
  <c r="J382" i="14"/>
  <c r="P381" i="14"/>
  <c r="P382" i="14"/>
  <c r="J383" i="14"/>
  <c r="J385" i="14"/>
  <c r="P383" i="14"/>
  <c r="J386" i="14"/>
  <c r="P385" i="14"/>
  <c r="J387" i="14"/>
  <c r="P386" i="14"/>
  <c r="J388" i="14"/>
  <c r="P387" i="14"/>
  <c r="J389" i="14"/>
  <c r="P388" i="14"/>
  <c r="P389" i="14"/>
  <c r="J390" i="14"/>
  <c r="J391" i="14"/>
  <c r="P390" i="14"/>
  <c r="P391" i="14"/>
  <c r="J392" i="14"/>
  <c r="P392" i="14"/>
  <c r="J393" i="14"/>
  <c r="J394" i="14"/>
  <c r="P393" i="14"/>
  <c r="J395" i="14"/>
  <c r="P394" i="14"/>
  <c r="J396" i="14"/>
  <c r="P395" i="14"/>
  <c r="P396" i="14"/>
  <c r="J397" i="14"/>
  <c r="P397" i="14"/>
  <c r="J398" i="14"/>
  <c r="J399" i="14"/>
  <c r="P398" i="14"/>
  <c r="J400" i="14"/>
  <c r="P399" i="14"/>
  <c r="J401" i="14"/>
  <c r="P400" i="14"/>
  <c r="J403" i="14"/>
  <c r="P401" i="14"/>
  <c r="J404" i="14"/>
  <c r="P403" i="14"/>
  <c r="P404" i="14"/>
  <c r="J405" i="14"/>
  <c r="P405" i="14"/>
  <c r="J406" i="14"/>
  <c r="J407" i="14"/>
  <c r="P406" i="14"/>
  <c r="P407" i="14"/>
  <c r="J408" i="14"/>
  <c r="P408" i="14"/>
  <c r="J409" i="14"/>
  <c r="P409" i="14"/>
  <c r="J410" i="14"/>
  <c r="J411" i="14"/>
  <c r="P410" i="14"/>
  <c r="P411" i="14"/>
  <c r="J412" i="14"/>
  <c r="P412" i="14"/>
  <c r="J413" i="14"/>
  <c r="P413" i="14"/>
  <c r="J414" i="14"/>
  <c r="P414" i="14"/>
  <c r="J415" i="14"/>
  <c r="J416" i="14"/>
  <c r="P415" i="14"/>
  <c r="P416" i="14"/>
  <c r="J417" i="14"/>
  <c r="P417" i="14"/>
  <c r="J418" i="14"/>
  <c r="P418" i="14"/>
  <c r="J419" i="14"/>
  <c r="P419" i="14"/>
  <c r="J420" i="14"/>
  <c r="P420" i="14"/>
  <c r="J421" i="14"/>
  <c r="P421" i="14"/>
  <c r="J422" i="14"/>
  <c r="P422" i="14"/>
  <c r="P793" i="14"/>
  <c r="J39" i="20"/>
  <c r="K39" i="20"/>
  <c r="K29" i="20"/>
  <c r="I16" i="14"/>
  <c r="L16" i="16"/>
  <c r="I17" i="14"/>
  <c r="L17" i="16"/>
  <c r="I18" i="14"/>
  <c r="L18" i="16"/>
  <c r="H20" i="20"/>
  <c r="G20" i="25"/>
  <c r="H22" i="20"/>
  <c r="C22" i="20"/>
  <c r="G19" i="25"/>
  <c r="J8" i="25"/>
  <c r="J10"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F19" authorId="0" shapeId="0" xr:uid="{00000000-0006-0000-0300-000001000000}">
      <text>
        <r>
          <rPr>
            <b/>
            <sz val="9"/>
            <color indexed="81"/>
            <rFont val="Tahoma"/>
            <family val="2"/>
          </rPr>
          <t>IPART:</t>
        </r>
        <r>
          <rPr>
            <sz val="9"/>
            <color indexed="81"/>
            <rFont val="Tahoma"/>
            <family val="2"/>
          </rPr>
          <t xml:space="preserve">
Either enter the Headworks/ET value calculated for the relevant service and system, or link to your agency's workings on the Headwork assets worksheet.</t>
        </r>
      </text>
    </comment>
    <comment ref="G19" authorId="0" shapeId="0" xr:uid="{00000000-0006-0000-0300-000002000000}">
      <text>
        <r>
          <rPr>
            <b/>
            <sz val="9"/>
            <color indexed="81"/>
            <rFont val="Tahoma"/>
            <family val="2"/>
          </rPr>
          <t>IPART:</t>
        </r>
        <r>
          <rPr>
            <sz val="9"/>
            <color indexed="81"/>
            <rFont val="Tahoma"/>
            <family val="2"/>
          </rPr>
          <t xml:space="preserve">
Either enter the Scheme cost allocation/ET value calculated for the relevant service and system, or link to your agency's workings on the Scheme cost allocations worksheet.</t>
        </r>
      </text>
    </comment>
    <comment ref="F22" authorId="0" shapeId="0" xr:uid="{00000000-0006-0000-0300-000003000000}">
      <text>
        <r>
          <rPr>
            <b/>
            <sz val="9"/>
            <color indexed="81"/>
            <rFont val="Tahoma"/>
            <family val="2"/>
          </rPr>
          <t>IPART:</t>
        </r>
        <r>
          <rPr>
            <sz val="9"/>
            <color indexed="81"/>
            <rFont val="Tahoma"/>
            <family val="2"/>
          </rPr>
          <t xml:space="preserve">
The headwork cost per ET has been separated from the main equation given that it will apply to all DSP's in the system for which it is calculated.  This separation reduces the need to capture data, and calculate headworks for each DSP. The relevant assets would be captured in the K1/L1 and K2/L2 sections of the maximum price equation.</t>
        </r>
      </text>
    </comment>
    <comment ref="Q38" authorId="0" shapeId="0" xr:uid="{00000000-0006-0000-0300-000004000000}">
      <text>
        <r>
          <rPr>
            <b/>
            <sz val="9"/>
            <color indexed="81"/>
            <rFont val="Tahoma"/>
            <family val="2"/>
          </rPr>
          <t>IPART:</t>
        </r>
        <r>
          <rPr>
            <sz val="9"/>
            <color indexed="81"/>
            <rFont val="Tahoma"/>
            <family val="2"/>
          </rPr>
          <t xml:space="preserve">
Either enter the R</t>
        </r>
        <r>
          <rPr>
            <vertAlign val="subscript"/>
            <sz val="9"/>
            <color indexed="81"/>
            <rFont val="Tahoma"/>
            <family val="2"/>
          </rPr>
          <t>i</t>
        </r>
        <r>
          <rPr>
            <sz val="9"/>
            <color indexed="81"/>
            <rFont val="Tahoma"/>
            <family val="2"/>
          </rPr>
          <t xml:space="preserve"> values or link to your agency's workings on the 'Reduction amount' worksheet.</t>
        </r>
      </text>
    </comment>
    <comment ref="T38" authorId="0" shapeId="0" xr:uid="{00000000-0006-0000-0300-000005000000}">
      <text>
        <r>
          <rPr>
            <b/>
            <sz val="9"/>
            <color indexed="81"/>
            <rFont val="Tahoma"/>
            <family val="2"/>
          </rPr>
          <t>IPART:</t>
        </r>
        <r>
          <rPr>
            <sz val="9"/>
            <color indexed="81"/>
            <rFont val="Tahoma"/>
            <family val="2"/>
          </rPr>
          <t xml:space="preserve">
Either enter the C</t>
        </r>
        <r>
          <rPr>
            <vertAlign val="subscript"/>
            <sz val="9"/>
            <color indexed="81"/>
            <rFont val="Tahoma"/>
            <family val="2"/>
          </rPr>
          <t>i</t>
        </r>
        <r>
          <rPr>
            <sz val="9"/>
            <color indexed="81"/>
            <rFont val="Tahoma"/>
            <family val="2"/>
          </rPr>
          <t xml:space="preserve"> values or link to your agency's workings on the 'Reduction amount'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H23" authorId="0" shapeId="0" xr:uid="{00000000-0006-0000-0400-000001000000}">
      <text>
        <r>
          <rPr>
            <b/>
            <sz val="9"/>
            <color indexed="81"/>
            <rFont val="Tahoma"/>
            <family val="2"/>
          </rPr>
          <t>IPART:</t>
        </r>
        <r>
          <rPr>
            <sz val="9"/>
            <color indexed="81"/>
            <rFont val="Tahoma"/>
            <family val="2"/>
          </rPr>
          <t xml:space="preserve">
These dates have been set in the 2018 Maximum Price Determination, and should not be changed.</t>
        </r>
      </text>
    </comment>
    <comment ref="H30" authorId="0" shapeId="0" xr:uid="{00000000-0006-0000-0400-000002000000}">
      <text>
        <r>
          <rPr>
            <b/>
            <sz val="9"/>
            <color indexed="81"/>
            <rFont val="Tahoma"/>
            <family val="2"/>
          </rPr>
          <t>IPART:</t>
        </r>
        <r>
          <rPr>
            <sz val="9"/>
            <color indexed="81"/>
            <rFont val="Tahoma"/>
            <family val="2"/>
          </rPr>
          <t xml:space="preserve">
The discount rate for pre-1996 assets and ETs has been set in the 2018 Maximum Price Determination, and should not be changed.</t>
        </r>
      </text>
    </comment>
    <comment ref="H32" authorId="0" shapeId="0" xr:uid="{00000000-0006-0000-0400-000003000000}">
      <text>
        <r>
          <rPr>
            <b/>
            <sz val="9"/>
            <color indexed="81"/>
            <rFont val="Tahoma"/>
            <family val="2"/>
          </rPr>
          <t>IPART:</t>
        </r>
        <r>
          <rPr>
            <sz val="9"/>
            <color indexed="81"/>
            <rFont val="Tahoma"/>
            <family val="2"/>
          </rPr>
          <t xml:space="preserve">
The discount rates for post-1996 commissioned and uncommissioned assets and ETs should be the real pre-tax WACC used in the agencies prevailing water and sewerage price determination.</t>
        </r>
      </text>
    </comment>
    <comment ref="H36" authorId="0" shapeId="0" xr:uid="{00000000-0006-0000-0400-000004000000}">
      <text>
        <r>
          <rPr>
            <b/>
            <sz val="9"/>
            <color indexed="81"/>
            <rFont val="Tahoma"/>
            <family val="2"/>
          </rPr>
          <t>IPART:</t>
        </r>
        <r>
          <rPr>
            <sz val="9"/>
            <color indexed="81"/>
            <rFont val="Tahoma"/>
            <family val="2"/>
          </rPr>
          <t xml:space="preserve">
This is the average residential consumption from the prevailing price review.</t>
        </r>
      </text>
    </comment>
    <comment ref="H38" authorId="0" shapeId="0" xr:uid="{00000000-0006-0000-0400-000005000000}">
      <text>
        <r>
          <rPr>
            <b/>
            <sz val="9"/>
            <color indexed="81"/>
            <rFont val="Tahoma"/>
            <family val="2"/>
          </rPr>
          <t>IPART:</t>
        </r>
        <r>
          <rPr>
            <sz val="9"/>
            <color indexed="81"/>
            <rFont val="Tahoma"/>
            <family val="2"/>
          </rPr>
          <t xml:space="preserve">
The forecast period for ETs and the net operating result has been set in the 2018 Maximum Price Determination, and should not be changed.</t>
        </r>
      </text>
    </comment>
    <comment ref="I40" authorId="0" shapeId="0" xr:uid="{00000000-0006-0000-0400-000006000000}">
      <text>
        <r>
          <rPr>
            <b/>
            <sz val="9"/>
            <color indexed="81"/>
            <rFont val="Tahoma"/>
            <family val="2"/>
          </rPr>
          <t>IPART:</t>
        </r>
        <r>
          <rPr>
            <sz val="9"/>
            <color indexed="81"/>
            <rFont val="Tahoma"/>
            <family val="2"/>
          </rPr>
          <t xml:space="preserve">
All prices and costs should be entered into the template in $ of this financial year.</t>
        </r>
      </text>
    </comment>
    <comment ref="H42" authorId="0" shapeId="0" xr:uid="{00000000-0006-0000-0400-000007000000}">
      <text>
        <r>
          <rPr>
            <b/>
            <sz val="9"/>
            <color indexed="81"/>
            <rFont val="Tahoma"/>
            <family val="2"/>
          </rPr>
          <t>IPART:</t>
        </r>
        <r>
          <rPr>
            <sz val="9"/>
            <color indexed="81"/>
            <rFont val="Tahoma"/>
            <family val="2"/>
          </rPr>
          <t xml:space="preserve">
All prices and costs entered into the IPART designated input ranges in this template must be on this basis.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5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5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5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6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6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6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Greg McLennan</author>
    <author>ZHANG, FIONA</author>
  </authors>
  <commentList>
    <comment ref="C21" authorId="0" shapeId="0" xr:uid="{00000000-0006-0000-07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7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7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 ref="J57" authorId="1" shapeId="0" xr:uid="{D2BDA5F7-F03C-48C0-AFBA-48F803DA6D6E}">
      <text>
        <r>
          <rPr>
            <b/>
            <sz val="9"/>
            <color indexed="81"/>
            <rFont val="Tahoma"/>
            <family val="2"/>
          </rPr>
          <t>ZHANG, FIONA:</t>
        </r>
        <r>
          <rPr>
            <sz val="9"/>
            <color indexed="81"/>
            <rFont val="Tahoma"/>
            <family val="2"/>
          </rPr>
          <t xml:space="preserve">
only 80% of capex is accounted for growth</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AG8" authorId="0" shapeId="0" xr:uid="{00000000-0006-0000-0800-000001000000}">
      <text>
        <r>
          <rPr>
            <b/>
            <sz val="9"/>
            <color indexed="81"/>
            <rFont val="Tahoma"/>
            <family val="2"/>
          </rPr>
          <t>IPART:</t>
        </r>
        <r>
          <rPr>
            <sz val="9"/>
            <color indexed="81"/>
            <rFont val="Tahoma"/>
            <family val="2"/>
          </rPr>
          <t xml:space="preserve">
An agency can enter data for up to 8 different non-residential customer types.</t>
        </r>
      </text>
    </comment>
    <comment ref="C12" authorId="0" shapeId="0" xr:uid="{00000000-0006-0000-0800-000002000000}">
      <text>
        <r>
          <rPr>
            <b/>
            <sz val="9"/>
            <color indexed="81"/>
            <rFont val="Tahoma"/>
            <family val="2"/>
          </rPr>
          <t>IPART:</t>
        </r>
        <r>
          <rPr>
            <sz val="9"/>
            <color indexed="81"/>
            <rFont val="Tahoma"/>
            <family val="2"/>
          </rPr>
          <t xml:space="preserve">
For 1995-96, only enter new ETs from
1 January 1996 to 30 June 1996 for all property types for which ETs can be entered on this worksheet.</t>
        </r>
      </text>
    </comment>
  </commentList>
</comments>
</file>

<file path=xl/sharedStrings.xml><?xml version="1.0" encoding="utf-8"?>
<sst xmlns="http://schemas.openxmlformats.org/spreadsheetml/2006/main" count="3101" uniqueCount="866">
  <si>
    <t>MAXIMUM PRICE TEMPLATE (for connecting to a water supply, sewerage, or drainage system)</t>
  </si>
  <si>
    <t>MODELLER:</t>
  </si>
  <si>
    <t>Greg McLennan</t>
  </si>
  <si>
    <t>email</t>
  </si>
  <si>
    <t>greg_mclennan@ipart.nsw.gov.au</t>
  </si>
  <si>
    <t>WHAT IS THE PURPOSE OF MODEL?</t>
  </si>
  <si>
    <t>This workbook is a template that agencies can use to calculate the maximum price for connecting to a water supply, sewerage, or drainage system (referred to as maximum price from here).  The use of this template is voluntary.</t>
  </si>
  <si>
    <t>Agencies can also use the template to calculate the maximum price for connecting a New Development to a Recycled Water System (where that Recycled Water System is a Least Cost Servicing Solution) or to calculate the Ordinary Developer Charge component of the maximum price for connecting a New Development to a Recycled Water System (where that Recycled Water System is not a Least Cost Servicing Solution).</t>
  </si>
  <si>
    <t>HOW DOES THE TEMPLATE WORK?</t>
  </si>
  <si>
    <t>What's in the Template?</t>
  </si>
  <si>
    <t>Calculation of the asset component of the maximum price (excluding headworks and scheme cost allocation).</t>
  </si>
  <si>
    <t>The key worksheets requiring inputs to calculate the asset related components are:</t>
  </si>
  <si>
    <t>&gt;</t>
  </si>
  <si>
    <t>Reduction amount</t>
  </si>
  <si>
    <t>A separate worksheet has been provided to calculate the reduction amount:</t>
  </si>
  <si>
    <t>Headworks</t>
  </si>
  <si>
    <t>A separate worksheet has been provided to capture headworks assets:</t>
  </si>
  <si>
    <t>The purpose of this worksheet is to record, at a high level, the underlying data that are used to calculate the Headworks cost per ET.</t>
  </si>
  <si>
    <t>As headwork costs per ET apply to all DSP areas within a system, presenting the headwork calculations separately will provide additional transparency, and ensure consistency between DSP areas in relation to headworks.</t>
  </si>
  <si>
    <t>Scheme cost allocation</t>
  </si>
  <si>
    <t>A separate worksheet has been provided to capture scheme cost allocation:</t>
  </si>
  <si>
    <t>The purpose of this worksheet is to record, at a high level, the underlying data that are used to calculate the Scheme cost allocation per ET.</t>
  </si>
  <si>
    <t>Maximum price calculations and summary of outputs</t>
  </si>
  <si>
    <t>The maximum price is calculated and the results are summarised in:</t>
  </si>
  <si>
    <t>The separate components for the maximum price equation are presented in both the worksheets.</t>
  </si>
  <si>
    <t>Asset inclusions and exclusions</t>
  </si>
  <si>
    <t>The final worksheet provides information from the Determination about asset inclusions and exclusions.</t>
  </si>
  <si>
    <t>Details on the maximum price methodology can be found on IPART's website at:</t>
  </si>
  <si>
    <t>IPART - Developer charges and backlog sewerage charges for metropolitan water agencies 2017</t>
  </si>
  <si>
    <t>IPART - Maximum prices for connecting to a recycled water system - July 2019</t>
  </si>
  <si>
    <t>The above two determinations must be read in conjunction to one another.</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</si>
  <si>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</si>
  <si>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</si>
  <si>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</si>
  <si>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</si>
  <si>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</si>
  <si>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Light grey - inputs not required, cells should be left unchanged.</t>
  </si>
  <si>
    <t>Blue font indicates IPART hard-coded values used that should not be changed</t>
  </si>
  <si>
    <t>Key outputs</t>
  </si>
  <si>
    <t>Pink font indicates calculation checks</t>
  </si>
  <si>
    <t>Red indicates assumptions made in calculations</t>
  </si>
  <si>
    <t>red double line means formula changes across a row or down a column</t>
  </si>
  <si>
    <t>JOURNAL OF CHANGES</t>
  </si>
  <si>
    <t>Reason for change</t>
  </si>
  <si>
    <t>Description of change</t>
  </si>
  <si>
    <t>Place change made</t>
  </si>
  <si>
    <t>Template Version</t>
  </si>
  <si>
    <t>Date change made</t>
  </si>
  <si>
    <t>Align template with Determination</t>
  </si>
  <si>
    <t>Limit ET profile used in calculating reduction amount per ET to 30 forecast years only. Previously extended to 1995-96.</t>
  </si>
  <si>
    <t>Column H, MP Calculations worksheet</t>
  </si>
  <si>
    <t>V1.01</t>
  </si>
  <si>
    <t>Removed the time limit for uncommissioned assets.  Previous time limit was to year 30.</t>
  </si>
  <si>
    <t>Columns N &amp; O, MP Calculations worksheet</t>
  </si>
  <si>
    <t>Expansion to account for the Maximum prices for connecting to a recycled water system Determination July 2019.</t>
  </si>
  <si>
    <t xml:space="preserve">Include an additional input "Scheme costs allocation per ET" to allow for cost offsets for non-least cost recycled water schemes to be incorporated.  </t>
  </si>
  <si>
    <t xml:space="preserve"> G22, MP Calculations worksheet
Scheme cost allocation worksheet</t>
  </si>
  <si>
    <t>Summary of maximum price for a new development</t>
  </si>
  <si>
    <t>Where the New Development is connecting to a Recycled Water System, the variables may be modified by Schedule 1 or Schedule 2 of the Recycled Water Developer Charges Determination.</t>
  </si>
  <si>
    <t>of which:</t>
  </si>
  <si>
    <t>is the headworks charge</t>
  </si>
  <si>
    <t>Maximum price formula:</t>
  </si>
  <si>
    <t>MP</t>
  </si>
  <si>
    <t>=</t>
  </si>
  <si>
    <t>maximum price per equivalent tenement to be services by the connection.</t>
  </si>
  <si>
    <r>
      <t>K</t>
    </r>
    <r>
      <rPr>
        <vertAlign val="subscript"/>
        <sz val="9"/>
        <rFont val="Arial"/>
        <family val="2"/>
      </rPr>
      <t>1</t>
    </r>
  </si>
  <si>
    <t>the Capital Charge for the Pre-1996 Assets that will serve the relevant DSP Area, calculated in accordance with clause 2.3(a) of Schedule 5 of the Determination and set out in the DSP.</t>
  </si>
  <si>
    <r>
      <t>K</t>
    </r>
    <r>
      <rPr>
        <vertAlign val="subscript"/>
        <sz val="9"/>
        <rFont val="Arial"/>
        <family val="2"/>
      </rPr>
      <t>2</t>
    </r>
  </si>
  <si>
    <t>the Capital Charge for the Post-1996 Assets that will serve the relevant DSP Area, calculated in accordance with clause 2.3(b) and 2.3(c) of Schedule 5 of the Determination and set out in the DSP.</t>
  </si>
  <si>
    <r>
      <t>PV(L</t>
    </r>
    <r>
      <rPr>
        <vertAlign val="subscript"/>
        <sz val="9"/>
        <rFont val="Arial"/>
        <family val="2"/>
      </rPr>
      <t>1</t>
    </r>
    <r>
      <rPr>
        <sz val="9"/>
        <rFont val="Arial"/>
        <family val="2"/>
      </rPr>
      <t>)</t>
    </r>
  </si>
  <si>
    <t>the Present Value of the Agency’s estimate of the number of Equivalent Tenements in the relevant DSP for Pre-1996 Assets, calculated in accordance with clause 3.2(a) of Schedule 5 of the Determination and set out in the relevant DSP.</t>
  </si>
  <si>
    <r>
      <t>PV(L</t>
    </r>
    <r>
      <rPr>
        <vertAlign val="subscript"/>
        <sz val="9"/>
        <rFont val="Arial"/>
        <family val="2"/>
      </rPr>
      <t>2</t>
    </r>
    <r>
      <rPr>
        <sz val="9"/>
        <rFont val="Arial"/>
        <family val="2"/>
      </rPr>
      <t>)</t>
    </r>
  </si>
  <si>
    <t>the Present Value of the Agency’s estimate of the number of Equivalent Tenements for Post-1996 Assets, calculated in accordance with clause 3.2(b) of Schedule 5 of the Determination and set out in the relevant DSP.</t>
  </si>
  <si>
    <r>
      <t>PV(L</t>
    </r>
    <r>
      <rPr>
        <vertAlign val="subscript"/>
        <sz val="9"/>
        <rFont val="Arial"/>
        <family val="2"/>
      </rPr>
      <t>3</t>
    </r>
    <r>
      <rPr>
        <sz val="9"/>
        <rFont val="Arial"/>
        <family val="2"/>
      </rPr>
      <t>)</t>
    </r>
  </si>
  <si>
    <t>the Present Value of the Agency’s estimate of the number of Equivalent Tenements for the Reduction Amount, calculated in accordance with clause 3.2(c) of Schedule 5 of the Determination and set out in the relevant DSP.</t>
  </si>
  <si>
    <r>
      <t>R</t>
    </r>
    <r>
      <rPr>
        <vertAlign val="subscript"/>
        <sz val="9"/>
        <rFont val="Arial"/>
        <family val="2"/>
      </rPr>
      <t>i</t>
    </r>
  </si>
  <si>
    <r>
      <t xml:space="preserve">the Agency’s estimate of the future periodic revenues to be received from new customers in the relevant DSP Area in each financial year </t>
    </r>
    <r>
      <rPr>
        <i/>
        <sz val="9"/>
        <rFont val="Arial"/>
        <family val="2"/>
      </rPr>
      <t>i</t>
    </r>
    <r>
      <rPr>
        <sz val="9"/>
        <rFont val="Arial"/>
        <family val="2"/>
      </rPr>
      <t>, estimated in accordance with clause 4 of Schedule 5 of the Determination and set out in the relevant DSP.</t>
    </r>
  </si>
  <si>
    <r>
      <t>C</t>
    </r>
    <r>
      <rPr>
        <vertAlign val="subscript"/>
        <sz val="9"/>
        <rFont val="Arial"/>
        <family val="2"/>
      </rPr>
      <t>i</t>
    </r>
  </si>
  <si>
    <r>
      <t xml:space="preserve">the Agency’s estimate of the future operating, maintenance and administration costs of servicing all new customers in the DSP Area in each financial year </t>
    </r>
    <r>
      <rPr>
        <i/>
        <sz val="9"/>
        <rFont val="Arial"/>
        <family val="2"/>
      </rPr>
      <t>i</t>
    </r>
    <r>
      <rPr>
        <sz val="9"/>
        <rFont val="Arial"/>
        <family val="2"/>
      </rPr>
      <t xml:space="preserve"> (excluding, for the avoidance of doubt, any Capital Costs), estimated in accordance with clause 5 of Schedule 5 of the Determination and set out in the relevant DSP.</t>
    </r>
  </si>
  <si>
    <t>n</t>
  </si>
  <si>
    <t>is the financial year which is 30 years from the financial year in which the relevant DSP was registered with IPART under clause 2(e) of Schedule 4 of the Determination.</t>
  </si>
  <si>
    <t xml:space="preserve"> </t>
  </si>
  <si>
    <t>CALCULATION OF MAXIMUM PRICE</t>
  </si>
  <si>
    <t>Index</t>
  </si>
  <si>
    <t>Row</t>
  </si>
  <si>
    <t>Maximum price</t>
  </si>
  <si>
    <t>Headworks costs per ET</t>
  </si>
  <si>
    <t>Scheme cost allocation per ET</t>
  </si>
  <si>
    <t>Pre-1996 assets</t>
  </si>
  <si>
    <t>Post-1996 commissioned assets</t>
  </si>
  <si>
    <t>Post-1996 uncommissioned assets</t>
  </si>
  <si>
    <t>Reduction for expected revenue and operation costs</t>
  </si>
  <si>
    <t>Costs to be recovered via DSP</t>
  </si>
  <si>
    <t>ETs</t>
  </si>
  <si>
    <t>Value per ET</t>
  </si>
  <si>
    <t>Sum of new ETs (not discounted)</t>
  </si>
  <si>
    <t>Sum of PV of new ETs (discounted at pre-1996 asset discount rate)</t>
  </si>
  <si>
    <t>Sum of PV of new ETs (discounted at post-1996 asset discount rate)</t>
  </si>
  <si>
    <t>Sum of PV of new ETs (discounted at expected revenue and costs discount rate)</t>
  </si>
  <si>
    <t>Sum of PV of Pre-1996 commissioned assets (discounted at pre-1996 asset discount rate)</t>
  </si>
  <si>
    <t>Sum of PV of Post-1996 commissioned assets (discounted at post-1996 asset discount rate)</t>
  </si>
  <si>
    <t>Sum of PV of Post-1996 uncommissioned assets (discounted at post-1996 asset discount rate)</t>
  </si>
  <si>
    <t>Sum of PV of revenue for new customers (discounted at expected future revenue and costs discount rate)</t>
  </si>
  <si>
    <t>Sum of PV of costs for new ETs (discounted at expected future revenue and costs discount rate)</t>
  </si>
  <si>
    <t>CPI</t>
  </si>
  <si>
    <t>June 2020-21</t>
  </si>
  <si>
    <t>Actual</t>
  </si>
  <si>
    <t>June 2021-22</t>
  </si>
  <si>
    <t>June 2022-23</t>
  </si>
  <si>
    <t>ET values</t>
  </si>
  <si>
    <t>Asset values</t>
  </si>
  <si>
    <t>Revenue values</t>
  </si>
  <si>
    <t>Cost values</t>
  </si>
  <si>
    <t>Year</t>
  </si>
  <si>
    <t>New ETs per year for this DSP area</t>
  </si>
  <si>
    <t>Present value of new ETs per year (discounted at pre-1996 asset discount rate)</t>
  </si>
  <si>
    <t>Present value of new ETs per year (discounted at post-1996 asset discount rate)</t>
  </si>
  <si>
    <t>Present value of new ETs per year (discounted at expected revenue and costs discount rate)</t>
  </si>
  <si>
    <t>Value of pre-1996 assets to be collected through this DSP (undiscounted)</t>
  </si>
  <si>
    <t>Present value of pre-1996 assets (discounted at pre-1996 asset discount rate)</t>
  </si>
  <si>
    <t>Value of post-1996 commissioned assets to be collected through this DSP (undiscounted)</t>
  </si>
  <si>
    <t>Present value of post-1996 commissioned assets (discounted at post-1996 asset discount rate)</t>
  </si>
  <si>
    <t>Value of post-1996 uncommissioned assets to be collected through this DSP (undiscounted)</t>
  </si>
  <si>
    <t>Present value of post-1996 uncommissioned assets (discounted at post-1996 asset discount rate)</t>
  </si>
  <si>
    <t>Revenues expected to be recovered from new customers (undiscounted)</t>
  </si>
  <si>
    <t>Present value of revenues (discounted at expected future revenue and costs discount rate)</t>
  </si>
  <si>
    <t>Operating costs expected to be incurred in providing service to new customers (undiscounted)</t>
  </si>
  <si>
    <t>Present value of operating costs (discounted at expected future revenue and costs discount rate)</t>
  </si>
  <si>
    <t>GENERAL INPUTS</t>
  </si>
  <si>
    <t>Regulated Agency (for setting pre-1996 discount rate)</t>
  </si>
  <si>
    <t>Sydney Water Corporation</t>
  </si>
  <si>
    <t>Agency name</t>
  </si>
  <si>
    <t>Pre-1996 discount rate</t>
  </si>
  <si>
    <t>DSP name</t>
  </si>
  <si>
    <t>Central Coast Council</t>
  </si>
  <si>
    <t>Hunter Water Corporation</t>
  </si>
  <si>
    <t>System name (allows cross checking of headworks costs)</t>
  </si>
  <si>
    <t>System Name</t>
  </si>
  <si>
    <t xml:space="preserve">Service this DSP relates to </t>
  </si>
  <si>
    <t>Sewerage</t>
  </si>
  <si>
    <t>Water</t>
  </si>
  <si>
    <t>Timeframes</t>
  </si>
  <si>
    <t>Relevant financial year</t>
  </si>
  <si>
    <t>Stormwater</t>
  </si>
  <si>
    <t>Financial year of registration for the DSP</t>
  </si>
  <si>
    <t>2022-23</t>
  </si>
  <si>
    <t>Final date where assets can be commissioned</t>
  </si>
  <si>
    <t>2018-19</t>
  </si>
  <si>
    <t>2019-20</t>
  </si>
  <si>
    <t>Date range for pre 1996 assets</t>
  </si>
  <si>
    <t>2020-21</t>
  </si>
  <si>
    <t>2021-22</t>
  </si>
  <si>
    <t>First day</t>
  </si>
  <si>
    <t>Last day</t>
  </si>
  <si>
    <t>2023-24</t>
  </si>
  <si>
    <t>2024-25</t>
  </si>
  <si>
    <t>2025-26</t>
  </si>
  <si>
    <t>2026-27</t>
  </si>
  <si>
    <t>Discount rates &amp; other</t>
  </si>
  <si>
    <t>2027-28</t>
  </si>
  <si>
    <t>2028-29</t>
  </si>
  <si>
    <t>Rate applied to pre-1996 assets and ETs</t>
  </si>
  <si>
    <t>2029-30</t>
  </si>
  <si>
    <t>2030-31</t>
  </si>
  <si>
    <t>Rate applied to post-1996 assets and ETs (real pre-tax WACC)</t>
  </si>
  <si>
    <t>Rate applied to the NPV of expected revenues and costs (real pre-tax WACC)</t>
  </si>
  <si>
    <t xml:space="preserve">An Equivalent Tenement (ET) is a unit that uses X kL/year of water, where X = </t>
  </si>
  <si>
    <t>$</t>
  </si>
  <si>
    <t>Forecast period (years)</t>
  </si>
  <si>
    <t>$'000</t>
  </si>
  <si>
    <t>$M</t>
  </si>
  <si>
    <t>$ base year for DSP analysis</t>
  </si>
  <si>
    <t>What $ units are used in the model</t>
  </si>
  <si>
    <t>PRE-1996 ASSETS WITH A NEXUS TO THE SERVICE FOR WHICH THE MAXIMUM PRICE IS BEING CALCULATED</t>
  </si>
  <si>
    <t>Asset exclusions'!A1</t>
  </si>
  <si>
    <t>Where this template is being used to calculate the maximum price for connecting to a Recycled Water System, refer to the following provisions of the Recycled Water Developer Charges Determination:</t>
  </si>
  <si>
    <t>(a)     Schedule 1, clause 2 (where the Recycled Water System is a Least Cost Servicing Solution); and</t>
  </si>
  <si>
    <t xml:space="preserve">(b)     Schedule 2, clause 2.2 (where the Recycled Water System is not a Least Cost Servicing Solution). </t>
  </si>
  <si>
    <t>These provisions may affect the calculation of the capital charge.</t>
  </si>
  <si>
    <t>Date range for assets</t>
  </si>
  <si>
    <t>Start date</t>
  </si>
  <si>
    <t>check</t>
  </si>
  <si>
    <t>End date</t>
  </si>
  <si>
    <t>Gravity mains</t>
  </si>
  <si>
    <t>Rising mains</t>
  </si>
  <si>
    <t>Register of pre-1996 assets</t>
  </si>
  <si>
    <t>SPS</t>
  </si>
  <si>
    <t>General inputs</t>
  </si>
  <si>
    <t>Service potential inputs</t>
  </si>
  <si>
    <t>Asset value inputs</t>
  </si>
  <si>
    <t>Identifier</t>
  </si>
  <si>
    <t>Description</t>
  </si>
  <si>
    <t>Date commissioned</t>
  </si>
  <si>
    <t>Date check</t>
  </si>
  <si>
    <t>DSP areas serviced by asset</t>
  </si>
  <si>
    <t>Expected system-wide ETs to be serviced by this asset</t>
  </si>
  <si>
    <t>Proportion of asset cost to be recovered via this DSP</t>
  </si>
  <si>
    <t>Number of units or length of asset (A)</t>
  </si>
  <si>
    <t>Unit of measure in (A)</t>
  </si>
  <si>
    <t>MEERA value per unit/measure of length (B) 
($ as at 1 July 2020)</t>
  </si>
  <si>
    <t>Total MEERA value (A x B)
($, $2020-21)</t>
  </si>
  <si>
    <t>MEERA value to be recovered via DSP ($, $2020-21)</t>
  </si>
  <si>
    <t>% Growth</t>
  </si>
  <si>
    <t>WO36331</t>
  </si>
  <si>
    <t>Amplification of Hornsby Creek Submain (Sherbrook Rd toTreatment works)</t>
  </si>
  <si>
    <t>Asset utilisation</t>
  </si>
  <si>
    <t>metres</t>
  </si>
  <si>
    <t>WO36298</t>
  </si>
  <si>
    <t>Amplification of Scotts Ck Submn (Downstream of Penshurst St Part 1)</t>
  </si>
  <si>
    <t xml:space="preserve">East Lane Cove Submain Section 8 </t>
  </si>
  <si>
    <t>East Lane Cove Submain Section 8</t>
  </si>
  <si>
    <t>Mosman Slopes Submain Amplification</t>
  </si>
  <si>
    <t>Collaroy Carrier Section 2</t>
  </si>
  <si>
    <t>Dee Why Low Level Area 2</t>
  </si>
  <si>
    <t>WO 46173-1</t>
  </si>
  <si>
    <t>Sherwood Road Carrier</t>
  </si>
  <si>
    <t>WO 46173-2</t>
  </si>
  <si>
    <t>WO 46173-3</t>
  </si>
  <si>
    <t>WO 46021</t>
  </si>
  <si>
    <t xml:space="preserve">Portia Road Carrier </t>
  </si>
  <si>
    <t>WO36144</t>
  </si>
  <si>
    <t xml:space="preserve">Davidson Park Carrier Sec.2                    </t>
  </si>
  <si>
    <t>WO36287</t>
  </si>
  <si>
    <t xml:space="preserve">Mosman Slopes submain amplification                            </t>
  </si>
  <si>
    <t>WO36557</t>
  </si>
  <si>
    <t>Carroll Ck Carrier Sec 1</t>
  </si>
  <si>
    <t>Davidson Park Carrier Sec 2</t>
  </si>
  <si>
    <t>WO46347</t>
  </si>
  <si>
    <t>Bates Ck area 5</t>
  </si>
  <si>
    <t>WO 58919</t>
  </si>
  <si>
    <t>Pennant Hills Carrier</t>
  </si>
  <si>
    <t>Coups Creek Carrier Section 1</t>
  </si>
  <si>
    <t>Cromer Submain Section 1</t>
  </si>
  <si>
    <t>Collaroy Low Level Area 2</t>
  </si>
  <si>
    <t>District Park Area 4 Por 2 Rem</t>
  </si>
  <si>
    <t>WO 46322</t>
  </si>
  <si>
    <t>Coopers Cr Carrier</t>
  </si>
  <si>
    <t>WN 99311</t>
  </si>
  <si>
    <t>Marsden Street Carrier</t>
  </si>
  <si>
    <t>WO46718</t>
  </si>
  <si>
    <t>part of A'Beckets Creek Submain</t>
  </si>
  <si>
    <t>WO36265</t>
  </si>
  <si>
    <t xml:space="preserve">Davidson Park Carrier Sec.3                                                   </t>
  </si>
  <si>
    <t>WO36442</t>
  </si>
  <si>
    <t>Bantry Bay Cr Sec 4C</t>
  </si>
  <si>
    <t>WO46536</t>
  </si>
  <si>
    <t>Spring Gully Ck Submn</t>
  </si>
  <si>
    <t>WO.36338</t>
  </si>
  <si>
    <t>NSOOS 8 Amp tunnel (100% allocated to NSOOS 8Amp)</t>
  </si>
  <si>
    <t>WO.36458</t>
  </si>
  <si>
    <t>Baulkham Hills Submain Section 1.</t>
  </si>
  <si>
    <t>Fox Valley Carrier Section 1</t>
  </si>
  <si>
    <t>46514/1</t>
  </si>
  <si>
    <t>Coups Creek Carrier Section 2</t>
  </si>
  <si>
    <t>Cromer Submain Section 2</t>
  </si>
  <si>
    <t>South Creek Carrier Section 1</t>
  </si>
  <si>
    <t>South Creek Carrier Section 2</t>
  </si>
  <si>
    <t>South Creek Carrier Section 3</t>
  </si>
  <si>
    <t>Narrabeen Low Level Area 2</t>
  </si>
  <si>
    <t>South Creek Area 1</t>
  </si>
  <si>
    <t>South Creek Area 6</t>
  </si>
  <si>
    <t>South Creek Area 7</t>
  </si>
  <si>
    <t>South Creek Area 8</t>
  </si>
  <si>
    <t>Willandra Road Carrier Section 1</t>
  </si>
  <si>
    <t>WO46838</t>
  </si>
  <si>
    <t>WO46888</t>
  </si>
  <si>
    <t>WO 36458</t>
  </si>
  <si>
    <t>WO 36512</t>
  </si>
  <si>
    <t>Muirfield Carrier Sec 1</t>
  </si>
  <si>
    <t>Muirfield Carrier Sec 2</t>
  </si>
  <si>
    <t>Muirfield Carrier Sec 3</t>
  </si>
  <si>
    <t>WO 36513</t>
  </si>
  <si>
    <t>Baulkham Hills Submain Sec 2</t>
  </si>
  <si>
    <t>WO 36514</t>
  </si>
  <si>
    <t>Baulkham Hills Carrier</t>
  </si>
  <si>
    <t>WO 46603</t>
  </si>
  <si>
    <t xml:space="preserve">Baulkham Hills Area 1 </t>
  </si>
  <si>
    <t>WO 46871</t>
  </si>
  <si>
    <t xml:space="preserve">Baulkham Hills Area 12 </t>
  </si>
  <si>
    <t>WO 47022</t>
  </si>
  <si>
    <t>NSOOS Sec 9</t>
  </si>
  <si>
    <t>WO 89167</t>
  </si>
  <si>
    <t>part of Lalor Park Carrier</t>
  </si>
  <si>
    <t>WO46524</t>
  </si>
  <si>
    <t>Bates Ck area 8</t>
  </si>
  <si>
    <t>Kissing Point Carrier</t>
  </si>
  <si>
    <t>Cromer Submain Advanced Construction</t>
  </si>
  <si>
    <t>WO 99447</t>
  </si>
  <si>
    <t>Parramatta Main  Sewer Nth</t>
  </si>
  <si>
    <t>WO 36589</t>
  </si>
  <si>
    <t>WO 46949</t>
  </si>
  <si>
    <t xml:space="preserve">Baulkham Hills Area 11 </t>
  </si>
  <si>
    <t>WO36338</t>
  </si>
  <si>
    <t xml:space="preserve">Part of NSOOS 8 Amplification reticulation  </t>
  </si>
  <si>
    <t xml:space="preserve">Part of NSOOS 8 Amplification AQUEDUCT  </t>
  </si>
  <si>
    <t xml:space="preserve">Part of NSOOS 8 Amplification OUTFALL  </t>
  </si>
  <si>
    <t>WO 52346</t>
  </si>
  <si>
    <t>NSOOS Sec 10</t>
  </si>
  <si>
    <t>WO 52428</t>
  </si>
  <si>
    <t>NSOOS Sec 13</t>
  </si>
  <si>
    <t>WO 58965</t>
  </si>
  <si>
    <t>WO 59108</t>
  </si>
  <si>
    <t>WO 59111</t>
  </si>
  <si>
    <t>WO36393</t>
  </si>
  <si>
    <t xml:space="preserve">West Middle Harbour Submn SEC 4B                                        </t>
  </si>
  <si>
    <t>WO36622</t>
  </si>
  <si>
    <t>Carroll Ck Carrier Sec 2</t>
  </si>
  <si>
    <t>WMH Submain extension sec 4B</t>
  </si>
  <si>
    <t>WO46671</t>
  </si>
  <si>
    <t>Carroll Ck area 4</t>
  </si>
  <si>
    <t>East Lane Cove Area 9 Por 14</t>
  </si>
  <si>
    <t>Willandra Road Carrier Section 2</t>
  </si>
  <si>
    <t>Narrabeen Low Level Area 1</t>
  </si>
  <si>
    <t>WO 46617-1</t>
  </si>
  <si>
    <t>Wentworthville Area 5</t>
  </si>
  <si>
    <t>WO 46617-2</t>
  </si>
  <si>
    <t>WO36590</t>
  </si>
  <si>
    <t>Hunts Crek Submain Sec 1</t>
  </si>
  <si>
    <t>WO 47162</t>
  </si>
  <si>
    <t>Hunts Creek  Area 3</t>
  </si>
  <si>
    <t>WO 47164</t>
  </si>
  <si>
    <t>Lake Parramatta Area 1</t>
  </si>
  <si>
    <t>WO 47401/1</t>
  </si>
  <si>
    <t>Baulkham Hills Complex Sec 4A, 4B, Area 13,15B,16 &amp; Carrier 19</t>
  </si>
  <si>
    <t>WO 53335</t>
  </si>
  <si>
    <t>WO 53599</t>
  </si>
  <si>
    <t>WO 59146</t>
  </si>
  <si>
    <t xml:space="preserve">branch of West Baulkham Hills Submain </t>
  </si>
  <si>
    <t>WO36411</t>
  </si>
  <si>
    <t xml:space="preserve">Davidson Park Carrier Sec.3                                              </t>
  </si>
  <si>
    <t xml:space="preserve">Davidson Park Carrier Sec.3                                               </t>
  </si>
  <si>
    <t>WO36673</t>
  </si>
  <si>
    <t>East Asquith Carrier</t>
  </si>
  <si>
    <t>WO47053</t>
  </si>
  <si>
    <t>Carroll Ck area 8A</t>
  </si>
  <si>
    <t>WO47426</t>
  </si>
  <si>
    <t>Mt. Colah LL area &amp; RM</t>
  </si>
  <si>
    <t>47215/3</t>
  </si>
  <si>
    <t>Willandra Road Area 5</t>
  </si>
  <si>
    <t>47215/4</t>
  </si>
  <si>
    <t>Willandra Road Area 6</t>
  </si>
  <si>
    <t>Willandra Road Area 7</t>
  </si>
  <si>
    <t>WO 36686</t>
  </si>
  <si>
    <t>WO 36687</t>
  </si>
  <si>
    <t>East Baulkham Hills Carrier Sec 1</t>
  </si>
  <si>
    <t>WO 36692</t>
  </si>
  <si>
    <t>Hunts Creek Submain Sec 2</t>
  </si>
  <si>
    <t>WO 36786</t>
  </si>
  <si>
    <t>East Baulkham Hills Carrier Sec 2</t>
  </si>
  <si>
    <t>WO 47161</t>
  </si>
  <si>
    <t>Hunts Creek  Area 19</t>
  </si>
  <si>
    <t>WO 47392</t>
  </si>
  <si>
    <t>Hunts Creek Area 16</t>
  </si>
  <si>
    <t>WO 47396</t>
  </si>
  <si>
    <t>Hunts Creek  Area 12</t>
  </si>
  <si>
    <t>WO 47401/2</t>
  </si>
  <si>
    <t>WO 47401/6</t>
  </si>
  <si>
    <t>WO36468</t>
  </si>
  <si>
    <t xml:space="preserve">West Middle Harbour Submn amplification                       </t>
  </si>
  <si>
    <t xml:space="preserve">West Middle Harbour Submn amplification                                 </t>
  </si>
  <si>
    <t>WO36750</t>
  </si>
  <si>
    <t xml:space="preserve">Davidson Park Sec. 4                                                           </t>
  </si>
  <si>
    <t>WMH Submain amplification (Moores Ck to U/S Gordon Ck)</t>
  </si>
  <si>
    <t>WO47195</t>
  </si>
  <si>
    <t>East Asquith area 2</t>
  </si>
  <si>
    <t xml:space="preserve">Cromer Carrier Section 3A </t>
  </si>
  <si>
    <t xml:space="preserve">Cromer Carrier Section 3B </t>
  </si>
  <si>
    <t xml:space="preserve">South Creek Low Level Area </t>
  </si>
  <si>
    <t>WO 54420-1</t>
  </si>
  <si>
    <t>WO 54420-2</t>
  </si>
  <si>
    <t>Betts Road Carrier</t>
  </si>
  <si>
    <t>WO 54420-3</t>
  </si>
  <si>
    <t>WO 47734</t>
  </si>
  <si>
    <t>Part Hill Street LL Area</t>
  </si>
  <si>
    <t>WO 36787</t>
  </si>
  <si>
    <t>East Baulkham Hills Carrier Sec 3</t>
  </si>
  <si>
    <t>WO36788</t>
  </si>
  <si>
    <t>Castle Hill Carrier Sec 1</t>
  </si>
  <si>
    <t>WO 47394</t>
  </si>
  <si>
    <t>Hunts Creek  Area 14 &amp; 17</t>
  </si>
  <si>
    <t>WO 47395</t>
  </si>
  <si>
    <t>Hunts Creek  Area 9</t>
  </si>
  <si>
    <t>Hunts Creek  Area 11</t>
  </si>
  <si>
    <t>WO 47399</t>
  </si>
  <si>
    <t xml:space="preserve">Baulkham Hills Area 5 </t>
  </si>
  <si>
    <t>WO 47403</t>
  </si>
  <si>
    <t xml:space="preserve">Baulkham Hills Area 18 </t>
  </si>
  <si>
    <t>WO 47591</t>
  </si>
  <si>
    <t>East Baulkham Hills Area 2</t>
  </si>
  <si>
    <t>WO 47592</t>
  </si>
  <si>
    <t>WO 47595</t>
  </si>
  <si>
    <t xml:space="preserve">Baulkham Hills Area 21 </t>
  </si>
  <si>
    <t>WO 47596</t>
  </si>
  <si>
    <t>Francis Street Carrier</t>
  </si>
  <si>
    <t>WO 47782</t>
  </si>
  <si>
    <t>East Baulkham Hills Area 3</t>
  </si>
  <si>
    <t>WO 59357</t>
  </si>
  <si>
    <t>branch of Baulkham Hills Submain</t>
  </si>
  <si>
    <t>WO 47397</t>
  </si>
  <si>
    <t>branch of Hunts Creek Carrier</t>
  </si>
  <si>
    <t xml:space="preserve">West Middle Harbour Submn amplification                            </t>
  </si>
  <si>
    <t>WO47469</t>
  </si>
  <si>
    <t>WMH Area 2 Por 4C</t>
  </si>
  <si>
    <t>WO47434</t>
  </si>
  <si>
    <t>Lovers jump Ck area</t>
  </si>
  <si>
    <t>WO47459</t>
  </si>
  <si>
    <t>Carroll Ck area 9</t>
  </si>
  <si>
    <t>WO99477</t>
  </si>
  <si>
    <t>Amplification of PT.of Sugar loaf Ck submn</t>
  </si>
  <si>
    <t>WO 55170</t>
  </si>
  <si>
    <t>Wentworthville Submain</t>
  </si>
  <si>
    <t>WO 99566</t>
  </si>
  <si>
    <t xml:space="preserve">part of Wentworthville Submain </t>
  </si>
  <si>
    <t>WO 47597</t>
  </si>
  <si>
    <t>Castle Hill areas 1,2 &amp; 3</t>
  </si>
  <si>
    <t>WO 47598</t>
  </si>
  <si>
    <t>Castle Hill area 6</t>
  </si>
  <si>
    <t>WO 47600</t>
  </si>
  <si>
    <t>Aiken Road Carrier</t>
  </si>
  <si>
    <t>WO 47775</t>
  </si>
  <si>
    <t xml:space="preserve">Hunts Creek Carrier Area 6 </t>
  </si>
  <si>
    <t>WO 47778</t>
  </si>
  <si>
    <t>Castle Hill Carrier Sec 6</t>
  </si>
  <si>
    <t>WO 47784</t>
  </si>
  <si>
    <t>East Baulkham Hills Area 6</t>
  </si>
  <si>
    <t>WO 13688/A</t>
  </si>
  <si>
    <t>Oldfield Carrier</t>
  </si>
  <si>
    <t>WO48025</t>
  </si>
  <si>
    <t>Cowan Ck area 12 por 2</t>
  </si>
  <si>
    <t>Amplification Shrimptons Creek Submain Stage 1</t>
  </si>
  <si>
    <t>WN300991</t>
  </si>
  <si>
    <t>Parramatta Main Sewer South</t>
  </si>
  <si>
    <t xml:space="preserve">Davidson Park Sec. 4                                                      </t>
  </si>
  <si>
    <t xml:space="preserve">Davidson Park Carrier Sec.3                                                      </t>
  </si>
  <si>
    <t>WO37088</t>
  </si>
  <si>
    <t>Kambora Av Ck</t>
  </si>
  <si>
    <t>WO36993</t>
  </si>
  <si>
    <t xml:space="preserve">Frenches Ck Carrier </t>
  </si>
  <si>
    <t>Davidson Park Cr Sec 4</t>
  </si>
  <si>
    <t>WO48055</t>
  </si>
  <si>
    <t>Frenches Ck area 3</t>
  </si>
  <si>
    <t>WN99590</t>
  </si>
  <si>
    <t>Amplification of part of Waitara Submn</t>
  </si>
  <si>
    <t>WO  15541/A</t>
  </si>
  <si>
    <t>Clay Cliff Creek Carrier</t>
  </si>
  <si>
    <t>WO 56512</t>
  </si>
  <si>
    <t>part of Baulkham Hills Submain section 1</t>
  </si>
  <si>
    <t>WO 14778A</t>
  </si>
  <si>
    <t>WO15938A</t>
  </si>
  <si>
    <t>Merrylands Carrier</t>
  </si>
  <si>
    <t>WO48057</t>
  </si>
  <si>
    <t>Frenches Ck area 4B</t>
  </si>
  <si>
    <t>WO48058</t>
  </si>
  <si>
    <t>Frenches Ck area 5A</t>
  </si>
  <si>
    <t>WO 57498</t>
  </si>
  <si>
    <t>WO 48863</t>
  </si>
  <si>
    <t>WO 37291</t>
  </si>
  <si>
    <t>Highs Road Carrier</t>
  </si>
  <si>
    <t>WO A87265</t>
  </si>
  <si>
    <t>part of Thompsons Corner Carrier</t>
  </si>
  <si>
    <t>WO A58619</t>
  </si>
  <si>
    <t>Chapel Lane Carrier</t>
  </si>
  <si>
    <t>WO 58678-1</t>
  </si>
  <si>
    <t>WO 58678-2</t>
  </si>
  <si>
    <t>WO 58704</t>
  </si>
  <si>
    <t>WO 37251</t>
  </si>
  <si>
    <t xml:space="preserve">Taylor Street Carrier </t>
  </si>
  <si>
    <t>WO 37384</t>
  </si>
  <si>
    <t>Thompsons Corner Carrier</t>
  </si>
  <si>
    <t>WO 58697</t>
  </si>
  <si>
    <t>WO 58719</t>
  </si>
  <si>
    <t>Chaple Lane Carrier</t>
  </si>
  <si>
    <t>WO 58636</t>
  </si>
  <si>
    <t>Toongabbie Carrier</t>
  </si>
  <si>
    <t>WN300110</t>
  </si>
  <si>
    <t>Amplification of part of Gully Creek Submn</t>
  </si>
  <si>
    <t>WO 58680</t>
  </si>
  <si>
    <t>WN 300410</t>
  </si>
  <si>
    <t xml:space="preserve">WO 57883 </t>
  </si>
  <si>
    <t>Chapel lane Carrier</t>
  </si>
  <si>
    <t>WN A58773</t>
  </si>
  <si>
    <t>part of Chapel Lane  Carrier</t>
  </si>
  <si>
    <t>WO A58827</t>
  </si>
  <si>
    <t xml:space="preserve">part of Taylor Street Carrier </t>
  </si>
  <si>
    <t>WO 58806</t>
  </si>
  <si>
    <t xml:space="preserve">Old Windsor Road Carrier </t>
  </si>
  <si>
    <t>WO A89798</t>
  </si>
  <si>
    <t>part of AikenRoad Carrier</t>
  </si>
  <si>
    <t>WO 58847</t>
  </si>
  <si>
    <t>WO 58848</t>
  </si>
  <si>
    <t>Lalor Park</t>
  </si>
  <si>
    <t>WN 302563</t>
  </si>
  <si>
    <t xml:space="preserve">Sheffield Street Carrier </t>
  </si>
  <si>
    <t>WN 300304</t>
  </si>
  <si>
    <t>WN 302300</t>
  </si>
  <si>
    <t>Clay Cliff  Creek Sub</t>
  </si>
  <si>
    <t>WN 302663</t>
  </si>
  <si>
    <t>WN 302678</t>
  </si>
  <si>
    <t>Parramatta Main Sewer LL</t>
  </si>
  <si>
    <t>WN 308004</t>
  </si>
  <si>
    <t>WN307144</t>
  </si>
  <si>
    <t>WN309758</t>
  </si>
  <si>
    <t>WO 307355</t>
  </si>
  <si>
    <t>Northmead</t>
  </si>
  <si>
    <t>WO 42265</t>
  </si>
  <si>
    <t>Darling Mills Creek Carrier</t>
  </si>
  <si>
    <t xml:space="preserve">Rising Main from SPS 54 Amplification </t>
  </si>
  <si>
    <t>Rising Main from SPS 129</t>
  </si>
  <si>
    <t>Rising Main from SPS 131</t>
  </si>
  <si>
    <t>Rising Main from SPS 130</t>
  </si>
  <si>
    <t>Rising Main from SPS 359</t>
  </si>
  <si>
    <t>Rising Main from SPS 435</t>
  </si>
  <si>
    <t>WN 307355</t>
  </si>
  <si>
    <t>Rising main at Boundary Rd. from SPS 103</t>
  </si>
  <si>
    <t>WO 36378</t>
  </si>
  <si>
    <t>SPS 98 rising main</t>
  </si>
  <si>
    <t>WO 37013</t>
  </si>
  <si>
    <t>SPS 371 rising main</t>
  </si>
  <si>
    <t>WO 36777</t>
  </si>
  <si>
    <t>SPS 477 rising main</t>
  </si>
  <si>
    <t>WN 300068</t>
  </si>
  <si>
    <t>SPS 663 rising main</t>
  </si>
  <si>
    <t>WO52649</t>
  </si>
  <si>
    <t>Rising Main from SPS 465</t>
  </si>
  <si>
    <t>Rising Main from SPS 396</t>
  </si>
  <si>
    <t>WO37272</t>
  </si>
  <si>
    <t>Rising Main from SPS 603</t>
  </si>
  <si>
    <t>WNA88227</t>
  </si>
  <si>
    <t>Rising Main from SPS 665</t>
  </si>
  <si>
    <t>WO37617</t>
  </si>
  <si>
    <t>Rising Main from SPS 265</t>
  </si>
  <si>
    <t>WN307507</t>
  </si>
  <si>
    <t>Rising Main from SPS 634</t>
  </si>
  <si>
    <t xml:space="preserve">Off Magdala Rd, Ryde </t>
  </si>
  <si>
    <t>Magdala Rd, Ryde</t>
  </si>
  <si>
    <t>Margaret Street, Woolwich</t>
  </si>
  <si>
    <t>Amplification Champion Street, Tennyson</t>
  </si>
  <si>
    <t>Pittwater Road, Collaroy</t>
  </si>
  <si>
    <t>Florence Street, Collaroy</t>
  </si>
  <si>
    <t>Goodwin Street, Narrabeen</t>
  </si>
  <si>
    <t>Loftus Street, Narrabeen</t>
  </si>
  <si>
    <t>Toronto Avenue, Cromer</t>
  </si>
  <si>
    <t>Coolawin Rd, Northbridge</t>
  </si>
  <si>
    <t>WO36724</t>
  </si>
  <si>
    <t>Myall Rd, Mt. Colah</t>
  </si>
  <si>
    <t>WO37223</t>
  </si>
  <si>
    <t>Mathew Pl, Belrose</t>
  </si>
  <si>
    <t>Curagul Rd, North Turramarra</t>
  </si>
  <si>
    <t>Du Faur St, North Turramarra</t>
  </si>
  <si>
    <t>WO37374</t>
  </si>
  <si>
    <t>Off Minimbah Rd, North Bridge</t>
  </si>
  <si>
    <t>POST-1996 COMMISSIONED ASSETS WITH A NEXUS TO THE SERVICE FOR WHICH THE MAXIMUM PRICE IS BEING CALCULATED</t>
  </si>
  <si>
    <t>Total in this file</t>
  </si>
  <si>
    <t>Register of post-1996 commissioned assets</t>
  </si>
  <si>
    <t>STP</t>
  </si>
  <si>
    <t>Financial year of commissioning</t>
  </si>
  <si>
    <t>To service growth in the Lower NSOOS catchment area</t>
  </si>
  <si>
    <t>PRO303470</t>
  </si>
  <si>
    <t>To service growth in the UPPER NSOOS catchment</t>
  </si>
  <si>
    <t>to service growth in the Narrabeen Catchment</t>
  </si>
  <si>
    <t>PRO3002631</t>
  </si>
  <si>
    <t>to service growth in the Middle Harbour catchment</t>
  </si>
  <si>
    <t>PRO350576</t>
  </si>
  <si>
    <t>CONT 21489</t>
  </si>
  <si>
    <t>PRO 10005334</t>
  </si>
  <si>
    <t>WO45141</t>
  </si>
  <si>
    <t>Reticulation at MERRYLANDS WEST</t>
  </si>
  <si>
    <t>WO42525</t>
  </si>
  <si>
    <t>Reticulation at NORTH RYDE</t>
  </si>
  <si>
    <t>WN301572</t>
  </si>
  <si>
    <t>Reticulation at WEST PENNANT HILLS</t>
  </si>
  <si>
    <t>WO41979</t>
  </si>
  <si>
    <t>Reticulation at ERMINGTON</t>
  </si>
  <si>
    <t>WO41351</t>
  </si>
  <si>
    <t>Reticulation at CLONTARF</t>
  </si>
  <si>
    <t>CONT1323</t>
  </si>
  <si>
    <t>Reticulation at MOSMAN</t>
  </si>
  <si>
    <t>CONT779</t>
  </si>
  <si>
    <t>SO48874</t>
  </si>
  <si>
    <t>Reticulation at GLADESVILLE</t>
  </si>
  <si>
    <t>WO47030</t>
  </si>
  <si>
    <t>Reticulation at TURRAMURRA</t>
  </si>
  <si>
    <t>CONT2574</t>
  </si>
  <si>
    <t>Reticulation at BERALA</t>
  </si>
  <si>
    <t>SO48028</t>
  </si>
  <si>
    <t>Reticulation at AUBURN</t>
  </si>
  <si>
    <t>WO42890</t>
  </si>
  <si>
    <t>Reticulation at MARSFIELD</t>
  </si>
  <si>
    <t>WO40416</t>
  </si>
  <si>
    <t>Reticulation at WARRAWEE</t>
  </si>
  <si>
    <t>WO41284</t>
  </si>
  <si>
    <t>CONT2362</t>
  </si>
  <si>
    <t>Reticulation at LIDCOMBE</t>
  </si>
  <si>
    <t>WO42950</t>
  </si>
  <si>
    <t>Reticulation at MERRYLANDS</t>
  </si>
  <si>
    <t>PRO10008198</t>
  </si>
  <si>
    <t>Branch at WEST RYDE</t>
  </si>
  <si>
    <t>WO46329</t>
  </si>
  <si>
    <t>Reticulation at ST IVES</t>
  </si>
  <si>
    <t>SO46680</t>
  </si>
  <si>
    <t>Reticulation at WILLOUGHBY</t>
  </si>
  <si>
    <t>WO42949</t>
  </si>
  <si>
    <t>Reticulation at SOUTH WENTWORTHVILLE</t>
  </si>
  <si>
    <t>CONT2361B1</t>
  </si>
  <si>
    <t>WO42925</t>
  </si>
  <si>
    <t>Reticulation at YAGOONA</t>
  </si>
  <si>
    <t>CONT2026</t>
  </si>
  <si>
    <t>Reticulation at LINDFIELD</t>
  </si>
  <si>
    <t>CONT2494</t>
  </si>
  <si>
    <t>Reticulation at GUILDFORD</t>
  </si>
  <si>
    <t>WO43047</t>
  </si>
  <si>
    <t>WO43681</t>
  </si>
  <si>
    <t>Reticulation at CURL CURL</t>
  </si>
  <si>
    <t>CONT2385</t>
  </si>
  <si>
    <t>Reticulation at PYMBLE</t>
  </si>
  <si>
    <t>CONT1174</t>
  </si>
  <si>
    <t>Reticulation at NAREMBURN</t>
  </si>
  <si>
    <t>SO47998</t>
  </si>
  <si>
    <t>Reticulation at RYDE</t>
  </si>
  <si>
    <t>SO2941</t>
  </si>
  <si>
    <t>WO44279</t>
  </si>
  <si>
    <t>Reticulation at WAHROONGA</t>
  </si>
  <si>
    <t>WO40725</t>
  </si>
  <si>
    <t>Reticulation at RIVERVIEW</t>
  </si>
  <si>
    <t>PRO10012174</t>
  </si>
  <si>
    <t>Reticulation at SEAFORTH</t>
  </si>
  <si>
    <t>SO44674</t>
  </si>
  <si>
    <t>Reticulation at BALGOWLAH</t>
  </si>
  <si>
    <t>CONT877</t>
  </si>
  <si>
    <t>Reticulation at WOLLSTONECRAFT</t>
  </si>
  <si>
    <t>WO41146</t>
  </si>
  <si>
    <t>WO43019</t>
  </si>
  <si>
    <t>Reticulation at GORDON</t>
  </si>
  <si>
    <t>SO45715</t>
  </si>
  <si>
    <t>Reticulation at CHATSWOOD</t>
  </si>
  <si>
    <t>SO43698</t>
  </si>
  <si>
    <t>Reticulation at WEST RYDE</t>
  </si>
  <si>
    <t>WO42924</t>
  </si>
  <si>
    <t>Reticulation at BIRRONG</t>
  </si>
  <si>
    <t>CONT2046</t>
  </si>
  <si>
    <t>Reticulation at NEUTRAL BAY</t>
  </si>
  <si>
    <t>WO11353054</t>
  </si>
  <si>
    <t>WO11352337</t>
  </si>
  <si>
    <t>WO11360108</t>
  </si>
  <si>
    <t>WO11376214</t>
  </si>
  <si>
    <t>Reticulation at LANE COVE</t>
  </si>
  <si>
    <t>PRO200021322</t>
  </si>
  <si>
    <t>Reticulation at WAVERTON</t>
  </si>
  <si>
    <t>CASE107747WW</t>
  </si>
  <si>
    <t>Branch at BERALA</t>
  </si>
  <si>
    <t>PRO20020039</t>
  </si>
  <si>
    <t>WN360435</t>
  </si>
  <si>
    <t>Reticulation at GIRRAWEEN</t>
  </si>
  <si>
    <t>PRO352795</t>
  </si>
  <si>
    <t>Reticulation at NARRAWEENA</t>
  </si>
  <si>
    <t>Reticulation at HUNTERS HILL</t>
  </si>
  <si>
    <t>PRO10010693</t>
  </si>
  <si>
    <t>Branch at HORNSBY</t>
  </si>
  <si>
    <t>Reticulation at HORNSBY</t>
  </si>
  <si>
    <t>Branch at WAITARA</t>
  </si>
  <si>
    <t>CASE11275WW</t>
  </si>
  <si>
    <t>Reticulation at MANLY</t>
  </si>
  <si>
    <t>Reticulation at PEMULWUY</t>
  </si>
  <si>
    <t>Branch at PEMULWUY</t>
  </si>
  <si>
    <t>PRO100403</t>
  </si>
  <si>
    <t>Reticulation at POTTS HILL</t>
  </si>
  <si>
    <t>PRO20025169</t>
  </si>
  <si>
    <t>CONT 1734</t>
  </si>
  <si>
    <t>Reticulation at CREMORNE</t>
  </si>
  <si>
    <t>CONT1195</t>
  </si>
  <si>
    <t>PRO20023088</t>
  </si>
  <si>
    <t>Reticulation at NORTH PARRAMATTA</t>
  </si>
  <si>
    <t>CASE120344WW</t>
  </si>
  <si>
    <t>Branch at MERRYLANDS</t>
  </si>
  <si>
    <t>Reticulation at DAVIDSON</t>
  </si>
  <si>
    <t>CASE112111WW</t>
  </si>
  <si>
    <t>Branch at EASTWOOD</t>
  </si>
  <si>
    <t>CASE129039WW</t>
  </si>
  <si>
    <t>Reticulation at EPPING</t>
  </si>
  <si>
    <t>CASE129947WW</t>
  </si>
  <si>
    <t>CASE127104WW</t>
  </si>
  <si>
    <t>CASE126950WW</t>
  </si>
  <si>
    <t>Reticulation Low Infiltration Sewer at PROSPECT</t>
  </si>
  <si>
    <t>PRO20029324</t>
  </si>
  <si>
    <t>Reticulation at SEVEN HILLS</t>
  </si>
  <si>
    <t>CASE140002WW</t>
  </si>
  <si>
    <t>Branch at MACQUARIE PARK</t>
  </si>
  <si>
    <t>CASE142045WW</t>
  </si>
  <si>
    <t>Reticulation at WESTMEAD</t>
  </si>
  <si>
    <t>CASE152351WW</t>
  </si>
  <si>
    <t>Reticulation at MEADOWBANK</t>
  </si>
  <si>
    <t>NO PLAN</t>
  </si>
  <si>
    <t>Reticulation at CASTLE HILL</t>
  </si>
  <si>
    <t>TAPIN363557WW</t>
  </si>
  <si>
    <t>CASE161234WW</t>
  </si>
  <si>
    <t>CASE158834WW</t>
  </si>
  <si>
    <t>Branch at WENTWORTHVILLE</t>
  </si>
  <si>
    <t>PRO20033390</t>
  </si>
  <si>
    <t>Reticulation at FRESHWATER</t>
  </si>
  <si>
    <t>PRO20035213</t>
  </si>
  <si>
    <t>Reticulation at KIRRIBILLI</t>
  </si>
  <si>
    <t>TAPIN607672</t>
  </si>
  <si>
    <t>Reticulation at PARRAMATTA</t>
  </si>
  <si>
    <t>TAPIN674266</t>
  </si>
  <si>
    <t>TAPIN703650WW</t>
  </si>
  <si>
    <t>CASE177360WW</t>
  </si>
  <si>
    <t>Branch at PARRAMATTA</t>
  </si>
  <si>
    <t>Pressure Main at HORNSBY</t>
  </si>
  <si>
    <t>Pressure Main at SEVEN HILLS</t>
  </si>
  <si>
    <t>Pressure Main at NEUTRAL BAY</t>
  </si>
  <si>
    <t>PRO20021322</t>
  </si>
  <si>
    <t>SP0101ReconfigureExistingPumps</t>
  </si>
  <si>
    <t>puming station</t>
  </si>
  <si>
    <t>SP0105 ShepherdsBayDevelopment</t>
  </si>
  <si>
    <t>pumping station</t>
  </si>
  <si>
    <t>SP0137NeutralBayStationUpgrade</t>
  </si>
  <si>
    <t>SP0184 MechanicalElectricalUpg</t>
  </si>
  <si>
    <t>Asset replacement L4L</t>
  </si>
  <si>
    <t>RECONCILIATION DR PEMULWUY</t>
  </si>
  <si>
    <t>Amplification Bower Sherwin Street, Henley</t>
  </si>
  <si>
    <t>Plant - General, Preliminary treatment, Primary treatment, Pumping, Sludge Processing,  Odour control, Ocean Outfall</t>
  </si>
  <si>
    <t>Plant - General (Grit removal system)</t>
  </si>
  <si>
    <t>Plant - Sludge Processing (centrifuges), Other (ventilation), North Side Storage Tunnel</t>
  </si>
  <si>
    <t>Plant - Pumping (raw sewage pumps)</t>
  </si>
  <si>
    <t>Plant - Other (scrubbers)</t>
  </si>
  <si>
    <t>Plant - Other
Includes: Recycled water plant at 2 ML/d</t>
  </si>
  <si>
    <t>POST-1996 UNCOMMISSIONED ASSETS WITH A NEXUS TO THE SERVICE FOR WHICH THE MAXIMUM PRICE IS BEING CALCULATED</t>
  </si>
  <si>
    <t>Gravity main</t>
  </si>
  <si>
    <t>Rising main</t>
  </si>
  <si>
    <t>Register of uncommissioned assets</t>
  </si>
  <si>
    <t xml:space="preserve">NSOOS 2 Tunnel &amp; associated works (shaft, flow diversion chamber, OCU) </t>
  </si>
  <si>
    <t>Asset utilisation after 1 Jan 1996</t>
  </si>
  <si>
    <t>gravity mains</t>
  </si>
  <si>
    <t>Carter Street Sewer Main</t>
  </si>
  <si>
    <t>Narremburn - NB1_B (b) - DN225 &amp; DN300</t>
  </si>
  <si>
    <t>Crows Nest - DN375 - CN1_B (b)</t>
  </si>
  <si>
    <t>Wolstonecraft - DN300 - WC1_C (a)</t>
  </si>
  <si>
    <t>Epping - DN300 - EP1_B (b)</t>
  </si>
  <si>
    <t>Eastwood - DN300 to service Epping to St Leonards growth corridor - EW1_B(b)</t>
  </si>
  <si>
    <t>Macquarie Park - DN225 to service Epping to St Leonards growth corridor - MP1-A (a)</t>
  </si>
  <si>
    <t>Retic sewer in Parramatta SCAMP: 76m of DN300 from MH 1369308 to MH 1372440</t>
  </si>
  <si>
    <t>Hainsworth St Carrier: 800m of DN375 from MH 1372130 to MH 1369551</t>
  </si>
  <si>
    <t>Hornsby Ck Submain: 
139m of DN300 from MH 1035248 to MH 1035700) and 
102m of DN525 from MH 1036056 to MH 1033584 and from MH 1398783 to MH 1036956</t>
  </si>
  <si>
    <t>Retic sewer in Hornsby SCAMP: 162m of DN300 from MH 1034339 to MH 1035260</t>
  </si>
  <si>
    <t>Northumberland St Bch Carrier: 815m of DN375 from MH 1374211 to MH 1373263</t>
  </si>
  <si>
    <t>2182 m3 of storage at 31 maintenance holes to meet EPL and WW surchage license reqts</t>
  </si>
  <si>
    <t>21 m3 of storage at 1 maintenance hole to meet EPL and WW surchage license reqts</t>
  </si>
  <si>
    <t>Source control works to be undertaken via WWOAP</t>
  </si>
  <si>
    <t>North Head WWTP pump station</t>
  </si>
  <si>
    <t>SP0067 - Upgrade (new pumps)</t>
  </si>
  <si>
    <t>SP0314</t>
  </si>
  <si>
    <t xml:space="preserve">SP0103  </t>
  </si>
  <si>
    <t>SP0689</t>
  </si>
  <si>
    <t>Ermington - Generator at SP0689 - EM1_B</t>
  </si>
  <si>
    <t>SP0230</t>
  </si>
  <si>
    <t>Ermington - Generator at SP0230 - EM2_B</t>
  </si>
  <si>
    <t>SP0130</t>
  </si>
  <si>
    <t>60 KL emergency storage at SP0130</t>
  </si>
  <si>
    <t>ST0020- North Head</t>
  </si>
  <si>
    <t>Phase 1: new primary sedimentation tanks, upgrade primary sludge pumping capacity, install CAS chemical dosing system, new digester, replacement of conveyors.</t>
  </si>
  <si>
    <t>treatment</t>
  </si>
  <si>
    <t>EQUIVALENT TENEMENTS (ETs) SINCE 1 JULY 1996 RELATING TO THE DSP UNDER CONSIDERATION</t>
  </si>
  <si>
    <t>ET consumption assumption (kL/year)</t>
  </si>
  <si>
    <t>Single dwelling</t>
  </si>
  <si>
    <t>Multi dwelling</t>
  </si>
  <si>
    <t>Non-residential</t>
  </si>
  <si>
    <t>Commercial</t>
  </si>
  <si>
    <t>Light industrial</t>
  </si>
  <si>
    <t>Non-res 4</t>
  </si>
  <si>
    <t>Non-res 5</t>
  </si>
  <si>
    <t>Non-res 6</t>
  </si>
  <si>
    <t>Non-res 7</t>
  </si>
  <si>
    <t>Non-res 8</t>
  </si>
  <si>
    <t>Consumption assumption</t>
  </si>
  <si>
    <t>kL/year/ property</t>
  </si>
  <si>
    <t>kL/hectare/year</t>
  </si>
  <si>
    <t>N/A</t>
  </si>
  <si>
    <t>kL/property/year</t>
  </si>
  <si>
    <t>Total new ETs in DSP area</t>
  </si>
  <si>
    <t>Annual take-up of single residential dwellings</t>
  </si>
  <si>
    <t>Annual take-up of multi-dwelling residential units</t>
  </si>
  <si>
    <t>Annual water consumption</t>
  </si>
  <si>
    <t>Do not delete section below - this is where the user can enter alternative consumption assumption options for non-residential customer groups.</t>
  </si>
  <si>
    <t>properties</t>
  </si>
  <si>
    <t>Total ETs by 1970</t>
  </si>
  <si>
    <t>hectares</t>
  </si>
  <si>
    <t>Total ETs at 31 Dec 1995</t>
  </si>
  <si>
    <t>Total ETs at end of review period</t>
  </si>
  <si>
    <t>The plural of the units will only affect headings.</t>
  </si>
  <si>
    <t>Utilisation factors</t>
  </si>
  <si>
    <t>ETs 1970 - 1995</t>
  </si>
  <si>
    <t>ETs 1996 - 2022</t>
  </si>
  <si>
    <t>Pre-1996 commissioned assets</t>
  </si>
  <si>
    <t>'REDUCTION AMOUNT' : CALCULATIONS</t>
  </si>
  <si>
    <t>Link to Report and Determination:</t>
  </si>
  <si>
    <r>
      <t>Please present all data and calculations related to the generation of the time series for R</t>
    </r>
    <r>
      <rPr>
        <vertAlign val="subscript"/>
        <sz val="9"/>
        <rFont val="Arial"/>
        <family val="2"/>
      </rPr>
      <t>i</t>
    </r>
    <r>
      <rPr>
        <sz val="9"/>
        <rFont val="Arial"/>
        <family val="2"/>
      </rPr>
      <t xml:space="preserve"> and C</t>
    </r>
    <r>
      <rPr>
        <vertAlign val="subscript"/>
        <sz val="9"/>
        <rFont val="Arial"/>
        <family val="2"/>
      </rPr>
      <t>i</t>
    </r>
    <r>
      <rPr>
        <sz val="9"/>
        <rFont val="Arial"/>
        <family val="2"/>
      </rPr>
      <t xml:space="preserve"> in this worksheet.</t>
    </r>
  </si>
  <si>
    <t>Where:</t>
  </si>
  <si>
    <r>
      <t>R</t>
    </r>
    <r>
      <rPr>
        <vertAlign val="subscript"/>
        <sz val="9"/>
        <rFont val="Arial"/>
        <family val="2"/>
      </rPr>
      <t>i</t>
    </r>
    <r>
      <rPr>
        <sz val="9"/>
        <rFont val="Arial"/>
        <family val="2"/>
      </rPr>
      <t xml:space="preserve"> </t>
    </r>
  </si>
  <si>
    <t>= the Agency’s estimate of the future periodic revenues to be received from new customers in the relevant DSP Area in each financial year i, estimated in accordance with clause 4 of Schedule 5 of the Determination and set out in the relevant DSP.</t>
  </si>
  <si>
    <r>
      <t>C</t>
    </r>
    <r>
      <rPr>
        <vertAlign val="subscript"/>
        <sz val="9"/>
        <rFont val="Arial"/>
        <family val="2"/>
      </rPr>
      <t>i</t>
    </r>
    <r>
      <rPr>
        <sz val="9"/>
        <rFont val="Arial"/>
        <family val="2"/>
      </rPr>
      <t xml:space="preserve"> </t>
    </r>
  </si>
  <si>
    <t>= the Agency’s estimate of the future operating, maintenance and administration costs of servicing all new customers in the DSP Area in each financial year i (excluding, for the avoidance of doubt, any Capital Costs), estimated in accordance with clause 5 of Schedule 5 of the Determination and set out in the relevant DSP.</t>
  </si>
  <si>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</si>
  <si>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</si>
  <si>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r>
      <t>Required timeframe for R</t>
    </r>
    <r>
      <rPr>
        <vertAlign val="subscript"/>
        <sz val="9"/>
        <rFont val="Arial"/>
        <family val="2"/>
      </rPr>
      <t>i</t>
    </r>
    <r>
      <rPr>
        <sz val="9"/>
        <rFont val="Arial"/>
        <family val="2"/>
      </rPr>
      <t xml:space="preserve"> and C</t>
    </r>
    <r>
      <rPr>
        <vertAlign val="subscript"/>
        <sz val="9"/>
        <rFont val="Arial"/>
        <family val="2"/>
      </rPr>
      <t>i</t>
    </r>
    <r>
      <rPr>
        <sz val="9"/>
        <rFont val="Arial"/>
        <family val="2"/>
      </rPr>
      <t>:</t>
    </r>
  </si>
  <si>
    <t>Start year:</t>
  </si>
  <si>
    <t>Final year:</t>
  </si>
  <si>
    <t>Notes:</t>
  </si>
  <si>
    <t>The costs expected to be incurred must be exclusive of all capital costs included in the capital charge calculation.</t>
  </si>
  <si>
    <t xml:space="preserve">Where this spreadsheet is being used to calculate the maximum price for connection of a New Development to a Recycled Water System that is a Least Cost Servicing Solution, </t>
  </si>
  <si>
    <t>the reduction amount includes the revenues that the Agency would have received had the supply of potable water not been substituted with Recycled Water, but excludes the</t>
  </si>
  <si>
    <t>revenues from the sale of Recycled Water (see Recycled Water Developer Charges Determination, Sch 1, cl 3).</t>
  </si>
  <si>
    <t xml:space="preserve">Where this spreadsheet is being used to calculate the ordinary developer charge component of the maximum price for connection of a New Development to a Recycled Water System </t>
  </si>
  <si>
    <t xml:space="preserve">that is NOT a Least Cost Servicing Solution, the relevant operating revenues and operating costs used to calculate the reduction amount are different (see Recycled Water Developer </t>
  </si>
  <si>
    <t>Charges Determination, Sch 2, cl 2.3).</t>
  </si>
  <si>
    <t>Enter analysis below this row.</t>
  </si>
  <si>
    <t>Operating costs</t>
  </si>
  <si>
    <t xml:space="preserve">Revene </t>
  </si>
  <si>
    <t>Core opex</t>
  </si>
  <si>
    <t>Ratio</t>
  </si>
  <si>
    <t>Growth discharge</t>
  </si>
  <si>
    <t>Transport fixed</t>
  </si>
  <si>
    <t>Transport variable</t>
  </si>
  <si>
    <t>Treatment fixed</t>
  </si>
  <si>
    <t>Treatment variable</t>
  </si>
  <si>
    <t>Total opex</t>
  </si>
  <si>
    <t>Discharge volume, kL</t>
  </si>
  <si>
    <t>Usage revenue, $</t>
  </si>
  <si>
    <t>Service revenue, $</t>
  </si>
  <si>
    <t xml:space="preserve">Total revenue,$ </t>
  </si>
  <si>
    <t>Fixed transport</t>
  </si>
  <si>
    <t>Variable transport</t>
  </si>
  <si>
    <t>Fixed treatment</t>
  </si>
  <si>
    <t>Variable treatment</t>
  </si>
  <si>
    <t>Growth</t>
  </si>
  <si>
    <t>for opex, kL/yr</t>
  </si>
  <si>
    <t>'HEADWORK ASSETS' : CALCULATIONS</t>
  </si>
  <si>
    <t>Please present, in this worksheet, the underlying high level data and analysis related to the generation of the Headworks cost per ET for the service for which this maximum price is being calculated.</t>
  </si>
  <si>
    <t>Please manually enter or link the calculated headwork cost per ET to cell</t>
  </si>
  <si>
    <t xml:space="preserve">Notes:  </t>
  </si>
  <si>
    <t>As explained in IPART's Report (Box 2.4, page 29) , headworks not owned by the agency should also be included in these calculations.</t>
  </si>
  <si>
    <t>'SCHEME COST ALLOCATION' : CALCULATIONS</t>
  </si>
  <si>
    <t>Please present, in this worksheet, the underlying high level data and analysis related to the generation of the scheme cost allocation per ET for the service for which this maximum price is being calculated.</t>
  </si>
  <si>
    <t>Please refer to the above link for guidance on calculating the scheme cost allocation amount.</t>
  </si>
  <si>
    <t>WHAT THE DETERMINATION SAYS ABOUT ASSET EXCLUSIONS</t>
  </si>
  <si>
    <t>Excluded Assets means:</t>
  </si>
  <si>
    <t>(a)</t>
  </si>
  <si>
    <t>that part of an asset provided for a reason other than to service a growth area;</t>
  </si>
  <si>
    <t>(b)</t>
  </si>
  <si>
    <t>that part of an asset that services other DSP Areas;</t>
  </si>
  <si>
    <t>(c)</t>
  </si>
  <si>
    <t>the capacity of an asset that was made available by changes in land use patterns, or by changes in average demand;</t>
  </si>
  <si>
    <t>(d)</t>
  </si>
  <si>
    <t>any asset or part of an asset that was unreasonably oversized relative to system and capacity requirements, based on available demographic data at the time it was commissioned;</t>
  </si>
  <si>
    <t>(e)</t>
  </si>
  <si>
    <t>any Pre-1970 Assets; and</t>
  </si>
  <si>
    <t>(f)</t>
  </si>
  <si>
    <t>any assets or part of an asset funded by Developers and transferred free of charge to the Agency.</t>
  </si>
  <si>
    <t>For the removal of doubt, the Determination defines assets as:</t>
  </si>
  <si>
    <t>all assets or parts of assets (including headworks), apart from Excluded Assets, allocated to a DSP where there is a nexus (close connection) to the Development they are intended to serve and includes assets that:</t>
  </si>
  <si>
    <t xml:space="preserve">(a) </t>
  </si>
  <si>
    <t>were commissioned prior to the Commencement Date;</t>
  </si>
  <si>
    <t xml:space="preserve">(b) </t>
  </si>
  <si>
    <t>were commissioned after the Commencement Date but before the Development commenced; and</t>
  </si>
  <si>
    <t xml:space="preserve">(c) </t>
  </si>
  <si>
    <t>are commissioned, or are to be commissioned, after the Development commences.</t>
  </si>
  <si>
    <t>North Head Wastewater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</si>
</sst>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8" formatCode="&quot;$&quot;#,##0.00;[Red]\-&quot;$&quot;#,##0.00"/>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C09]d\ mmmm\ yyyy;@"/>
    <numFmt numFmtId="169" formatCode="dd\ mmm\ yyyy"/>
    <numFmt numFmtId="170" formatCode="yyyy\-*y"/>
    <numFmt numFmtId="171" formatCode="&quot;$&quot;#,##0"/>
    <numFmt numFmtId="172" formatCode="#,##0.000"/>
    <numFmt numFmtId="173" formatCode="mmmm\ yyyy"/>
    <numFmt numFmtId="174" formatCode="#,##0_ ;[Red]\-#,##0\ "/>
    <numFmt numFmtId="175" formatCode="_-* #,##0.0_-;\-* #,##0.0_-;_-* &quot;-&quot;??_-;_-@_-"/>
    <numFmt numFmtId="176" formatCode="_-* #,##0_-;\-* #,##0_-;_-* &quot;-&quot;??_-;_-@_-"/>
  </numFmts>
  <fonts count="34" x14ac:knownFonts="1">
    <font>
      <sz val="9"/>
      <name val="Arial"/>
      <family val="2"/>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b/>
      <sz val="14"/>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i/>
      <sz val="9"/>
      <name val="Arial"/>
      <family val="2"/>
    </font>
    <font>
      <sz val="9"/>
      <color indexed="81"/>
      <name val="Tahoma"/>
      <family val="2"/>
    </font>
    <font>
      <b/>
      <sz val="9"/>
      <color indexed="81"/>
      <name val="Tahoma"/>
      <family val="2"/>
    </font>
    <font>
      <sz val="9"/>
      <color rgb="FFFF0000"/>
      <name val="Arial"/>
      <family val="2"/>
    </font>
    <font>
      <sz val="9"/>
      <color theme="0" tint="-0.14996795556505021"/>
      <name val="Arial"/>
      <family val="2"/>
    </font>
    <font>
      <vertAlign val="subscript"/>
      <sz val="9"/>
      <name val="Arial"/>
      <family val="2"/>
    </font>
    <font>
      <vertAlign val="subscript"/>
      <sz val="9"/>
      <color indexed="81"/>
      <name val="Tahoma"/>
      <family val="2"/>
    </font>
    <font>
      <sz val="9"/>
      <color theme="1"/>
      <name val="Arial"/>
      <family val="2"/>
    </font>
    <font>
      <b/>
      <u/>
      <sz val="9"/>
      <name val="Arial"/>
      <family val="2"/>
    </font>
    <font>
      <sz val="10"/>
      <name val="Arial"/>
      <family val="2"/>
    </font>
    <font>
      <b/>
      <sz val="10"/>
      <name val="Arial"/>
      <family val="2"/>
    </font>
    <font>
      <i/>
      <sz val="9"/>
      <color rgb="FFC00000"/>
      <name val="Arial"/>
      <family val="2"/>
    </font>
    <font>
      <i/>
      <sz val="9"/>
      <color theme="0" tint="-0.499984740745262"/>
      <name val="Arial"/>
      <family val="2"/>
    </font>
    <font>
      <sz val="8"/>
      <name val="Arial"/>
      <family val="2"/>
    </font>
    <font>
      <sz val="10"/>
      <name val="Book Antiqua"/>
      <family val="2"/>
      <scheme val="minor"/>
    </font>
    <font>
      <sz val="8"/>
      <color theme="0" tint="-0.34998626667073579"/>
      <name val="Arial"/>
      <family val="2"/>
    </font>
    <font>
      <i/>
      <sz val="8"/>
      <color rgb="FFC00000"/>
      <name val="Arial"/>
      <family val="2"/>
    </font>
    <font>
      <sz val="9"/>
      <color theme="0"/>
      <name val="Arial"/>
      <family val="2"/>
    </font>
  </fonts>
  <fills count="18">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8"/>
        <bgColor indexed="15"/>
      </patternFill>
    </fill>
    <fill>
      <patternFill patternType="solid">
        <fgColor theme="0"/>
        <bgColor indexed="15"/>
      </patternFill>
    </fill>
    <fill>
      <patternFill patternType="solid">
        <fgColor indexed="44"/>
        <bgColor indexed="15"/>
      </patternFill>
    </fill>
    <fill>
      <patternFill patternType="solid">
        <fgColor rgb="FFDDDDDD"/>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8FB8FB"/>
        <bgColor indexed="64"/>
      </patternFill>
    </fill>
    <fill>
      <patternFill patternType="solid">
        <fgColor indexed="9"/>
        <bgColor indexed="64"/>
      </patternFill>
    </fill>
    <fill>
      <patternFill patternType="solid">
        <fgColor rgb="FFFFFFCC"/>
        <bgColor indexed="64"/>
      </patternFill>
    </fill>
  </fills>
  <borders count="27">
    <border>
      <left/>
      <right/>
      <top/>
      <bottom/>
      <diagonal/>
    </border>
    <border>
      <left/>
      <right style="double">
        <color theme="6"/>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10"/>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rgb="FFFF0000"/>
      </bottom>
      <diagonal/>
    </border>
    <border>
      <left/>
      <right/>
      <top style="double">
        <color rgb="FFFF0000"/>
      </top>
      <bottom/>
      <diagonal/>
    </border>
    <border>
      <left/>
      <right/>
      <top style="double">
        <color rgb="FFFF0000"/>
      </top>
      <bottom style="double">
        <color rgb="FFFF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bottom style="double">
        <color rgb="FFFF0000"/>
      </bottom>
      <diagonal/>
    </border>
    <border>
      <left/>
      <right/>
      <top/>
      <bottom style="thin">
        <color theme="0" tint="-0.34998626667073579"/>
      </bottom>
      <diagonal/>
    </border>
    <border>
      <left/>
      <right/>
      <top/>
      <bottom style="medium">
        <color indexed="64"/>
      </bottom>
      <diagonal/>
    </border>
    <border>
      <left/>
      <right/>
      <top style="thin">
        <color theme="0" tint="-0.34998626667073579"/>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23">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4" fillId="0" borderId="0" applyNumberFormat="0" applyFill="0" applyBorder="0" applyAlignment="0" applyProtection="0">
      <protection locked="0"/>
    </xf>
    <xf numFmtId="41" fontId="5" fillId="5" borderId="0" applyNumberFormat="0" applyBorder="0" applyAlignment="0"/>
    <xf numFmtId="0" fontId="6" fillId="0" borderId="0" applyNumberFormat="0" applyFill="0" applyBorder="0" applyAlignment="0" applyProtection="0"/>
    <xf numFmtId="0" fontId="12"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4" fillId="7"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5" fillId="0" borderId="0" applyFont="0" applyBorder="0" applyAlignment="0" applyProtection="0"/>
    <xf numFmtId="9" fontId="15" fillId="0" borderId="0" applyFont="0" applyBorder="0" applyAlignment="0" applyProtection="0"/>
    <xf numFmtId="9" fontId="1" fillId="0" borderId="0" applyFont="0" applyFill="0" applyBorder="0" applyAlignment="0" applyProtection="0"/>
    <xf numFmtId="0" fontId="25" fillId="0" borderId="0"/>
    <xf numFmtId="0" fontId="30" fillId="0" borderId="0"/>
  </cellStyleXfs>
  <cellXfs count="268">
    <xf numFmtId="0" fontId="0" fillId="0" borderId="0" xfId="0"/>
    <xf numFmtId="0" fontId="0" fillId="6" borderId="0" xfId="0" applyFill="1"/>
    <xf numFmtId="0" fontId="9" fillId="0" borderId="0" xfId="0" applyFont="1"/>
    <xf numFmtId="166" fontId="1" fillId="3" borderId="0" xfId="16" applyBorder="1" applyAlignment="1">
      <protection locked="0"/>
    </xf>
    <xf numFmtId="0" fontId="0" fillId="0" borderId="0" xfId="0" applyAlignment="1">
      <alignment horizontal="left"/>
    </xf>
    <xf numFmtId="0" fontId="10" fillId="6" borderId="0" xfId="14" applyFont="1" applyFill="1"/>
    <xf numFmtId="0" fontId="10" fillId="0" borderId="0" xfId="0" applyFont="1"/>
    <xf numFmtId="0" fontId="8" fillId="0" borderId="0" xfId="0" applyFont="1" applyAlignment="1">
      <alignment horizontal="left" vertical="top"/>
    </xf>
    <xf numFmtId="0" fontId="0" fillId="0" borderId="0" xfId="0" applyAlignment="1">
      <alignment horizontal="left" vertical="top"/>
    </xf>
    <xf numFmtId="0" fontId="0" fillId="0" borderId="4" xfId="0" applyBorder="1"/>
    <xf numFmtId="0" fontId="13" fillId="8" borderId="0" xfId="0" applyFont="1" applyFill="1"/>
    <xf numFmtId="0" fontId="0" fillId="8" borderId="0" xfId="0" applyFill="1"/>
    <xf numFmtId="0" fontId="0" fillId="0" borderId="0" xfId="0" applyAlignment="1">
      <alignment horizontal="center" vertical="top"/>
    </xf>
    <xf numFmtId="0" fontId="8" fillId="8" borderId="0" xfId="0" applyFont="1" applyFill="1"/>
    <xf numFmtId="4" fontId="0" fillId="4" borderId="0" xfId="6" applyFont="1" applyBorder="1" applyAlignment="1">
      <alignment horizontal="left"/>
      <protection locked="0"/>
    </xf>
    <xf numFmtId="166" fontId="0" fillId="3" borderId="0" xfId="16" applyFont="1" applyBorder="1" applyAlignment="1">
      <protection locked="0"/>
    </xf>
    <xf numFmtId="167" fontId="4" fillId="0" borderId="0" xfId="1" applyNumberFormat="1" applyFont="1" applyFill="1" applyBorder="1" applyAlignment="1">
      <alignment horizontal="left"/>
    </xf>
    <xf numFmtId="167" fontId="5" fillId="5" borderId="0" xfId="9" applyNumberFormat="1" applyBorder="1" applyAlignment="1">
      <alignment horizontal="left"/>
    </xf>
    <xf numFmtId="167" fontId="2" fillId="0" borderId="0" xfId="4" applyNumberForma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ill="1" applyBorder="1" applyAlignment="1">
      <alignment horizontal="left"/>
    </xf>
    <xf numFmtId="167" fontId="3" fillId="0" borderId="0" xfId="1" applyNumberFormat="1" applyFont="1" applyFill="1" applyBorder="1" applyAlignment="1">
      <alignment horizontal="left"/>
    </xf>
    <xf numFmtId="167" fontId="0" fillId="0" borderId="9" xfId="1" applyNumberFormat="1" applyFont="1" applyBorder="1" applyAlignment="1">
      <alignment horizontal="left"/>
    </xf>
    <xf numFmtId="167" fontId="0" fillId="0" borderId="0" xfId="1" applyNumberFormat="1" applyFont="1" applyBorder="1" applyAlignment="1">
      <alignment horizontal="left"/>
    </xf>
    <xf numFmtId="0" fontId="0" fillId="0" borderId="5" xfId="0" applyBorder="1" applyAlignment="1">
      <alignment horizontal="center" wrapText="1"/>
    </xf>
    <xf numFmtId="3" fontId="1" fillId="4" borderId="6" xfId="6" applyNumberFormat="1" applyBorder="1" applyAlignment="1">
      <alignment horizontal="center"/>
      <protection locked="0"/>
    </xf>
    <xf numFmtId="3" fontId="1" fillId="4" borderId="7" xfId="6" applyNumberFormat="1" applyBorder="1" applyAlignment="1">
      <alignment horizontal="center"/>
      <protection locked="0"/>
    </xf>
    <xf numFmtId="4" fontId="1" fillId="4" borderId="7" xfId="6" applyBorder="1" applyAlignment="1">
      <protection locked="0"/>
    </xf>
    <xf numFmtId="0" fontId="0" fillId="0" borderId="0" xfId="0" applyAlignment="1">
      <alignment horizontal="right"/>
    </xf>
    <xf numFmtId="3" fontId="1" fillId="4" borderId="8" xfId="6" applyNumberFormat="1" applyBorder="1" applyAlignment="1">
      <alignment horizontal="center"/>
      <protection locked="0"/>
    </xf>
    <xf numFmtId="4" fontId="1" fillId="4" borderId="8" xfId="6" applyBorder="1" applyAlignment="1">
      <protection locked="0"/>
    </xf>
    <xf numFmtId="169" fontId="0" fillId="0" borderId="0" xfId="0" applyNumberFormat="1"/>
    <xf numFmtId="169" fontId="1" fillId="4" borderId="6" xfId="6" applyNumberFormat="1" applyBorder="1" applyAlignment="1">
      <alignment horizontal="center"/>
      <protection locked="0"/>
    </xf>
    <xf numFmtId="169" fontId="1" fillId="4" borderId="7" xfId="6" applyNumberFormat="1" applyBorder="1" applyAlignment="1">
      <alignment horizontal="center"/>
      <protection locked="0"/>
    </xf>
    <xf numFmtId="0" fontId="0" fillId="0" borderId="0" xfId="0" applyAlignment="1">
      <alignment horizontal="center" wrapText="1"/>
    </xf>
    <xf numFmtId="9" fontId="0" fillId="0" borderId="0" xfId="0" applyNumberFormat="1"/>
    <xf numFmtId="0" fontId="0" fillId="0" borderId="0" xfId="0" applyAlignment="1">
      <alignment horizontal="center"/>
    </xf>
    <xf numFmtId="4" fontId="0" fillId="0" borderId="0" xfId="0" applyNumberFormat="1"/>
    <xf numFmtId="3" fontId="1" fillId="4" borderId="7" xfId="6" applyNumberFormat="1" applyBorder="1" applyAlignment="1">
      <protection locked="0"/>
    </xf>
    <xf numFmtId="0" fontId="0" fillId="0" borderId="0" xfId="0" applyAlignment="1">
      <alignment wrapText="1"/>
    </xf>
    <xf numFmtId="0" fontId="0" fillId="0" borderId="3" xfId="0" applyBorder="1"/>
    <xf numFmtId="0" fontId="0" fillId="0" borderId="2" xfId="0" applyBorder="1"/>
    <xf numFmtId="0" fontId="0" fillId="0" borderId="6" xfId="0" applyBorder="1"/>
    <xf numFmtId="0" fontId="0" fillId="0" borderId="7" xfId="0" applyBorder="1"/>
    <xf numFmtId="0" fontId="0" fillId="0" borderId="8" xfId="0" applyBorder="1"/>
    <xf numFmtId="0" fontId="10" fillId="0" borderId="0" xfId="0" applyFont="1" applyAlignment="1">
      <alignment horizontal="centerContinuous" wrapText="1"/>
    </xf>
    <xf numFmtId="0" fontId="10" fillId="0" borderId="0" xfId="0" applyFont="1" applyAlignment="1">
      <alignment horizontal="right" wrapText="1"/>
    </xf>
    <xf numFmtId="3" fontId="1" fillId="4" borderId="6" xfId="6" applyNumberFormat="1" applyBorder="1" applyAlignment="1">
      <protection locked="0"/>
    </xf>
    <xf numFmtId="4" fontId="1" fillId="4" borderId="5" xfId="6" applyBorder="1" applyAlignment="1">
      <alignment horizontal="center"/>
      <protection locked="0"/>
    </xf>
    <xf numFmtId="8" fontId="0" fillId="0" borderId="0" xfId="0" applyNumberFormat="1"/>
    <xf numFmtId="169" fontId="0" fillId="0" borderId="0" xfId="0" applyNumberFormat="1" applyAlignment="1">
      <alignment horizontal="right"/>
    </xf>
    <xf numFmtId="0" fontId="0" fillId="0" borderId="15" xfId="0" applyBorder="1"/>
    <xf numFmtId="0" fontId="0" fillId="0" borderId="16" xfId="0" applyBorder="1"/>
    <xf numFmtId="0" fontId="0" fillId="0" borderId="17" xfId="0" applyBorder="1"/>
    <xf numFmtId="0" fontId="0" fillId="0" borderId="11" xfId="0" applyBorder="1"/>
    <xf numFmtId="0" fontId="0" fillId="0" borderId="18" xfId="0" applyBorder="1"/>
    <xf numFmtId="0" fontId="0" fillId="0" borderId="19" xfId="0" applyBorder="1"/>
    <xf numFmtId="0" fontId="11" fillId="0" borderId="0" xfId="0" applyFont="1"/>
    <xf numFmtId="0" fontId="10" fillId="0" borderId="2" xfId="0" applyFont="1" applyBorder="1"/>
    <xf numFmtId="0" fontId="20" fillId="0" borderId="0" xfId="8" applyNumberFormat="1" applyFont="1" applyProtection="1"/>
    <xf numFmtId="4" fontId="1" fillId="4" borderId="5" xfId="6" applyBorder="1" applyAlignment="1">
      <alignment horizontal="center" wrapText="1"/>
      <protection locked="0"/>
    </xf>
    <xf numFmtId="3" fontId="1" fillId="4" borderId="5" xfId="6" applyNumberFormat="1" applyBorder="1" applyAlignment="1">
      <alignment horizontal="center" wrapText="1"/>
      <protection locked="0"/>
    </xf>
    <xf numFmtId="4" fontId="1" fillId="4" borderId="6" xfId="6" applyBorder="1" applyAlignment="1">
      <protection locked="0"/>
    </xf>
    <xf numFmtId="0" fontId="0" fillId="0" borderId="0" xfId="0" applyAlignment="1">
      <alignment horizontal="left" indent="1"/>
    </xf>
    <xf numFmtId="169" fontId="4" fillId="0" borderId="5" xfId="8" applyNumberFormat="1" applyBorder="1" applyAlignment="1" applyProtection="1">
      <alignment horizontal="center"/>
    </xf>
    <xf numFmtId="169" fontId="0" fillId="0" borderId="5" xfId="0" applyNumberFormat="1" applyBorder="1" applyAlignment="1">
      <alignment horizontal="center"/>
    </xf>
    <xf numFmtId="165" fontId="4" fillId="0" borderId="5" xfId="8" applyNumberFormat="1" applyBorder="1" applyAlignment="1" applyProtection="1">
      <alignment horizontal="center"/>
    </xf>
    <xf numFmtId="0" fontId="4" fillId="0" borderId="5" xfId="8" applyNumberFormat="1" applyBorder="1" applyAlignment="1" applyProtection="1">
      <alignment horizontal="center"/>
    </xf>
    <xf numFmtId="0" fontId="0" fillId="7" borderId="0" xfId="0" applyFill="1"/>
    <xf numFmtId="3" fontId="0" fillId="0" borderId="0" xfId="0" applyNumberFormat="1"/>
    <xf numFmtId="171" fontId="5" fillId="5" borderId="0" xfId="9" applyNumberFormat="1"/>
    <xf numFmtId="0" fontId="19" fillId="0" borderId="0" xfId="0" applyFont="1" applyAlignment="1">
      <alignment horizontal="left"/>
    </xf>
    <xf numFmtId="0" fontId="19" fillId="6" borderId="0" xfId="0" applyFont="1" applyFill="1"/>
    <xf numFmtId="0" fontId="12" fillId="0" borderId="4" xfId="11" applyBorder="1" applyAlignment="1"/>
    <xf numFmtId="0" fontId="0" fillId="0" borderId="0" xfId="0" applyAlignment="1">
      <alignment vertical="top"/>
    </xf>
    <xf numFmtId="0" fontId="7" fillId="0" borderId="0" xfId="0" applyFont="1"/>
    <xf numFmtId="0" fontId="20" fillId="0" borderId="0" xfId="0" applyFont="1"/>
    <xf numFmtId="3" fontId="5" fillId="9" borderId="0" xfId="9" applyNumberFormat="1" applyFill="1" applyBorder="1"/>
    <xf numFmtId="0" fontId="7" fillId="0" borderId="3" xfId="0" applyFont="1" applyBorder="1"/>
    <xf numFmtId="169" fontId="0" fillId="0" borderId="3" xfId="0" applyNumberFormat="1" applyBorder="1" applyAlignment="1">
      <alignment horizontal="right"/>
    </xf>
    <xf numFmtId="3" fontId="5" fillId="9" borderId="5" xfId="9" applyNumberFormat="1" applyFill="1" applyBorder="1"/>
    <xf numFmtId="3" fontId="0" fillId="0" borderId="7" xfId="0" applyNumberFormat="1" applyBorder="1"/>
    <xf numFmtId="3" fontId="0" fillId="0" borderId="6" xfId="0" applyNumberFormat="1" applyBorder="1"/>
    <xf numFmtId="0" fontId="0" fillId="0" borderId="12" xfId="0" applyBorder="1" applyAlignment="1">
      <alignment horizontal="right"/>
    </xf>
    <xf numFmtId="0" fontId="0" fillId="0" borderId="14" xfId="0" applyBorder="1" applyAlignment="1">
      <alignment horizontal="right"/>
    </xf>
    <xf numFmtId="0" fontId="0" fillId="0" borderId="13" xfId="0" applyBorder="1" applyAlignment="1">
      <alignment horizontal="right"/>
    </xf>
    <xf numFmtId="3" fontId="1" fillId="11" borderId="7" xfId="6" applyNumberFormat="1" applyFill="1" applyBorder="1" applyAlignment="1">
      <protection locked="0"/>
    </xf>
    <xf numFmtId="169" fontId="0" fillId="0" borderId="6" xfId="0" applyNumberFormat="1" applyBorder="1"/>
    <xf numFmtId="169" fontId="0" fillId="0" borderId="8" xfId="0" applyNumberFormat="1" applyBorder="1"/>
    <xf numFmtId="0" fontId="1" fillId="10" borderId="6" xfId="13" applyNumberFormat="1" applyFill="1" applyBorder="1" applyAlignment="1">
      <alignment horizontal="center"/>
      <protection locked="0"/>
    </xf>
    <xf numFmtId="0" fontId="1" fillId="10" borderId="7" xfId="13" applyNumberFormat="1" applyFill="1" applyBorder="1" applyAlignment="1">
      <alignment horizontal="center"/>
      <protection locked="0"/>
    </xf>
    <xf numFmtId="0" fontId="1" fillId="10" borderId="8" xfId="13" applyNumberFormat="1" applyFill="1" applyBorder="1" applyAlignment="1">
      <alignment horizontal="center"/>
      <protection locked="0"/>
    </xf>
    <xf numFmtId="3" fontId="1" fillId="10" borderId="6" xfId="6" applyNumberFormat="1" applyFill="1" applyBorder="1" applyAlignment="1">
      <alignment horizontal="center"/>
      <protection locked="0"/>
    </xf>
    <xf numFmtId="3" fontId="1" fillId="10" borderId="7" xfId="6" applyNumberFormat="1" applyFill="1" applyBorder="1" applyAlignment="1">
      <alignment horizontal="center"/>
      <protection locked="0"/>
    </xf>
    <xf numFmtId="3" fontId="0" fillId="0" borderId="6" xfId="0" applyNumberFormat="1" applyBorder="1" applyAlignment="1">
      <alignment horizontal="center"/>
    </xf>
    <xf numFmtId="3" fontId="0" fillId="0" borderId="7" xfId="0" applyNumberFormat="1" applyBorder="1" applyAlignment="1">
      <alignment horizontal="center"/>
    </xf>
    <xf numFmtId="3" fontId="0" fillId="0" borderId="8" xfId="0" applyNumberFormat="1" applyBorder="1" applyAlignment="1">
      <alignment horizontal="center"/>
    </xf>
    <xf numFmtId="165" fontId="1" fillId="0" borderId="6" xfId="18" applyNumberFormat="1" applyFont="1" applyBorder="1" applyAlignment="1" applyProtection="1">
      <alignment horizontal="center"/>
      <protection locked="0"/>
    </xf>
    <xf numFmtId="165" fontId="1" fillId="0" borderId="7" xfId="18" applyNumberFormat="1" applyFont="1" applyBorder="1" applyAlignment="1" applyProtection="1">
      <alignment horizontal="center"/>
      <protection locked="0"/>
    </xf>
    <xf numFmtId="169" fontId="0" fillId="0" borderId="5" xfId="0" applyNumberFormat="1" applyBorder="1"/>
    <xf numFmtId="0" fontId="10" fillId="0" borderId="0" xfId="0" applyFont="1" applyAlignment="1">
      <alignment horizontal="left"/>
    </xf>
    <xf numFmtId="0" fontId="4" fillId="0" borderId="0" xfId="8" applyNumberFormat="1" applyFill="1" applyProtection="1"/>
    <xf numFmtId="4" fontId="1" fillId="11" borderId="8" xfId="6" applyFill="1" applyBorder="1" applyAlignment="1">
      <protection locked="0"/>
    </xf>
    <xf numFmtId="0" fontId="10" fillId="0" borderId="0" xfId="0" applyFont="1" applyAlignment="1">
      <alignment horizontal="center"/>
    </xf>
    <xf numFmtId="170" fontId="1" fillId="10" borderId="7" xfId="13" applyNumberFormat="1" applyFill="1" applyBorder="1" applyAlignment="1">
      <alignment horizontal="center"/>
      <protection locked="0"/>
    </xf>
    <xf numFmtId="0" fontId="14" fillId="6" borderId="0" xfId="14" applyFill="1"/>
    <xf numFmtId="0" fontId="0" fillId="6" borderId="0" xfId="0" applyFill="1" applyAlignment="1">
      <alignment horizontal="left" indent="1"/>
    </xf>
    <xf numFmtId="0" fontId="0" fillId="12" borderId="0" xfId="0" applyFill="1"/>
    <xf numFmtId="0" fontId="0" fillId="12" borderId="0" xfId="0" applyFill="1" applyAlignment="1">
      <alignment horizontal="left"/>
    </xf>
    <xf numFmtId="0" fontId="0" fillId="12" borderId="7" xfId="0" applyFill="1" applyBorder="1"/>
    <xf numFmtId="4" fontId="1" fillId="4" borderId="6" xfId="6" applyBorder="1" applyAlignment="1">
      <alignment horizontal="left" wrapText="1" indent="1"/>
      <protection locked="0"/>
    </xf>
    <xf numFmtId="4" fontId="1" fillId="4" borderId="7" xfId="6" applyBorder="1" applyAlignment="1">
      <alignment horizontal="left" wrapText="1" indent="1"/>
      <protection locked="0"/>
    </xf>
    <xf numFmtId="4" fontId="1" fillId="4" borderId="7" xfId="6" applyBorder="1" applyAlignment="1">
      <alignment horizontal="center" wrapText="1"/>
      <protection locked="0"/>
    </xf>
    <xf numFmtId="4" fontId="1" fillId="4" borderId="8" xfId="6" applyBorder="1" applyAlignment="1">
      <alignment wrapText="1"/>
      <protection locked="0"/>
    </xf>
    <xf numFmtId="4" fontId="0" fillId="4" borderId="6" xfId="6" applyFont="1" applyBorder="1" applyAlignment="1">
      <alignment horizontal="center" wrapText="1"/>
      <protection locked="0"/>
    </xf>
    <xf numFmtId="4" fontId="0" fillId="4" borderId="7" xfId="6" applyFont="1" applyBorder="1" applyAlignment="1">
      <alignment horizontal="center" wrapText="1"/>
      <protection locked="0"/>
    </xf>
    <xf numFmtId="165" fontId="1" fillId="0" borderId="8" xfId="18" applyNumberFormat="1" applyFont="1" applyBorder="1" applyAlignment="1" applyProtection="1">
      <alignment horizontal="center"/>
      <protection locked="0"/>
    </xf>
    <xf numFmtId="4" fontId="1" fillId="10" borderId="8" xfId="6" applyFill="1" applyBorder="1" applyAlignment="1">
      <alignment horizontal="center"/>
      <protection locked="0"/>
    </xf>
    <xf numFmtId="0" fontId="0" fillId="0" borderId="0" xfId="0" applyAlignment="1">
      <alignment horizontal="left" wrapText="1"/>
    </xf>
    <xf numFmtId="0" fontId="0" fillId="0" borderId="0" xfId="0" applyAlignment="1">
      <alignment horizontal="right" vertical="center"/>
    </xf>
    <xf numFmtId="0" fontId="0" fillId="0" borderId="0" xfId="0" applyAlignment="1">
      <alignment horizontal="right" vertical="top"/>
    </xf>
    <xf numFmtId="0" fontId="10" fillId="0" borderId="0" xfId="0" applyFont="1" applyAlignment="1">
      <alignment horizontal="left" vertical="top"/>
    </xf>
    <xf numFmtId="0" fontId="11" fillId="0" borderId="0" xfId="0" quotePrefix="1" applyFont="1"/>
    <xf numFmtId="171" fontId="0" fillId="0" borderId="0" xfId="0" applyNumberFormat="1"/>
    <xf numFmtId="0" fontId="12" fillId="0" borderId="0" xfId="11" applyFill="1" applyBorder="1" applyAlignment="1">
      <alignment horizontal="left" vertical="top"/>
    </xf>
    <xf numFmtId="0" fontId="0" fillId="6" borderId="3" xfId="0" applyFill="1" applyBorder="1"/>
    <xf numFmtId="0" fontId="0" fillId="6" borderId="2" xfId="0" applyFill="1" applyBorder="1"/>
    <xf numFmtId="0" fontId="14" fillId="0" borderId="0" xfId="0" applyFont="1"/>
    <xf numFmtId="4" fontId="19" fillId="11" borderId="8" xfId="6" applyFont="1" applyFill="1" applyBorder="1" applyAlignment="1">
      <alignment horizontal="center" wrapText="1"/>
      <protection locked="0"/>
    </xf>
    <xf numFmtId="168" fontId="1" fillId="4" borderId="8" xfId="6" applyNumberFormat="1" applyBorder="1" applyAlignment="1">
      <alignment horizontal="center"/>
      <protection locked="0"/>
    </xf>
    <xf numFmtId="0" fontId="0" fillId="0" borderId="0" xfId="0" applyAlignment="1">
      <alignment horizontal="right" wrapText="1"/>
    </xf>
    <xf numFmtId="0" fontId="0" fillId="0" borderId="0" xfId="0" applyAlignment="1">
      <alignment horizontal="left" indent="4"/>
    </xf>
    <xf numFmtId="165" fontId="0" fillId="0" borderId="6" xfId="0" applyNumberFormat="1" applyBorder="1"/>
    <xf numFmtId="165" fontId="0" fillId="0" borderId="7" xfId="0" applyNumberFormat="1" applyBorder="1"/>
    <xf numFmtId="165" fontId="0" fillId="0" borderId="8" xfId="0" applyNumberFormat="1" applyBorder="1"/>
    <xf numFmtId="3" fontId="0" fillId="4" borderId="7" xfId="6" applyNumberFormat="1" applyFont="1" applyBorder="1" applyAlignment="1">
      <alignment horizontal="center"/>
      <protection locked="0"/>
    </xf>
    <xf numFmtId="4" fontId="0" fillId="4" borderId="7" xfId="6" applyFont="1" applyBorder="1" applyAlignment="1">
      <protection locked="0"/>
    </xf>
    <xf numFmtId="172" fontId="5" fillId="9" borderId="5" xfId="9" applyNumberFormat="1" applyFill="1" applyBorder="1"/>
    <xf numFmtId="0" fontId="0" fillId="6" borderId="3" xfId="0" applyFill="1" applyBorder="1" applyAlignment="1">
      <alignment wrapText="1"/>
    </xf>
    <xf numFmtId="0" fontId="0" fillId="6" borderId="0" xfId="0" applyFill="1" applyAlignment="1">
      <alignment wrapText="1"/>
    </xf>
    <xf numFmtId="0" fontId="2" fillId="6" borderId="3" xfId="4" applyNumberFormat="1" applyFill="1" applyBorder="1" applyAlignment="1">
      <alignment horizontal="center" wrapText="1"/>
    </xf>
    <xf numFmtId="0" fontId="0" fillId="6" borderId="5" xfId="0" applyFill="1" applyBorder="1" applyAlignment="1">
      <alignment horizontal="center" wrapText="1"/>
    </xf>
    <xf numFmtId="0" fontId="10" fillId="6" borderId="0" xfId="0" applyFont="1" applyFill="1" applyAlignment="1">
      <alignment wrapText="1"/>
    </xf>
    <xf numFmtId="0" fontId="0" fillId="0" borderId="7" xfId="0" applyBorder="1" applyAlignment="1">
      <alignment horizontal="center"/>
    </xf>
    <xf numFmtId="9" fontId="10" fillId="0" borderId="0" xfId="18" applyFont="1" applyBorder="1" applyAlignment="1">
      <alignment horizontal="right" wrapText="1"/>
    </xf>
    <xf numFmtId="9" fontId="10" fillId="0" borderId="0" xfId="18" applyFont="1" applyAlignment="1">
      <alignment horizontal="right" wrapText="1"/>
    </xf>
    <xf numFmtId="9" fontId="10" fillId="0" borderId="0" xfId="18" applyFont="1" applyAlignment="1">
      <alignment wrapText="1"/>
    </xf>
    <xf numFmtId="3" fontId="0" fillId="0" borderId="5" xfId="0" applyNumberFormat="1" applyBorder="1"/>
    <xf numFmtId="4" fontId="1" fillId="4" borderId="5" xfId="6" applyBorder="1" applyAlignment="1">
      <protection locked="0"/>
    </xf>
    <xf numFmtId="0" fontId="0" fillId="0" borderId="20" xfId="0" applyBorder="1"/>
    <xf numFmtId="3" fontId="0" fillId="0" borderId="10" xfId="0" applyNumberFormat="1" applyBorder="1"/>
    <xf numFmtId="0" fontId="10" fillId="6" borderId="0" xfId="14" applyFont="1" applyFill="1" applyBorder="1" applyAlignment="1">
      <alignment horizontal="center" wrapText="1"/>
    </xf>
    <xf numFmtId="0" fontId="1" fillId="6" borderId="0" xfId="0" applyFont="1" applyFill="1"/>
    <xf numFmtId="0" fontId="0" fillId="6" borderId="20" xfId="0" applyFill="1" applyBorder="1" applyAlignment="1">
      <alignment horizontal="centerContinuous"/>
    </xf>
    <xf numFmtId="0" fontId="0" fillId="6" borderId="10" xfId="0" applyFill="1" applyBorder="1" applyAlignment="1">
      <alignment horizontal="centerContinuous"/>
    </xf>
    <xf numFmtId="0" fontId="0" fillId="6" borderId="5" xfId="0" applyFill="1" applyBorder="1" applyAlignment="1">
      <alignment horizontal="center"/>
    </xf>
    <xf numFmtId="0" fontId="12" fillId="6" borderId="0" xfId="11" quotePrefix="1" applyFill="1"/>
    <xf numFmtId="171" fontId="10" fillId="6" borderId="0" xfId="14" applyNumberFormat="1" applyFont="1" applyFill="1"/>
    <xf numFmtId="0" fontId="10" fillId="6" borderId="0" xfId="14" applyFont="1" applyFill="1" applyBorder="1" applyAlignment="1">
      <alignment horizontal="right"/>
    </xf>
    <xf numFmtId="0" fontId="4" fillId="6" borderId="21" xfId="8" applyNumberFormat="1" applyFill="1" applyBorder="1" applyAlignment="1" applyProtection="1">
      <alignment horizontal="right"/>
    </xf>
    <xf numFmtId="3" fontId="1" fillId="6" borderId="6" xfId="14" applyNumberFormat="1" applyFont="1" applyFill="1" applyBorder="1"/>
    <xf numFmtId="0" fontId="1" fillId="6" borderId="6" xfId="14" applyFont="1" applyFill="1" applyBorder="1"/>
    <xf numFmtId="4" fontId="1" fillId="6" borderId="5" xfId="14" applyNumberFormat="1" applyFont="1" applyFill="1" applyBorder="1" applyAlignment="1" applyProtection="1">
      <alignment horizontal="center"/>
      <protection locked="0"/>
    </xf>
    <xf numFmtId="165" fontId="1" fillId="6" borderId="5" xfId="14" applyNumberFormat="1" applyFont="1" applyFill="1" applyBorder="1" applyAlignment="1" applyProtection="1">
      <alignment horizontal="center"/>
      <protection locked="0"/>
    </xf>
    <xf numFmtId="0" fontId="1" fillId="6" borderId="5" xfId="14" applyFont="1" applyFill="1" applyBorder="1" applyAlignment="1">
      <alignment horizontal="center" wrapText="1"/>
    </xf>
    <xf numFmtId="4" fontId="1" fillId="4" borderId="6" xfId="6" applyBorder="1" applyAlignment="1">
      <alignment horizontal="center"/>
      <protection locked="0"/>
    </xf>
    <xf numFmtId="0" fontId="1" fillId="6" borderId="0" xfId="14" applyFont="1" applyFill="1" applyAlignment="1">
      <alignment horizontal="center" wrapText="1"/>
    </xf>
    <xf numFmtId="0" fontId="1" fillId="6" borderId="0" xfId="14" applyFont="1" applyFill="1" applyAlignment="1">
      <alignment horizontal="left" indent="1"/>
    </xf>
    <xf numFmtId="0" fontId="11" fillId="6" borderId="0" xfId="0" applyFont="1" applyFill="1"/>
    <xf numFmtId="0" fontId="1" fillId="6" borderId="0" xfId="14" applyFont="1" applyFill="1" applyAlignment="1">
      <alignment vertical="center"/>
    </xf>
    <xf numFmtId="0" fontId="1" fillId="6" borderId="0" xfId="14" applyFont="1" applyFill="1" applyAlignment="1"/>
    <xf numFmtId="0" fontId="23" fillId="6" borderId="0" xfId="14" applyFont="1" applyFill="1"/>
    <xf numFmtId="0" fontId="23" fillId="6" borderId="0" xfId="14" quotePrefix="1" applyFont="1" applyFill="1"/>
    <xf numFmtId="0" fontId="19" fillId="6" borderId="0" xfId="14" applyFont="1" applyFill="1" applyAlignment="1">
      <alignment horizontal="left"/>
    </xf>
    <xf numFmtId="168" fontId="1" fillId="4" borderId="5" xfId="6" applyNumberFormat="1" applyBorder="1" applyAlignment="1">
      <alignment horizontal="center"/>
      <protection locked="0"/>
    </xf>
    <xf numFmtId="0" fontId="0" fillId="0" borderId="5" xfId="0" applyBorder="1" applyAlignment="1">
      <alignment vertical="top" wrapText="1"/>
    </xf>
    <xf numFmtId="0" fontId="0" fillId="0" borderId="5" xfId="0" applyBorder="1"/>
    <xf numFmtId="0" fontId="0" fillId="0" borderId="6" xfId="0" applyBorder="1" applyAlignment="1">
      <alignment vertical="top" wrapText="1"/>
    </xf>
    <xf numFmtId="0" fontId="0" fillId="0" borderId="5" xfId="0" applyBorder="1" applyAlignment="1">
      <alignment horizontal="center" vertical="top"/>
    </xf>
    <xf numFmtId="173" fontId="0" fillId="0" borderId="5" xfId="0" applyNumberFormat="1" applyBorder="1" applyAlignment="1">
      <alignment horizontal="center" vertical="top"/>
    </xf>
    <xf numFmtId="0" fontId="12" fillId="0" borderId="0" xfId="11"/>
    <xf numFmtId="0" fontId="12" fillId="0" borderId="0" xfId="11" applyAlignment="1">
      <alignment vertical="top"/>
    </xf>
    <xf numFmtId="0" fontId="19" fillId="0" borderId="0" xfId="0" applyFont="1" applyAlignment="1">
      <alignment horizontal="left" indent="2"/>
    </xf>
    <xf numFmtId="174" fontId="0" fillId="0" borderId="6" xfId="0" applyNumberFormat="1" applyBorder="1"/>
    <xf numFmtId="174" fontId="0" fillId="0" borderId="7" xfId="0" applyNumberFormat="1" applyBorder="1"/>
    <xf numFmtId="3" fontId="1" fillId="4" borderId="17" xfId="6" applyNumberFormat="1" applyBorder="1" applyAlignment="1">
      <protection locked="0"/>
    </xf>
    <xf numFmtId="0" fontId="24" fillId="0" borderId="0" xfId="0" applyFont="1"/>
    <xf numFmtId="3" fontId="1" fillId="4" borderId="5" xfId="6" applyNumberFormat="1" applyBorder="1" applyAlignment="1">
      <protection locked="0"/>
    </xf>
    <xf numFmtId="3" fontId="1" fillId="0" borderId="5" xfId="6" applyNumberFormat="1" applyFill="1" applyBorder="1" applyAlignment="1">
      <protection locked="0"/>
    </xf>
    <xf numFmtId="0" fontId="25" fillId="0" borderId="0" xfId="0" applyFont="1"/>
    <xf numFmtId="0" fontId="26" fillId="0" borderId="0" xfId="0" applyFont="1"/>
    <xf numFmtId="4" fontId="25" fillId="0" borderId="0" xfId="0" applyNumberFormat="1" applyFont="1"/>
    <xf numFmtId="0" fontId="25" fillId="0" borderId="23" xfId="0" applyFont="1" applyBorder="1"/>
    <xf numFmtId="0" fontId="26" fillId="0" borderId="23" xfId="0" applyFont="1" applyBorder="1"/>
    <xf numFmtId="0" fontId="0" fillId="13" borderId="5" xfId="0" applyFill="1" applyBorder="1" applyAlignment="1">
      <alignment horizontal="center"/>
    </xf>
    <xf numFmtId="9" fontId="0" fillId="14" borderId="6" xfId="20" applyFont="1" applyFill="1" applyBorder="1" applyAlignment="1">
      <alignment horizontal="center"/>
    </xf>
    <xf numFmtId="9" fontId="0" fillId="14" borderId="7" xfId="20" applyFont="1" applyFill="1" applyBorder="1" applyAlignment="1">
      <alignment horizontal="center"/>
    </xf>
    <xf numFmtId="49" fontId="1" fillId="4" borderId="6" xfId="6" applyNumberFormat="1" applyBorder="1" applyAlignment="1">
      <alignment horizontal="center"/>
      <protection locked="0"/>
    </xf>
    <xf numFmtId="49" fontId="1" fillId="4" borderId="7" xfId="6" applyNumberFormat="1" applyBorder="1" applyAlignment="1">
      <alignment horizontal="center"/>
      <protection locked="0"/>
    </xf>
    <xf numFmtId="169" fontId="27" fillId="0" borderId="0" xfId="0" applyNumberFormat="1" applyFont="1"/>
    <xf numFmtId="169" fontId="28" fillId="0" borderId="24" xfId="0" applyNumberFormat="1" applyFont="1" applyBorder="1"/>
    <xf numFmtId="174" fontId="28" fillId="0" borderId="24" xfId="0" applyNumberFormat="1" applyFont="1" applyBorder="1"/>
    <xf numFmtId="0" fontId="28" fillId="0" borderId="0" xfId="0" applyFont="1"/>
    <xf numFmtId="174" fontId="28" fillId="0" borderId="0" xfId="0" applyNumberFormat="1" applyFont="1"/>
    <xf numFmtId="0" fontId="28" fillId="0" borderId="22" xfId="0" applyFont="1" applyBorder="1"/>
    <xf numFmtId="174" fontId="28" fillId="0" borderId="22" xfId="0" applyNumberFormat="1" applyFont="1" applyBorder="1"/>
    <xf numFmtId="0" fontId="28" fillId="0" borderId="0" xfId="0" applyFont="1" applyAlignment="1">
      <alignment horizontal="center"/>
    </xf>
    <xf numFmtId="0" fontId="27" fillId="0" borderId="0" xfId="0" applyFont="1"/>
    <xf numFmtId="43" fontId="28" fillId="0" borderId="0" xfId="1" applyFont="1" applyFill="1" applyBorder="1"/>
    <xf numFmtId="6" fontId="25" fillId="0" borderId="0" xfId="0" applyNumberFormat="1" applyFont="1"/>
    <xf numFmtId="0" fontId="25" fillId="0" borderId="23" xfId="0" applyFont="1" applyBorder="1" applyAlignment="1">
      <alignment horizontal="right"/>
    </xf>
    <xf numFmtId="0" fontId="25" fillId="0" borderId="0" xfId="0" applyFont="1" applyAlignment="1">
      <alignment horizontal="right"/>
    </xf>
    <xf numFmtId="3" fontId="10" fillId="0" borderId="25" xfId="0" applyNumberFormat="1" applyFont="1" applyBorder="1" applyAlignment="1">
      <alignment horizontal="center"/>
    </xf>
    <xf numFmtId="6" fontId="25" fillId="15" borderId="0" xfId="0" applyNumberFormat="1" applyFont="1" applyFill="1"/>
    <xf numFmtId="4" fontId="0" fillId="0" borderId="0" xfId="0" applyNumberFormat="1" applyAlignment="1">
      <alignment horizontal="right"/>
    </xf>
    <xf numFmtId="165" fontId="0" fillId="0" borderId="5" xfId="0" applyNumberFormat="1" applyBorder="1" applyAlignment="1">
      <alignment horizontal="center"/>
    </xf>
    <xf numFmtId="0" fontId="0" fillId="6" borderId="0" xfId="0" applyFill="1" applyAlignment="1">
      <alignment horizontal="centerContinuous"/>
    </xf>
    <xf numFmtId="0" fontId="25" fillId="0" borderId="23" xfId="0" applyFont="1" applyBorder="1" applyAlignment="1">
      <alignment horizontal="center"/>
    </xf>
    <xf numFmtId="6" fontId="25" fillId="0" borderId="0" xfId="0" applyNumberFormat="1" applyFont="1" applyAlignment="1">
      <alignment horizontal="center"/>
    </xf>
    <xf numFmtId="176" fontId="25" fillId="0" borderId="0" xfId="1" applyNumberFormat="1" applyFont="1"/>
    <xf numFmtId="10" fontId="25" fillId="0" borderId="0" xfId="20" applyNumberFormat="1" applyFont="1" applyAlignment="1">
      <alignment horizontal="center"/>
    </xf>
    <xf numFmtId="174" fontId="25" fillId="0" borderId="0" xfId="0" applyNumberFormat="1" applyFont="1" applyAlignment="1">
      <alignment horizontal="center"/>
    </xf>
    <xf numFmtId="166" fontId="1" fillId="4" borderId="5" xfId="6" applyNumberFormat="1" applyBorder="1" applyAlignment="1">
      <alignment horizontal="center"/>
      <protection locked="0"/>
    </xf>
    <xf numFmtId="166" fontId="1" fillId="10" borderId="5" xfId="6" applyNumberFormat="1" applyFill="1" applyBorder="1" applyAlignment="1">
      <alignment horizontal="center"/>
      <protection locked="0"/>
    </xf>
    <xf numFmtId="174" fontId="1" fillId="4" borderId="7" xfId="6" applyNumberFormat="1" applyBorder="1" applyAlignment="1">
      <protection locked="0"/>
    </xf>
    <xf numFmtId="49" fontId="1" fillId="0" borderId="0" xfId="6" applyNumberFormat="1" applyFill="1" applyBorder="1" applyAlignment="1">
      <alignment horizontal="center"/>
      <protection locked="0"/>
    </xf>
    <xf numFmtId="0" fontId="25" fillId="0" borderId="0" xfId="0" applyFont="1" applyAlignment="1">
      <alignment horizontal="left"/>
    </xf>
    <xf numFmtId="0" fontId="25" fillId="0" borderId="0" xfId="0" applyFont="1" applyAlignment="1">
      <alignment horizontal="center"/>
    </xf>
    <xf numFmtId="0" fontId="25" fillId="0" borderId="26" xfId="0" applyFont="1" applyBorder="1"/>
    <xf numFmtId="176" fontId="28" fillId="0" borderId="0" xfId="1" applyNumberFormat="1" applyFont="1" applyFill="1" applyBorder="1"/>
    <xf numFmtId="43" fontId="25" fillId="0" borderId="0" xfId="0" applyNumberFormat="1" applyFont="1"/>
    <xf numFmtId="165" fontId="0" fillId="6" borderId="5" xfId="0" applyNumberFormat="1" applyFill="1" applyBorder="1" applyAlignment="1">
      <alignment horizontal="center" wrapText="1"/>
    </xf>
    <xf numFmtId="0" fontId="0" fillId="0" borderId="2" xfId="0" applyBorder="1" applyAlignment="1">
      <alignment horizontal="right"/>
    </xf>
    <xf numFmtId="174" fontId="0" fillId="0" borderId="8" xfId="0" applyNumberFormat="1" applyBorder="1"/>
    <xf numFmtId="174" fontId="1" fillId="4" borderId="8" xfId="6" applyNumberFormat="1" applyBorder="1" applyAlignment="1">
      <protection locked="0"/>
    </xf>
    <xf numFmtId="174" fontId="0" fillId="17" borderId="7" xfId="0" applyNumberFormat="1" applyFill="1" applyBorder="1"/>
    <xf numFmtId="0" fontId="10" fillId="0" borderId="0" xfId="0" applyFont="1" applyAlignment="1">
      <alignment horizontal="right"/>
    </xf>
    <xf numFmtId="10" fontId="0" fillId="0" borderId="0" xfId="0" applyNumberFormat="1"/>
    <xf numFmtId="174" fontId="25" fillId="15" borderId="0" xfId="0" applyNumberFormat="1" applyFont="1" applyFill="1"/>
    <xf numFmtId="43" fontId="25" fillId="0" borderId="0" xfId="1" applyFont="1" applyFill="1" applyAlignment="1"/>
    <xf numFmtId="165" fontId="0" fillId="0" borderId="6" xfId="18" applyNumberFormat="1" applyFont="1" applyBorder="1" applyAlignment="1" applyProtection="1">
      <alignment horizontal="center"/>
      <protection locked="0"/>
    </xf>
    <xf numFmtId="3" fontId="0" fillId="6" borderId="0" xfId="0" applyNumberFormat="1" applyFill="1" applyAlignment="1">
      <alignment wrapText="1"/>
    </xf>
    <xf numFmtId="3" fontId="1" fillId="4" borderId="8" xfId="6" applyNumberFormat="1" applyBorder="1" applyAlignment="1">
      <protection locked="0"/>
    </xf>
    <xf numFmtId="0" fontId="33" fillId="0" borderId="0" xfId="0" applyFont="1"/>
    <xf numFmtId="165" fontId="0" fillId="0" borderId="5" xfId="20" applyNumberFormat="1" applyFont="1" applyBorder="1"/>
    <xf numFmtId="4" fontId="5" fillId="9" borderId="0" xfId="9" applyNumberFormat="1" applyFill="1" applyBorder="1"/>
    <xf numFmtId="4" fontId="5" fillId="9" borderId="5" xfId="9" applyNumberFormat="1" applyFill="1" applyBorder="1"/>
    <xf numFmtId="4" fontId="5" fillId="5" borderId="20" xfId="9" applyNumberFormat="1" applyBorder="1"/>
    <xf numFmtId="4" fontId="5" fillId="9" borderId="10" xfId="9" applyNumberFormat="1" applyFill="1" applyBorder="1"/>
    <xf numFmtId="0" fontId="28" fillId="0" borderId="0" xfId="0" applyFont="1" applyBorder="1" applyAlignment="1">
      <alignment horizontal="center"/>
    </xf>
    <xf numFmtId="174" fontId="28" fillId="0" borderId="0" xfId="0" applyNumberFormat="1" applyFont="1" applyBorder="1"/>
    <xf numFmtId="175" fontId="28" fillId="0" borderId="0" xfId="1" applyNumberFormat="1" applyFont="1" applyFill="1" applyBorder="1"/>
    <xf numFmtId="0" fontId="33" fillId="16" borderId="0" xfId="21" applyFont="1" applyFill="1" applyAlignment="1" applyProtection="1">
      <alignment horizontal="center" vertical="center"/>
      <protection locked="0"/>
    </xf>
    <xf numFmtId="0" fontId="0" fillId="0" borderId="0" xfId="0" applyBorder="1"/>
    <xf numFmtId="0" fontId="28" fillId="0" borderId="0" xfId="0" applyFont="1" applyBorder="1"/>
    <xf numFmtId="0" fontId="33" fillId="0" borderId="0" xfId="0" applyFont="1" applyBorder="1"/>
    <xf numFmtId="0" fontId="32" fillId="0" borderId="0" xfId="0" applyFont="1" applyBorder="1" applyAlignment="1">
      <alignment horizontal="right"/>
    </xf>
    <xf numFmtId="0" fontId="29" fillId="0" borderId="0" xfId="0" applyFont="1" applyBorder="1"/>
    <xf numFmtId="174" fontId="31" fillId="0" borderId="0" xfId="0" applyNumberFormat="1" applyFont="1" applyBorder="1"/>
    <xf numFmtId="0" fontId="0" fillId="0" borderId="0" xfId="0" applyFill="1" applyBorder="1"/>
    <xf numFmtId="0" fontId="10" fillId="0" borderId="0" xfId="0" applyFont="1" applyFill="1" applyBorder="1"/>
    <xf numFmtId="3" fontId="1" fillId="0" borderId="0" xfId="6" applyNumberFormat="1" applyFill="1" applyBorder="1" applyAlignment="1">
      <protection locked="0"/>
    </xf>
    <xf numFmtId="0" fontId="0" fillId="0" borderId="0" xfId="0" applyAlignment="1">
      <alignment wrapText="1"/>
    </xf>
    <xf numFmtId="0" fontId="0" fillId="0" borderId="0" xfId="0" applyAlignment="1"/>
    <xf numFmtId="4" fontId="1" fillId="4" borderId="20" xfId="6" applyBorder="1" applyAlignment="1">
      <protection locked="0"/>
    </xf>
    <xf numFmtId="0" fontId="0" fillId="0" borderId="10" xfId="0" applyBorder="1" applyAlignment="1"/>
    <xf numFmtId="4" fontId="10" fillId="4" borderId="20" xfId="6" applyFont="1" applyBorder="1" applyAlignment="1">
      <alignment horizontal="center" wrapText="1"/>
      <protection locked="0"/>
    </xf>
    <xf numFmtId="0" fontId="0" fillId="0" borderId="10" xfId="0" applyBorder="1" applyAlignment="1">
      <alignment horizontal="center" wrapText="1"/>
    </xf>
  </cellXfs>
  <cellStyles count="23">
    <cellStyle name="Change in Formula" xfId="3" xr:uid="{00000000-0005-0000-0000-000000000000}"/>
    <cellStyle name="Comma" xfId="1" builtinId="3" customBuiltin="1"/>
    <cellStyle name="Comma [0]" xfId="2" builtinId="6" customBuiltin="1"/>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 xfId="6" xr:uid="{00000000-0005-0000-0000-00000A000000}"/>
    <cellStyle name="Input %" xfId="7" xr:uid="{00000000-0005-0000-0000-00000B000000}"/>
    <cellStyle name="Input % 2" xfId="17" xr:uid="{00000000-0005-0000-0000-00000C000000}"/>
    <cellStyle name="Input2" xfId="8" xr:uid="{00000000-0005-0000-0000-00000D000000}"/>
    <cellStyle name="Key Outputs" xfId="9" xr:uid="{00000000-0005-0000-0000-00000E000000}"/>
    <cellStyle name="Links from other files (green) style" xfId="10" xr:uid="{00000000-0005-0000-0000-00000F000000}"/>
    <cellStyle name="Normal" xfId="0" builtinId="0" customBuiltin="1"/>
    <cellStyle name="Normal 2" xfId="22" xr:uid="{D30822BE-BD9D-4BA4-93B3-14B3876302F9}"/>
    <cellStyle name="Normal 2 2" xfId="21" xr:uid="{FCC21B74-89FB-456F-AFD0-29BD3F2E22E9}"/>
    <cellStyle name="Percent" xfId="20" builtinId="5"/>
    <cellStyle name="Percent 2" xfId="18" xr:uid="{00000000-0005-0000-0000-000011000000}"/>
    <cellStyle name="Percent 2 2" xfId="19" xr:uid="{00000000-0005-0000-0000-000012000000}"/>
    <cellStyle name="QA" xfId="14" xr:uid="{00000000-0005-0000-0000-000013000000}"/>
  </cellStyles>
  <dxfs count="17">
    <dxf>
      <fill>
        <patternFill>
          <bgColor rgb="FFDDDDDD"/>
        </patternFill>
      </fill>
    </dxf>
    <dxf>
      <fill>
        <patternFill>
          <bgColor rgb="FFDDDDDD"/>
        </patternFill>
      </fill>
    </dxf>
    <dxf>
      <font>
        <b/>
        <i val="0"/>
        <color rgb="FFFF0000"/>
      </font>
    </dxf>
    <dxf>
      <font>
        <b/>
        <i val="0"/>
        <color rgb="FFFF0000"/>
      </font>
    </dxf>
    <dxf>
      <font>
        <b/>
        <i val="0"/>
        <color rgb="FFFF0000"/>
      </font>
    </dxf>
    <dxf>
      <font>
        <b/>
        <i val="0"/>
        <color rgb="FFFF0000"/>
      </font>
    </dxf>
    <dxf>
      <font>
        <color theme="8"/>
      </font>
    </dxf>
    <dxf>
      <font>
        <color theme="8"/>
      </font>
    </dxf>
    <dxf>
      <font>
        <b/>
        <i val="0"/>
        <color rgb="FFFF0000"/>
      </font>
    </dxf>
    <dxf>
      <font>
        <b/>
        <i val="0"/>
        <color rgb="FFFF0000"/>
      </font>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ont>
        <b/>
        <i val="0"/>
        <color rgb="FFFF0000"/>
      </font>
    </dxf>
    <dxf>
      <font>
        <b/>
        <i val="0"/>
        <color rgb="FFFF0000"/>
      </font>
    </dxf>
  </dxfs>
  <tableStyles count="0" defaultTableStyle="TableStyleMedium2" defaultPivotStyle="PivotStyleLight16"/>
  <colors>
    <mruColors>
      <color rgb="FF8FB8FB"/>
      <color rgb="FF6EA3FA"/>
      <color rgb="FFFFFFCC"/>
      <color rgb="FFFF9933"/>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476249</xdr:colOff>
      <xdr:row>11</xdr:row>
      <xdr:rowOff>66675</xdr:rowOff>
    </xdr:from>
    <xdr:ext cx="4324351" cy="5524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AU" sz="1400" b="0" i="1">
                          <a:latin typeface="Cambria Math" panose="02040503050406030204" pitchFamily="18" charset="0"/>
                        </a:rPr>
                      </m:ctrlPr>
                    </m:sSubPr>
                    <m:e>
                      <m:r>
                        <a:rPr lang="en-AU" sz="1400" b="0" i="1">
                          <a:latin typeface="Cambria Math"/>
                        </a:rPr>
                        <m:t>𝑀𝑃</m:t>
                      </m:r>
                    </m:e>
                    <m:sub>
                      <m:r>
                        <a:rPr lang="en-AU" sz="1400" b="0" i="1">
                          <a:latin typeface="Cambria Math"/>
                        </a:rPr>
                        <m:t>𝑆𝑐h</m:t>
                      </m:r>
                      <m:r>
                        <a:rPr lang="en-AU" sz="1400" b="0" i="1">
                          <a:latin typeface="Cambria Math"/>
                        </a:rPr>
                        <m:t>1</m:t>
                      </m:r>
                    </m:sub>
                  </m:sSub>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1</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1</m:t>
                          </m:r>
                        </m:sub>
                      </m:sSub>
                    </m:den>
                  </m:f>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2</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2</m:t>
                          </m:r>
                        </m:sub>
                      </m:sSub>
                    </m:den>
                  </m:f>
                  <m:r>
                    <a:rPr lang="en-AU" sz="1400" b="0" i="1">
                      <a:latin typeface="Cambria Math"/>
                    </a:rPr>
                    <m:t>−</m:t>
                  </m:r>
                  <m:f>
                    <m:fPr>
                      <m:ctrlPr>
                        <a:rPr lang="en-AU" sz="1400" b="0" i="1">
                          <a:latin typeface="Cambria Math" panose="02040503050406030204" pitchFamily="18" charset="0"/>
                        </a:rPr>
                      </m:ctrlPr>
                    </m:fPr>
                    <m:num>
                      <m:r>
                        <a:rPr lang="en-AU" sz="1400" b="0" i="1">
                          <a:latin typeface="Cambria Math"/>
                        </a:rPr>
                        <m:t>𝑁𝑃𝑉</m:t>
                      </m:r>
                      <m:d>
                        <m:dPr>
                          <m:ctrlPr>
                            <a:rPr lang="en-AU" sz="1400" b="0" i="1">
                              <a:latin typeface="Cambria Math" panose="02040503050406030204" pitchFamily="18" charset="0"/>
                            </a:rPr>
                          </m:ctrlPr>
                        </m:dPr>
                        <m:e>
                          <m:sSub>
                            <m:sSubPr>
                              <m:ctrlPr>
                                <a:rPr lang="en-AU" sz="1400" b="0" i="1">
                                  <a:latin typeface="Cambria Math" panose="02040503050406030204" pitchFamily="18" charset="0"/>
                                </a:rPr>
                              </m:ctrlPr>
                            </m:sSubPr>
                            <m:e>
                              <m:r>
                                <a:rPr lang="en-AU" sz="1400" b="0" i="1">
                                  <a:latin typeface="Cambria Math"/>
                                </a:rPr>
                                <m:t>𝑅</m:t>
                              </m:r>
                            </m:e>
                            <m:sub>
                              <m:r>
                                <a:rPr lang="en-AU" sz="1400" b="0" i="1">
                                  <a:latin typeface="Cambria Math"/>
                                </a:rPr>
                                <m:t>𝑖</m:t>
                              </m:r>
                            </m:sub>
                          </m:sSub>
                          <m:r>
                            <a:rPr lang="en-AU" sz="1400" b="0" i="1">
                              <a:latin typeface="Cambria Math"/>
                            </a:rPr>
                            <m:t>−</m:t>
                          </m:r>
                          <m:sSub>
                            <m:sSubPr>
                              <m:ctrlPr>
                                <a:rPr lang="en-AU" sz="1400" b="0" i="1">
                                  <a:latin typeface="Cambria Math" panose="02040503050406030204" pitchFamily="18" charset="0"/>
                                </a:rPr>
                              </m:ctrlPr>
                            </m:sSubPr>
                            <m:e>
                              <m:r>
                                <a:rPr lang="en-AU" sz="1400" b="0" i="1">
                                  <a:latin typeface="Cambria Math"/>
                                </a:rPr>
                                <m:t>𝐶</m:t>
                              </m:r>
                            </m:e>
                            <m:sub>
                              <m:r>
                                <a:rPr lang="en-AU" sz="1400" b="0" i="1">
                                  <a:latin typeface="Cambria Math"/>
                                </a:rPr>
                                <m:t>𝑖</m:t>
                              </m:r>
                            </m:sub>
                          </m:sSub>
                        </m:e>
                      </m:d>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3</m:t>
                          </m:r>
                        </m:sub>
                      </m:sSub>
                    </m:den>
                  </m:f>
                </m:oMath>
              </a14:m>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Choice>
      <mc:Fallback xmlns="">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400" b="0" i="0">
                  <a:latin typeface="Cambria Math"/>
                </a:rPr>
                <a:t>〖𝑀𝑃〗_𝑆𝑐ℎ1=𝐾_1/𝐿_1 +𝐾_2/𝐿_2 −𝑁𝑃𝑉(𝑅_𝑖−𝐶_𝑖 )/𝐿_3 </a:t>
              </a:r>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37</xdr:col>
      <xdr:colOff>38100</xdr:colOff>
      <xdr:row>11</xdr:row>
      <xdr:rowOff>19050</xdr:rowOff>
    </xdr:from>
    <xdr:to>
      <xdr:col>37</xdr:col>
      <xdr:colOff>314325</xdr:colOff>
      <xdr:row>18</xdr:row>
      <xdr:rowOff>142875</xdr:rowOff>
    </xdr:to>
    <xdr:sp macro="" textlink="">
      <xdr:nvSpPr>
        <xdr:cNvPr id="2" name="Right Brace 1">
          <a:extLst>
            <a:ext uri="{FF2B5EF4-FFF2-40B4-BE49-F238E27FC236}">
              <a16:creationId xmlns:a16="http://schemas.microsoft.com/office/drawing/2014/main" id="{00000000-0008-0000-0800-000002000000}"/>
            </a:ext>
          </a:extLst>
        </xdr:cNvPr>
        <xdr:cNvSpPr/>
      </xdr:nvSpPr>
      <xdr:spPr>
        <a:xfrm>
          <a:off x="25117425" y="2838450"/>
          <a:ext cx="2762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37</xdr:col>
      <xdr:colOff>38100</xdr:colOff>
      <xdr:row>11</xdr:row>
      <xdr:rowOff>19050</xdr:rowOff>
    </xdr:from>
    <xdr:to>
      <xdr:col>37</xdr:col>
      <xdr:colOff>314325</xdr:colOff>
      <xdr:row>18</xdr:row>
      <xdr:rowOff>142875</xdr:rowOff>
    </xdr:to>
    <xdr:sp macro="" textlink="">
      <xdr:nvSpPr>
        <xdr:cNvPr id="4" name="Right Brace 3">
          <a:extLst>
            <a:ext uri="{FF2B5EF4-FFF2-40B4-BE49-F238E27FC236}">
              <a16:creationId xmlns:a16="http://schemas.microsoft.com/office/drawing/2014/main" id="{0F3F36E7-C644-440E-83A1-7591085225D9}"/>
            </a:ext>
          </a:extLst>
        </xdr:cNvPr>
        <xdr:cNvSpPr/>
      </xdr:nvSpPr>
      <xdr:spPr>
        <a:xfrm>
          <a:off x="8923020" y="2061210"/>
          <a:ext cx="0" cy="11525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part.nsw.gov.au/Home/Industries/Water/Reviews/Metro-Pricing/Review-of-recycled-water-prices-for-public-water-utilities" TargetMode="External"/><Relationship Id="rId2" Type="http://schemas.openxmlformats.org/officeDocument/2006/relationships/hyperlink" Target="https://www.ipart.nsw.gov.au/Home/Industries/Water/Reviews/Metro-Pricing/Developer-charges-and-backlog-sewerage-charges-for-metropolitan-water-agencies-2017" TargetMode="External"/><Relationship Id="rId1" Type="http://schemas.openxmlformats.org/officeDocument/2006/relationships/hyperlink" Target="mailto:greg_mclennan@ipart.nsw.gov.a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part.nsw.gov.au/Home/Industries/Water/Reviews/Metro-Pricing/Review-of-recycled-water-prices-for-public-water-utilitie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ipart.nsw.gov.au/Home/Industries/Water/Reviews/Metro-Pricing/Review-of-recycled-water-prices-for-public-water-utilities"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I102"/>
  <sheetViews>
    <sheetView showGridLines="0" zoomScaleNormal="100" workbookViewId="0"/>
  </sheetViews>
  <sheetFormatPr defaultColWidth="9.09765625" defaultRowHeight="11.5" x14ac:dyDescent="0.25"/>
  <cols>
    <col min="1" max="3" width="2.69921875" customWidth="1"/>
    <col min="4" max="4" width="10.19921875" customWidth="1"/>
    <col min="5" max="5" width="139.69921875" customWidth="1"/>
  </cols>
  <sheetData>
    <row r="1" spans="3:9" ht="12" customHeight="1" x14ac:dyDescent="0.25"/>
    <row r="2" spans="3:9" ht="12" customHeight="1" x14ac:dyDescent="0.35">
      <c r="D2" s="2"/>
      <c r="E2" s="2"/>
    </row>
    <row r="3" spans="3:9" ht="20.25" customHeight="1" x14ac:dyDescent="0.35">
      <c r="C3" s="2" t="s">
        <v>0</v>
      </c>
      <c r="D3" s="7"/>
      <c r="E3" s="7"/>
      <c r="F3" s="8"/>
      <c r="G3" s="8"/>
      <c r="H3" s="8"/>
      <c r="I3" s="8"/>
    </row>
    <row r="4" spans="3:9" ht="12" customHeight="1" x14ac:dyDescent="0.25">
      <c r="C4" s="7"/>
      <c r="D4" s="7"/>
      <c r="E4" s="7"/>
      <c r="F4" s="8"/>
      <c r="G4" s="8"/>
      <c r="H4" s="8"/>
      <c r="I4" s="8"/>
    </row>
    <row r="5" spans="3:9" x14ac:dyDescent="0.25">
      <c r="C5" s="6" t="s">
        <v>1</v>
      </c>
      <c r="D5" s="6"/>
      <c r="E5" s="9" t="s">
        <v>2</v>
      </c>
      <c r="F5" s="8"/>
      <c r="G5" s="8"/>
      <c r="I5" s="8"/>
    </row>
    <row r="6" spans="3:9" x14ac:dyDescent="0.25">
      <c r="C6" t="s">
        <v>3</v>
      </c>
      <c r="E6" s="73" t="s">
        <v>4</v>
      </c>
      <c r="F6" s="8"/>
      <c r="G6" s="8"/>
      <c r="I6" s="8"/>
    </row>
    <row r="8" spans="3:9" ht="15.9" customHeight="1" x14ac:dyDescent="0.25">
      <c r="C8" s="7"/>
      <c r="D8" s="7"/>
      <c r="E8" s="7"/>
      <c r="F8" s="8"/>
      <c r="G8" s="8"/>
    </row>
    <row r="10" spans="3:9" ht="14" x14ac:dyDescent="0.3">
      <c r="C10" s="10" t="s">
        <v>5</v>
      </c>
      <c r="D10" s="10"/>
      <c r="E10" s="11"/>
    </row>
    <row r="12" spans="3:9" ht="27.15" customHeight="1" x14ac:dyDescent="0.25">
      <c r="C12" s="262" t="s">
        <v>6</v>
      </c>
      <c r="D12" s="262"/>
      <c r="E12" s="262"/>
      <c r="F12" s="8"/>
      <c r="G12" s="8"/>
      <c r="I12" s="8"/>
    </row>
    <row r="13" spans="3:9" x14ac:dyDescent="0.25">
      <c r="C13" s="39"/>
      <c r="D13" s="39"/>
      <c r="E13" s="39"/>
      <c r="F13" s="8"/>
      <c r="G13" s="8"/>
      <c r="I13" s="8"/>
    </row>
    <row r="14" spans="3:9" ht="35.4" customHeight="1" x14ac:dyDescent="0.25">
      <c r="C14" s="262" t="s">
        <v>7</v>
      </c>
      <c r="D14" s="262"/>
      <c r="E14" s="262"/>
      <c r="F14" s="8"/>
      <c r="G14" s="8"/>
      <c r="I14" s="8"/>
    </row>
    <row r="15" spans="3:9" ht="15" customHeight="1" x14ac:dyDescent="0.25">
      <c r="C15" s="12"/>
      <c r="D15" s="12"/>
      <c r="E15" s="8"/>
      <c r="F15" s="8"/>
      <c r="G15" s="8"/>
      <c r="I15" s="8"/>
    </row>
    <row r="16" spans="3:9" ht="15" customHeight="1" x14ac:dyDescent="0.3">
      <c r="C16" s="10" t="s">
        <v>8</v>
      </c>
      <c r="D16" s="10"/>
      <c r="E16" s="13"/>
      <c r="F16" s="8"/>
      <c r="G16" s="8"/>
      <c r="I16" s="8"/>
    </row>
    <row r="17" spans="2:9" ht="15" customHeight="1" x14ac:dyDescent="0.25">
      <c r="C17" s="12"/>
      <c r="D17" s="12"/>
      <c r="E17" s="8"/>
      <c r="F17" s="8"/>
      <c r="G17" s="8"/>
      <c r="I17" s="8"/>
    </row>
    <row r="18" spans="2:9" ht="37.65" customHeight="1" x14ac:dyDescent="0.25">
      <c r="C18" s="262" t="str">
        <f ca="1">"The template is designed to calculate the asset related components of a maximum price (excluding headwork assets and scheme cost allocation).  Some example data has been included for illustrative purposes in the '"&amp;MID(CELL("filename",'Pre-1996 assets'!$A$1),FIND("]",CELL("filename",'Pre-1996 assets'!$A$1))+1,255)&amp;"', '"&amp;MID(CELL("filename",'Post-1996 commissioned assets'!$A$1),FIND("]",CELL("filename",'Post-1996 commissioned assets'!$A$1))+1,255)&amp;"', '"&amp;MID(CELL("filename",'Uncommissioned assets'!$A$1),FIND("]",CELL("filename",'Uncommissioned assets'!$A$1))+1,255)&amp;"', and '"&amp;MID(CELL("filename",'ET inputs'!$A$1),FIND("]",CELL("filename",'ET inputs'!$A$1))+1,255)&amp;"' worksheets.  Please delete all illustrative data to ensure the template produces the correct results."</f>
        <v>The template is designed to calculate the asset related components of a maximum price (excluding headwork assets and scheme cost allocation).  Some example data has been included for illustrative purposes in the 'Pre-1996 assets', 'Post-1996 commissioned assets', 'Uncommissioned assets', and 'ET inputs' worksheets.  Please delete all illustrative data to ensure the template produces the correct results.</v>
      </c>
      <c r="D18" s="262"/>
      <c r="E18" s="262"/>
      <c r="F18" s="8"/>
      <c r="G18" s="8"/>
      <c r="I18" s="8"/>
    </row>
    <row r="19" spans="2:9" ht="6" customHeight="1" x14ac:dyDescent="0.25">
      <c r="D19" s="12"/>
      <c r="E19" s="8"/>
      <c r="F19" s="8"/>
      <c r="G19" s="8"/>
      <c r="I19" s="8"/>
    </row>
    <row r="20" spans="2:9" ht="37.65" customHeight="1" x14ac:dyDescent="0.25">
      <c r="B20" s="118"/>
      <c r="C20" s="262" t="str">
        <f ca="1">"There are no macros in the model.  To use the model, simply enter the required inputs on the '"&amp;MID(CELL("filename",'General inputs'!$A$1),FIND("]",CELL("filename",'General inputs'!$A$1))+1,255)&amp;"' worksheet then enter the required data into the appropriate (blue) cells in the other worksheets in dollars of the selected year. The model will then automatically calculate the maximum price. Please note that the formatting on the '"&amp;MID(CELL("filename",'MP Calculations'!A2),FIND("]",CELL("filename",'MP Calculations'!A2))+1,255)&amp;"' worksheet has been automated to reflect the correct date ranges."</f>
        <v>There are no macros in the model.  To use the model, simply enter the required inputs on the 'General inputs' worksheet then enter the required data into the appropriate (blue) cells in the other worksheets in dollars of the selected year. The model will then automatically calculate the maximum price. Please note that the formatting on the 'MP Calculations' worksheet has been automated to reflect the correct date ranges.</v>
      </c>
      <c r="D20" s="262"/>
      <c r="E20" s="262"/>
      <c r="F20" s="8"/>
      <c r="G20" s="8"/>
      <c r="I20" s="8"/>
    </row>
    <row r="21" spans="2:9" x14ac:dyDescent="0.25">
      <c r="B21" s="118"/>
      <c r="C21" s="39"/>
      <c r="D21" s="39"/>
      <c r="E21" s="39"/>
      <c r="F21" s="8"/>
      <c r="G21" s="8"/>
      <c r="I21" s="8"/>
    </row>
    <row r="22" spans="2:9" ht="14" x14ac:dyDescent="0.3">
      <c r="B22" s="118"/>
      <c r="C22" s="10" t="s">
        <v>9</v>
      </c>
      <c r="D22" s="10"/>
      <c r="E22" s="13"/>
      <c r="F22" s="8"/>
      <c r="G22" s="8"/>
      <c r="I22" s="8"/>
    </row>
    <row r="23" spans="2:9" x14ac:dyDescent="0.25">
      <c r="D23" s="12"/>
      <c r="E23" s="8"/>
      <c r="F23" s="8"/>
      <c r="G23" s="8"/>
      <c r="I23" s="8"/>
    </row>
    <row r="24" spans="2:9" x14ac:dyDescent="0.25">
      <c r="C24" s="6" t="s">
        <v>10</v>
      </c>
      <c r="D24" s="12"/>
      <c r="E24" s="8"/>
      <c r="F24" s="8"/>
      <c r="G24" s="8"/>
      <c r="I24" s="8"/>
    </row>
    <row r="25" spans="2:9" ht="6" customHeight="1" x14ac:dyDescent="0.25">
      <c r="D25" s="12"/>
      <c r="E25" s="8"/>
      <c r="F25" s="8"/>
      <c r="G25" s="8"/>
      <c r="I25" s="8"/>
    </row>
    <row r="26" spans="2:9" ht="15" customHeight="1" x14ac:dyDescent="0.25">
      <c r="C26" s="263" t="s">
        <v>11</v>
      </c>
      <c r="D26" s="263"/>
      <c r="E26" s="263"/>
      <c r="F26" s="8"/>
      <c r="G26" s="8"/>
      <c r="H26" s="8"/>
      <c r="I26" s="8"/>
    </row>
    <row r="27" spans="2:9" ht="6" customHeight="1" x14ac:dyDescent="0.25">
      <c r="D27" s="12"/>
      <c r="E27" s="8"/>
      <c r="F27" s="8"/>
      <c r="G27" s="8"/>
      <c r="H27" s="8"/>
      <c r="I27" s="8"/>
    </row>
    <row r="28" spans="2:9" ht="15" customHeight="1" x14ac:dyDescent="0.25">
      <c r="C28" s="119" t="s">
        <v>12</v>
      </c>
      <c r="D28" s="74" t="str">
        <f ca="1">MID(CELL("filename",'General inputs'!$A$1),FIND("]",CELL("filename",'General inputs'!$A$1))+1,255)</f>
        <v>General inputs</v>
      </c>
      <c r="E28" s="8"/>
      <c r="F28" s="8"/>
      <c r="G28" s="8"/>
      <c r="H28" s="8"/>
      <c r="I28" s="8"/>
    </row>
    <row r="29" spans="2:9" ht="15" customHeight="1" x14ac:dyDescent="0.25">
      <c r="C29" s="119" t="s">
        <v>12</v>
      </c>
      <c r="D29" s="8" t="str">
        <f ca="1">MID(CELL("filename",'Pre-1996 assets'!$A$1),FIND("]",CELL("filename",'Pre-1996 assets'!$A$1))+1,255)</f>
        <v>Pre-1996 assets</v>
      </c>
      <c r="E29" s="8"/>
      <c r="F29" s="8"/>
      <c r="G29" s="8"/>
      <c r="H29" s="8"/>
      <c r="I29" s="8"/>
    </row>
    <row r="30" spans="2:9" ht="15" customHeight="1" x14ac:dyDescent="0.25">
      <c r="C30" s="119" t="s">
        <v>12</v>
      </c>
      <c r="D30" s="8" t="str">
        <f ca="1">MID(CELL("filename",'Post-1996 commissioned assets'!$A$1),FIND("]",CELL("filename",'Post-1996 commissioned assets'!$A$1))+1,255)</f>
        <v>Post-1996 commissioned assets</v>
      </c>
      <c r="E30" s="8"/>
      <c r="F30" s="8"/>
      <c r="G30" s="8"/>
      <c r="H30" s="8"/>
      <c r="I30" s="8"/>
    </row>
    <row r="31" spans="2:9" ht="15" customHeight="1" x14ac:dyDescent="0.25">
      <c r="C31" s="119" t="s">
        <v>12</v>
      </c>
      <c r="D31" s="8" t="str">
        <f ca="1">MID(CELL("filename",'Uncommissioned assets'!$A$1),FIND("]",CELL("filename",'Uncommissioned assets'!$A$1))+1,255)</f>
        <v>Uncommissioned assets</v>
      </c>
      <c r="E31" s="8"/>
      <c r="F31" s="8"/>
      <c r="G31" s="8"/>
      <c r="H31" s="8"/>
      <c r="I31" s="8"/>
    </row>
    <row r="32" spans="2:9" ht="15" customHeight="1" x14ac:dyDescent="0.25">
      <c r="C32" s="119" t="s">
        <v>12</v>
      </c>
      <c r="D32" s="8" t="str">
        <f ca="1">MID(CELL("filename",'ET inputs'!$A$1),FIND("]",CELL("filename",'ET inputs'!$A$1))+1,255)</f>
        <v>ET inputs</v>
      </c>
      <c r="E32" s="8"/>
      <c r="F32" s="8"/>
      <c r="G32" s="8"/>
      <c r="H32" s="8"/>
      <c r="I32" s="8"/>
    </row>
    <row r="33" spans="3:9" ht="15" customHeight="1" x14ac:dyDescent="0.25">
      <c r="D33" s="8"/>
      <c r="E33" s="8"/>
      <c r="F33" s="8"/>
      <c r="G33" s="8"/>
      <c r="H33" s="8"/>
      <c r="I33" s="8"/>
    </row>
    <row r="34" spans="3:9" x14ac:dyDescent="0.25">
      <c r="C34" s="6" t="s">
        <v>13</v>
      </c>
      <c r="F34" s="8"/>
      <c r="G34" s="8"/>
      <c r="H34" s="8"/>
      <c r="I34" s="8"/>
    </row>
    <row r="35" spans="3:9" ht="6" customHeight="1" x14ac:dyDescent="0.25">
      <c r="C35" s="39"/>
      <c r="D35" s="39"/>
      <c r="E35" s="39"/>
      <c r="F35" s="8"/>
      <c r="G35" s="8"/>
      <c r="H35" s="8"/>
      <c r="I35" s="8"/>
    </row>
    <row r="36" spans="3:9" ht="15" customHeight="1" x14ac:dyDescent="0.25">
      <c r="C36" s="262" t="s">
        <v>14</v>
      </c>
      <c r="D36" s="262"/>
      <c r="E36" s="262"/>
      <c r="F36" s="8"/>
      <c r="G36" s="8"/>
      <c r="H36" s="8"/>
      <c r="I36" s="8"/>
    </row>
    <row r="37" spans="3:9" ht="6" customHeight="1" x14ac:dyDescent="0.25">
      <c r="D37" s="12"/>
      <c r="E37" s="8"/>
      <c r="F37" s="8"/>
      <c r="G37" s="8"/>
      <c r="H37" s="8"/>
      <c r="I37" s="8"/>
    </row>
    <row r="38" spans="3:9" ht="15" customHeight="1" x14ac:dyDescent="0.25">
      <c r="C38" s="120" t="s">
        <v>12</v>
      </c>
      <c r="D38" s="8" t="str">
        <f ca="1">MID(CELL("filename",'Reduction amount'!$A$1),FIND("]",CELL("filename",'Reduction amount'!$A$1))+1,255)</f>
        <v>Reduction amount</v>
      </c>
      <c r="E38" s="8"/>
      <c r="F38" s="8"/>
      <c r="G38" s="8"/>
      <c r="H38" s="8"/>
      <c r="I38" s="8"/>
    </row>
    <row r="39" spans="3:9" ht="6" customHeight="1" x14ac:dyDescent="0.25">
      <c r="D39" s="12"/>
      <c r="E39" s="8"/>
      <c r="F39" s="8"/>
      <c r="G39" s="8"/>
      <c r="H39" s="8"/>
      <c r="I39" s="8"/>
    </row>
    <row r="40" spans="3:9" ht="39" customHeight="1" x14ac:dyDescent="0.25">
      <c r="C40" s="262" t="str">
        <f ca="1">"On this worksheet the agency can generate the time series for Ri (revenue) and Ci (opex) over the required timeframe. These time series can be copied or linked through to the '"&amp;MID(CELL("filename",'MP Calculations'!$A$1),FIND("]",CELL("filename",'MP Calculations'!$A$1))+1,255)&amp;"' worksheet, where the reduction amount is calculated.  (This template does not generate the Ri and Ci components of the reduction amount because of the differences in price structures and operating environments between the agencies.)"</f>
        <v>On this worksheet the agency can generate the time series for Ri (revenue) and Ci (opex) over the required timeframe. These time series can be copied or linked through to the 'MP Calculations' worksheet, where the reduction amount is calculated.  (This template does not generate the Ri and Ci components of the reduction amount because of the differences in price structures and operating environments between the agencies.)</v>
      </c>
      <c r="D40" s="262"/>
      <c r="E40" s="262"/>
      <c r="F40" s="8"/>
      <c r="G40" s="8"/>
      <c r="H40" s="8"/>
      <c r="I40" s="8"/>
    </row>
    <row r="41" spans="3:9" ht="6" customHeight="1" x14ac:dyDescent="0.25">
      <c r="D41" s="8"/>
      <c r="E41" s="8"/>
      <c r="F41" s="8"/>
      <c r="G41" s="8"/>
      <c r="H41" s="8"/>
      <c r="I41" s="8"/>
    </row>
    <row r="42" spans="3:9" ht="15" customHeight="1" x14ac:dyDescent="0.25">
      <c r="C42" t="str">
        <f ca="1">"The '"&amp;MID(CELL("filename",'Reduction amount'!$A$1),FIND("]",CELL("filename",'Reduction amount'!$A$1))+1,255)&amp;"' worksheet provides instructions on how to incorporate the results in the maximum price calculations."</f>
        <v>The 'Reduction amount' worksheet provides instructions on how to incorporate the results in the maximum price calculations.</v>
      </c>
      <c r="D42" s="12"/>
      <c r="E42" s="8"/>
      <c r="F42" s="8"/>
      <c r="G42" s="8"/>
      <c r="H42" s="8"/>
      <c r="I42" s="8"/>
    </row>
    <row r="43" spans="3:9" ht="15" customHeight="1" x14ac:dyDescent="0.25">
      <c r="D43" s="12"/>
      <c r="E43" s="8"/>
      <c r="F43" s="8"/>
      <c r="G43" s="8"/>
      <c r="H43" s="8"/>
      <c r="I43" s="8"/>
    </row>
    <row r="44" spans="3:9" ht="15" customHeight="1" x14ac:dyDescent="0.25">
      <c r="C44" s="6" t="s">
        <v>15</v>
      </c>
      <c r="D44" s="8"/>
      <c r="E44" s="8"/>
      <c r="F44" s="8"/>
      <c r="G44" s="8"/>
      <c r="H44" s="8"/>
      <c r="I44" s="8"/>
    </row>
    <row r="45" spans="3:9" ht="6" customHeight="1" x14ac:dyDescent="0.25">
      <c r="C45" s="6"/>
      <c r="D45" s="8"/>
      <c r="E45" s="8"/>
      <c r="F45" s="8"/>
      <c r="G45" s="8"/>
      <c r="H45" s="8"/>
      <c r="I45" s="8"/>
    </row>
    <row r="46" spans="3:9" ht="15" customHeight="1" x14ac:dyDescent="0.25">
      <c r="C46" s="262" t="s">
        <v>16</v>
      </c>
      <c r="D46" s="262"/>
      <c r="E46" s="262"/>
      <c r="F46" s="8"/>
      <c r="G46" s="8"/>
      <c r="H46" s="8"/>
      <c r="I46" s="8"/>
    </row>
    <row r="47" spans="3:9" ht="6" customHeight="1" x14ac:dyDescent="0.25">
      <c r="C47" s="39"/>
      <c r="D47" s="39"/>
      <c r="E47" s="39"/>
      <c r="F47" s="8"/>
      <c r="G47" s="8"/>
      <c r="H47" s="8"/>
      <c r="I47" s="8"/>
    </row>
    <row r="48" spans="3:9" ht="15" customHeight="1" x14ac:dyDescent="0.25">
      <c r="C48" s="120" t="s">
        <v>12</v>
      </c>
      <c r="D48" s="8" t="str">
        <f ca="1">MID(CELL("filename",'Headwork assets'!$A$1),FIND("]",CELL("filename",'Headwork assets'!$A$1))+1,255)</f>
        <v>Headwork assets</v>
      </c>
      <c r="E48" s="8"/>
      <c r="F48" s="8"/>
      <c r="G48" s="8"/>
      <c r="H48" s="8"/>
      <c r="I48" s="8"/>
    </row>
    <row r="49" spans="3:9" ht="6" customHeight="1" x14ac:dyDescent="0.25">
      <c r="C49" s="120"/>
      <c r="D49" s="8"/>
      <c r="E49" s="8"/>
      <c r="F49" s="8"/>
      <c r="G49" s="8"/>
      <c r="H49" s="8"/>
      <c r="I49" s="8"/>
    </row>
    <row r="50" spans="3:9" ht="15" customHeight="1" x14ac:dyDescent="0.25">
      <c r="C50" s="263" t="s">
        <v>17</v>
      </c>
      <c r="D50" s="263"/>
      <c r="E50" s="263"/>
      <c r="F50" s="8"/>
      <c r="G50" s="8"/>
      <c r="H50" s="8"/>
      <c r="I50" s="8"/>
    </row>
    <row r="51" spans="3:9" ht="6" customHeight="1" x14ac:dyDescent="0.25">
      <c r="F51" s="8"/>
      <c r="G51" s="8"/>
      <c r="H51" s="8"/>
      <c r="I51" s="8"/>
    </row>
    <row r="52" spans="3:9" ht="24" customHeight="1" x14ac:dyDescent="0.25">
      <c r="C52" s="262" t="s">
        <v>18</v>
      </c>
      <c r="D52" s="262"/>
      <c r="E52" s="262"/>
      <c r="F52" s="8"/>
      <c r="G52" s="8"/>
      <c r="H52" s="8"/>
      <c r="I52" s="8"/>
    </row>
    <row r="53" spans="3:9" ht="15" customHeight="1" x14ac:dyDescent="0.25">
      <c r="C53" s="39"/>
      <c r="D53" s="39"/>
      <c r="E53" s="39"/>
      <c r="F53" s="8"/>
      <c r="G53" s="8"/>
      <c r="H53" s="8"/>
      <c r="I53" s="8"/>
    </row>
    <row r="54" spans="3:9" ht="15" customHeight="1" x14ac:dyDescent="0.25">
      <c r="C54"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54" s="39"/>
      <c r="E54" s="39"/>
      <c r="F54" s="8"/>
      <c r="G54" s="8"/>
      <c r="H54" s="8"/>
      <c r="I54" s="8"/>
    </row>
    <row r="55" spans="3:9" ht="15" customHeight="1" x14ac:dyDescent="0.25">
      <c r="C55" s="39"/>
      <c r="D55" s="39"/>
      <c r="E55" s="39"/>
      <c r="F55" s="8"/>
      <c r="G55" s="8"/>
      <c r="H55" s="8"/>
      <c r="I55" s="8"/>
    </row>
    <row r="56" spans="3:9" ht="15" customHeight="1" x14ac:dyDescent="0.25">
      <c r="C56" s="6" t="s">
        <v>19</v>
      </c>
      <c r="D56" s="8"/>
      <c r="E56" s="8"/>
      <c r="F56" s="8"/>
      <c r="G56" s="8"/>
      <c r="H56" s="8"/>
      <c r="I56" s="8"/>
    </row>
    <row r="57" spans="3:9" ht="6" customHeight="1" x14ac:dyDescent="0.25">
      <c r="C57" s="6"/>
      <c r="D57" s="8"/>
      <c r="E57" s="8"/>
      <c r="F57" s="8"/>
      <c r="G57" s="8"/>
      <c r="H57" s="8"/>
      <c r="I57" s="8"/>
    </row>
    <row r="58" spans="3:9" ht="15" customHeight="1" x14ac:dyDescent="0.25">
      <c r="C58" s="262" t="s">
        <v>20</v>
      </c>
      <c r="D58" s="262"/>
      <c r="E58" s="262"/>
      <c r="F58" s="8"/>
      <c r="G58" s="8"/>
      <c r="H58" s="8"/>
      <c r="I58" s="8"/>
    </row>
    <row r="59" spans="3:9" ht="6" customHeight="1" x14ac:dyDescent="0.25">
      <c r="C59" s="39"/>
      <c r="D59" s="39"/>
      <c r="E59" s="39"/>
      <c r="F59" s="8"/>
      <c r="G59" s="8"/>
      <c r="H59" s="8"/>
      <c r="I59" s="8"/>
    </row>
    <row r="60" spans="3:9" ht="15" customHeight="1" x14ac:dyDescent="0.25">
      <c r="C60" s="120" t="s">
        <v>12</v>
      </c>
      <c r="D60" s="8" t="str">
        <f ca="1">MID(CELL("filename",'Scheme cost allocation'!$A$1),FIND("]",CELL("filename",'Scheme cost allocation'!$A$1))+1,255)</f>
        <v>Scheme cost allocation</v>
      </c>
      <c r="E60" s="8"/>
      <c r="F60" s="8"/>
      <c r="G60" s="8"/>
      <c r="H60" s="8"/>
      <c r="I60" s="8"/>
    </row>
    <row r="61" spans="3:9" ht="6" customHeight="1" x14ac:dyDescent="0.25">
      <c r="C61" s="120"/>
      <c r="D61" s="8"/>
      <c r="E61" s="8"/>
      <c r="F61" s="8"/>
      <c r="G61" s="8"/>
      <c r="H61" s="8"/>
      <c r="I61" s="8"/>
    </row>
    <row r="62" spans="3:9" ht="15" customHeight="1" x14ac:dyDescent="0.25">
      <c r="C62" s="263" t="s">
        <v>21</v>
      </c>
      <c r="D62" s="263"/>
      <c r="E62" s="263"/>
      <c r="F62" s="8"/>
      <c r="G62" s="8"/>
      <c r="H62" s="8"/>
      <c r="I62" s="8"/>
    </row>
    <row r="63" spans="3:9" ht="6" customHeight="1" x14ac:dyDescent="0.25">
      <c r="F63" s="8"/>
      <c r="G63" s="8"/>
      <c r="H63" s="8"/>
      <c r="I63" s="8"/>
    </row>
    <row r="64" spans="3:9" ht="24" customHeight="1" x14ac:dyDescent="0.25">
      <c r="C64" s="262" t="s">
        <v>18</v>
      </c>
      <c r="D64" s="262"/>
      <c r="E64" s="262"/>
      <c r="F64" s="8"/>
      <c r="G64" s="8"/>
      <c r="H64" s="8"/>
      <c r="I64" s="8"/>
    </row>
    <row r="65" spans="3:9" ht="6" customHeight="1" x14ac:dyDescent="0.25">
      <c r="C65" s="39"/>
      <c r="D65" s="39"/>
      <c r="E65" s="39"/>
      <c r="F65" s="8"/>
      <c r="G65" s="8"/>
      <c r="H65" s="8"/>
      <c r="I65" s="8"/>
    </row>
    <row r="66" spans="3:9" ht="15" customHeight="1" x14ac:dyDescent="0.25">
      <c r="C66"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66" s="39"/>
      <c r="E66" s="39"/>
      <c r="F66" s="8"/>
      <c r="G66" s="8"/>
      <c r="H66" s="8"/>
      <c r="I66" s="8"/>
    </row>
    <row r="67" spans="3:9" ht="15" customHeight="1" x14ac:dyDescent="0.25">
      <c r="C67" s="39"/>
      <c r="D67" s="39"/>
      <c r="E67" s="39"/>
      <c r="F67" s="8"/>
      <c r="G67" s="8"/>
      <c r="H67" s="8"/>
      <c r="I67" s="8"/>
    </row>
    <row r="68" spans="3:9" ht="15" customHeight="1" x14ac:dyDescent="0.25">
      <c r="C68" s="6" t="s">
        <v>22</v>
      </c>
      <c r="D68" s="6"/>
      <c r="E68" s="121"/>
      <c r="F68" s="8"/>
      <c r="G68" s="8"/>
      <c r="H68" s="8"/>
      <c r="I68" s="8"/>
    </row>
    <row r="69" spans="3:9" ht="6" customHeight="1" x14ac:dyDescent="0.25">
      <c r="C69" s="6"/>
      <c r="D69" s="6"/>
      <c r="E69" s="121"/>
      <c r="F69" s="8"/>
      <c r="G69" s="8"/>
      <c r="H69" s="8"/>
      <c r="I69" s="8"/>
    </row>
    <row r="70" spans="3:9" ht="15" customHeight="1" x14ac:dyDescent="0.25">
      <c r="C70" s="4" t="s">
        <v>23</v>
      </c>
      <c r="D70" s="6"/>
      <c r="E70" s="121"/>
      <c r="F70" s="8"/>
      <c r="G70" s="8"/>
      <c r="H70" s="8"/>
      <c r="I70" s="8"/>
    </row>
    <row r="71" spans="3:9" ht="6" customHeight="1" x14ac:dyDescent="0.25">
      <c r="C71" s="4"/>
      <c r="D71" s="6"/>
      <c r="E71" s="121"/>
      <c r="F71" s="8"/>
      <c r="G71" s="8"/>
      <c r="H71" s="8"/>
      <c r="I71" s="8"/>
    </row>
    <row r="72" spans="3:9" x14ac:dyDescent="0.25">
      <c r="C72" s="120" t="s">
        <v>12</v>
      </c>
      <c r="D72" s="74" t="str">
        <f ca="1">MID(CELL("filename",'MP Calculations'!A8),FIND("]",CELL("filename",'MP Calculations'!A8))+1,255)</f>
        <v>MP Calculations</v>
      </c>
      <c r="E72" s="121"/>
      <c r="F72" s="8"/>
      <c r="G72" s="8"/>
      <c r="H72" s="8"/>
      <c r="I72" s="8"/>
    </row>
    <row r="73" spans="3:9" x14ac:dyDescent="0.25">
      <c r="C73" s="120" t="s">
        <v>12</v>
      </c>
      <c r="D73" s="74" t="str">
        <f ca="1">MID(CELL("filename",'Summary of result'!A11),FIND("]",CELL("filename",'Summary of result'!A11))+1,255)</f>
        <v>Summary of result</v>
      </c>
      <c r="E73" s="121"/>
      <c r="F73" s="8"/>
      <c r="G73" s="8"/>
      <c r="H73" s="8"/>
      <c r="I73" s="8"/>
    </row>
    <row r="74" spans="3:9" ht="6" customHeight="1" x14ac:dyDescent="0.25">
      <c r="C74" s="120"/>
      <c r="D74" s="74"/>
      <c r="E74" s="121"/>
      <c r="F74" s="8"/>
      <c r="G74" s="8"/>
      <c r="H74" s="8"/>
      <c r="I74" s="8"/>
    </row>
    <row r="75" spans="3:9" x14ac:dyDescent="0.25">
      <c r="C75" s="262" t="s">
        <v>24</v>
      </c>
      <c r="D75" s="262"/>
      <c r="E75" s="262"/>
      <c r="F75" s="8"/>
      <c r="G75" s="8"/>
      <c r="H75" s="8"/>
      <c r="I75" s="8"/>
    </row>
    <row r="76" spans="3:9" ht="15" customHeight="1" x14ac:dyDescent="0.25">
      <c r="D76" s="12"/>
      <c r="E76" s="8"/>
      <c r="F76" s="8"/>
      <c r="G76" s="8"/>
      <c r="H76" s="8"/>
      <c r="I76" s="8"/>
    </row>
    <row r="77" spans="3:9" ht="15" customHeight="1" x14ac:dyDescent="0.25">
      <c r="C77" s="6" t="s">
        <v>25</v>
      </c>
      <c r="D77" s="12"/>
      <c r="E77" s="8"/>
      <c r="F77" s="8"/>
      <c r="G77" s="8"/>
      <c r="H77" s="8"/>
      <c r="I77" s="8"/>
    </row>
    <row r="78" spans="3:9" ht="6" customHeight="1" x14ac:dyDescent="0.25">
      <c r="D78" s="12"/>
      <c r="E78" s="8"/>
      <c r="F78" s="8"/>
      <c r="G78" s="8"/>
      <c r="H78" s="8"/>
      <c r="I78" s="8"/>
    </row>
    <row r="79" spans="3:9" ht="15" customHeight="1" x14ac:dyDescent="0.25">
      <c r="C79" s="8" t="s">
        <v>26</v>
      </c>
      <c r="D79" s="12"/>
      <c r="E79" s="8"/>
      <c r="F79" s="8"/>
      <c r="G79" s="8"/>
      <c r="H79" s="8"/>
      <c r="I79" s="8"/>
    </row>
    <row r="80" spans="3:9" ht="6" customHeight="1" x14ac:dyDescent="0.25">
      <c r="C80" s="8"/>
      <c r="D80" s="12"/>
      <c r="E80" s="8"/>
      <c r="F80" s="8"/>
      <c r="G80" s="8"/>
      <c r="H80" s="8"/>
      <c r="I80" s="8"/>
    </row>
    <row r="81" spans="3:9" ht="15" customHeight="1" x14ac:dyDescent="0.25">
      <c r="C81" s="120" t="s">
        <v>12</v>
      </c>
      <c r="D81" s="74" t="str">
        <f ca="1">MID(CELL("filename",'Asset exclusions'!A14),FIND("]",CELL("filename",'Asset exclusions'!A14))+1,255)</f>
        <v>Asset exclusions</v>
      </c>
      <c r="E81" s="8"/>
      <c r="F81" s="8"/>
      <c r="G81" s="8"/>
      <c r="H81" s="8"/>
      <c r="I81" s="8"/>
    </row>
    <row r="82" spans="3:9" ht="15" customHeight="1" x14ac:dyDescent="0.25">
      <c r="C82" s="12"/>
      <c r="D82" s="12"/>
      <c r="E82" s="8"/>
      <c r="F82" s="8"/>
      <c r="G82" s="8"/>
      <c r="H82" s="8"/>
      <c r="I82" s="8"/>
    </row>
    <row r="83" spans="3:9" ht="15" customHeight="1" x14ac:dyDescent="0.25">
      <c r="C83" s="121" t="s">
        <v>27</v>
      </c>
      <c r="D83" s="12"/>
      <c r="E83" s="8"/>
      <c r="F83" s="8"/>
      <c r="G83" s="8"/>
      <c r="H83" s="8"/>
      <c r="I83" s="8"/>
    </row>
    <row r="84" spans="3:9" ht="15" customHeight="1" x14ac:dyDescent="0.25">
      <c r="C84" s="120" t="s">
        <v>12</v>
      </c>
      <c r="D84" s="124" t="s">
        <v>28</v>
      </c>
      <c r="F84" s="8"/>
      <c r="G84" s="8"/>
      <c r="H84" s="8"/>
      <c r="I84" s="8"/>
    </row>
    <row r="85" spans="3:9" ht="15" customHeight="1" x14ac:dyDescent="0.25">
      <c r="C85" s="120" t="s">
        <v>12</v>
      </c>
      <c r="D85" s="181" t="s">
        <v>29</v>
      </c>
      <c r="F85" s="8"/>
      <c r="G85" s="8"/>
      <c r="H85" s="8"/>
      <c r="I85" s="8"/>
    </row>
    <row r="86" spans="3:9" ht="15" customHeight="1" x14ac:dyDescent="0.25">
      <c r="C86" s="120"/>
      <c r="D86" s="181"/>
      <c r="F86" s="8"/>
      <c r="G86" s="8"/>
      <c r="H86" s="8"/>
      <c r="I86" s="8"/>
    </row>
    <row r="87" spans="3:9" ht="15" customHeight="1" x14ac:dyDescent="0.25">
      <c r="C87" s="8" t="s">
        <v>30</v>
      </c>
      <c r="D87" s="181"/>
      <c r="F87" s="8"/>
      <c r="G87" s="8"/>
      <c r="H87" s="8"/>
      <c r="I87" s="8"/>
    </row>
    <row r="88" spans="3:9" ht="15" customHeight="1" x14ac:dyDescent="0.25">
      <c r="C88" s="8"/>
      <c r="D88" s="181"/>
      <c r="F88" s="8"/>
      <c r="G88" s="8"/>
      <c r="H88" s="8"/>
      <c r="I88" s="8"/>
    </row>
    <row r="89" spans="3:9" ht="15" customHeight="1" x14ac:dyDescent="0.25">
      <c r="C89" s="12"/>
      <c r="D89" s="12"/>
      <c r="E89" s="8"/>
      <c r="F89" s="8"/>
      <c r="G89" s="8"/>
      <c r="H89" s="8"/>
      <c r="I89" s="8"/>
    </row>
    <row r="90" spans="3:9" ht="15" customHeight="1" x14ac:dyDescent="0.3">
      <c r="C90" s="10" t="s">
        <v>31</v>
      </c>
      <c r="D90" s="10"/>
      <c r="E90" s="13"/>
      <c r="F90" s="8"/>
      <c r="G90" s="8"/>
      <c r="H90" s="8"/>
      <c r="I90" s="8"/>
    </row>
    <row r="91" spans="3:9" ht="15" customHeight="1" x14ac:dyDescent="0.25">
      <c r="C91" s="4" t="s">
        <v>32</v>
      </c>
      <c r="D91" s="4"/>
      <c r="E91" s="8"/>
      <c r="F91" s="8"/>
      <c r="G91" s="8"/>
      <c r="H91" s="8"/>
      <c r="I91" s="8"/>
    </row>
    <row r="92" spans="3:9" ht="15" customHeight="1" x14ac:dyDescent="0.25">
      <c r="C92" s="14" t="s">
        <v>33</v>
      </c>
      <c r="D92" s="14"/>
      <c r="E92" s="14"/>
      <c r="F92" s="8"/>
      <c r="G92" s="8"/>
      <c r="H92" s="8"/>
      <c r="I92" s="8"/>
    </row>
    <row r="93" spans="3:9" ht="15" customHeight="1" x14ac:dyDescent="0.25">
      <c r="C93" s="3" t="s">
        <v>34</v>
      </c>
      <c r="D93" s="15"/>
      <c r="E93" s="15"/>
      <c r="F93" s="8"/>
      <c r="G93" s="8"/>
      <c r="H93" s="8"/>
      <c r="I93" s="8"/>
    </row>
    <row r="94" spans="3:9" ht="15" customHeight="1" x14ac:dyDescent="0.3">
      <c r="C94" s="4"/>
      <c r="D94" s="4"/>
      <c r="E94" s="4" t="s">
        <v>35</v>
      </c>
      <c r="F94" s="8"/>
      <c r="G94" s="8"/>
      <c r="H94" s="8"/>
      <c r="I94" s="8"/>
    </row>
    <row r="95" spans="3:9" ht="15" customHeight="1" x14ac:dyDescent="0.25">
      <c r="C95" s="107" t="s">
        <v>36</v>
      </c>
      <c r="D95" s="108"/>
      <c r="E95" s="108"/>
      <c r="F95" s="8"/>
      <c r="G95" s="8"/>
      <c r="H95" s="8"/>
      <c r="I95" s="8"/>
    </row>
    <row r="96" spans="3:9" ht="15" customHeight="1" x14ac:dyDescent="0.25">
      <c r="C96" s="16" t="s">
        <v>37</v>
      </c>
      <c r="D96" s="16"/>
      <c r="E96" s="16"/>
      <c r="F96" s="8"/>
      <c r="G96" s="8"/>
      <c r="H96" s="8"/>
      <c r="I96" s="8"/>
    </row>
    <row r="97" spans="3:9" ht="15" customHeight="1" x14ac:dyDescent="0.25">
      <c r="C97" s="17" t="s">
        <v>38</v>
      </c>
      <c r="D97" s="17"/>
      <c r="E97" s="17"/>
      <c r="F97" s="8"/>
      <c r="G97" s="8"/>
      <c r="H97" s="8"/>
      <c r="I97" s="8"/>
    </row>
    <row r="98" spans="3:9" ht="15" customHeight="1" x14ac:dyDescent="0.25">
      <c r="C98" s="18" t="s">
        <v>39</v>
      </c>
      <c r="D98" s="18"/>
      <c r="E98" s="19"/>
      <c r="F98" s="8"/>
      <c r="G98" s="8"/>
      <c r="H98" s="8"/>
      <c r="I98" s="8"/>
    </row>
    <row r="99" spans="3:9" ht="15" customHeight="1" x14ac:dyDescent="0.25">
      <c r="C99" s="20" t="s">
        <v>40</v>
      </c>
      <c r="D99" s="20"/>
      <c r="E99" s="21"/>
      <c r="F99" s="8"/>
      <c r="G99" s="8"/>
      <c r="H99" s="8"/>
      <c r="I99" s="8"/>
    </row>
    <row r="100" spans="3:9" ht="15" customHeight="1" x14ac:dyDescent="0.25">
      <c r="C100" s="22" t="s">
        <v>41</v>
      </c>
      <c r="D100" s="23"/>
      <c r="E100" s="23"/>
      <c r="F100" s="8"/>
      <c r="G100" s="8"/>
      <c r="H100" s="8"/>
      <c r="I100" s="8"/>
    </row>
    <row r="101" spans="3:9" ht="15" customHeight="1" x14ac:dyDescent="0.25">
      <c r="C101" s="12"/>
      <c r="D101" s="12"/>
      <c r="E101" s="8"/>
      <c r="F101" s="8"/>
      <c r="G101" s="8"/>
      <c r="H101" s="8"/>
      <c r="I101" s="8"/>
    </row>
    <row r="102" spans="3:9" x14ac:dyDescent="0.25">
      <c r="C102" s="12"/>
      <c r="D102" s="12"/>
      <c r="E102" s="8"/>
      <c r="F102" s="8"/>
      <c r="G102" s="8"/>
      <c r="H102" s="8"/>
      <c r="I102" s="8"/>
    </row>
  </sheetData>
  <mergeCells count="14">
    <mergeCell ref="C75:E75"/>
    <mergeCell ref="C12:E12"/>
    <mergeCell ref="C18:E18"/>
    <mergeCell ref="C26:E26"/>
    <mergeCell ref="C20:E20"/>
    <mergeCell ref="C36:E36"/>
    <mergeCell ref="C40:E40"/>
    <mergeCell ref="C46:E46"/>
    <mergeCell ref="C50:E50"/>
    <mergeCell ref="C52:E52"/>
    <mergeCell ref="C58:E58"/>
    <mergeCell ref="C62:E62"/>
    <mergeCell ref="C64:E64"/>
    <mergeCell ref="C14:E14"/>
  </mergeCells>
  <hyperlinks>
    <hyperlink ref="E6" r:id="rId1" xr:uid="{00000000-0004-0000-0000-000000000000}"/>
    <hyperlink ref="D84" r:id="rId2" xr:uid="{00000000-0004-0000-0000-000001000000}"/>
    <hyperlink ref="D85" r:id="rId3" xr:uid="{00000000-0004-0000-0000-000002000000}"/>
  </hyperlinks>
  <pageMargins left="0.7" right="0.7" top="0.75" bottom="0.75" header="0.3" footer="0.3"/>
  <pageSetup paperSize="9" scale="94" orientation="landscape" horizontalDpi="200" verticalDpi="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7" tint="0.79998168889431442"/>
  </sheetPr>
  <dimension ref="A1:X75"/>
  <sheetViews>
    <sheetView showGridLines="0" topLeftCell="A3" zoomScale="70" zoomScaleNormal="70" workbookViewId="0">
      <selection activeCell="A3" sqref="A3"/>
    </sheetView>
  </sheetViews>
  <sheetFormatPr defaultRowHeight="11.5" outlineLevelRow="1" x14ac:dyDescent="0.25"/>
  <cols>
    <col min="1" max="1" width="2.69921875" customWidth="1"/>
    <col min="2" max="2" width="4.19921875" customWidth="1"/>
    <col min="3" max="3" width="11.09765625" customWidth="1"/>
    <col min="4" max="4" width="17.3984375" customWidth="1"/>
    <col min="5" max="5" width="17.59765625" bestFit="1" customWidth="1"/>
    <col min="6" max="6" width="15.09765625" customWidth="1"/>
    <col min="7" max="7" width="18" bestFit="1" customWidth="1"/>
    <col min="8" max="8" width="20" customWidth="1"/>
    <col min="9" max="9" width="4.59765625" customWidth="1"/>
    <col min="10" max="10" width="21" bestFit="1" customWidth="1"/>
    <col min="11" max="11" width="20.8984375" bestFit="1" customWidth="1"/>
    <col min="12" max="12" width="19.19921875" bestFit="1" customWidth="1"/>
    <col min="13" max="13" width="21.3984375" bestFit="1" customWidth="1"/>
    <col min="14" max="15" width="3.59765625" customWidth="1"/>
    <col min="16" max="16" width="15.69921875" bestFit="1" customWidth="1"/>
    <col min="17" max="17" width="14.8984375" bestFit="1" customWidth="1"/>
    <col min="18" max="18" width="17.3984375" bestFit="1" customWidth="1"/>
    <col min="19" max="19" width="15.3984375" bestFit="1" customWidth="1"/>
    <col min="20" max="20" width="17.8984375" bestFit="1" customWidth="1"/>
    <col min="21" max="21" width="6.8984375" customWidth="1"/>
    <col min="22" max="22" width="13.8984375" bestFit="1" customWidth="1"/>
    <col min="23" max="23" width="3.59765625" customWidth="1"/>
    <col min="24" max="24" width="18.8984375" bestFit="1" customWidth="1"/>
  </cols>
  <sheetData>
    <row r="1" spans="3:8" hidden="1" x14ac:dyDescent="0.25"/>
    <row r="2" spans="3:8" hidden="1" x14ac:dyDescent="0.25"/>
    <row r="3" spans="3:8" ht="20" x14ac:dyDescent="0.4">
      <c r="C3" s="122" t="s">
        <v>793</v>
      </c>
    </row>
    <row r="4" spans="3:8" hidden="1" x14ac:dyDescent="0.25"/>
    <row r="6" spans="3:8" x14ac:dyDescent="0.25">
      <c r="C6" t="s">
        <v>794</v>
      </c>
      <c r="H6" s="124" t="s">
        <v>28</v>
      </c>
    </row>
    <row r="8" spans="3:8" ht="13.5" x14ac:dyDescent="0.35">
      <c r="C8" t="s">
        <v>795</v>
      </c>
    </row>
    <row r="10" spans="3:8" x14ac:dyDescent="0.25">
      <c r="C10" t="s">
        <v>796</v>
      </c>
    </row>
    <row r="12" spans="3:8" ht="13.5" x14ac:dyDescent="0.35">
      <c r="C12" s="28" t="s">
        <v>797</v>
      </c>
      <c r="D12" s="172" t="s">
        <v>798</v>
      </c>
    </row>
    <row r="13" spans="3:8" ht="13.5" x14ac:dyDescent="0.35">
      <c r="C13" s="28" t="s">
        <v>799</v>
      </c>
      <c r="D13" s="172" t="s">
        <v>800</v>
      </c>
    </row>
    <row r="15" spans="3:8" hidden="1" outlineLevel="1" x14ac:dyDescent="0.25">
      <c r="C15" t="str">
        <f ca="1">"The corresponding time series should be manually entered or linked to the following ranges in the "&amp;MID(CELL("filename",'MP Calculations'!$A$1),FIND("]",CELL("filename",'MP Calculations'!$A$1))+1,255)&amp;" worksheet. "</f>
        <v xml:space="preserve">The corresponding time series should be manually entered or linked to the following ranges in the MP Calculations worksheet. </v>
      </c>
    </row>
    <row r="16" spans="3:8" hidden="1" outlineLevel="1" x14ac:dyDescent="0.25"/>
    <row r="17" spans="1:21" ht="13.5" hidden="1" outlineLevel="1" x14ac:dyDescent="0.35">
      <c r="C17" s="28" t="s">
        <v>801</v>
      </c>
      <c r="D17" s="153" t="str">
        <f>ADDRESS(ROW(INDEX('MP Calculations'!$Q$39:$Q$129,MATCH('General inputs'!$I$16,'MP Calculations'!$D$39:$D$129))),COLUMN(INDEX('MP Calculations'!$Q$39:$Q$129,MATCH('General inputs'!$I$16,'MP Calculations'!$D$39:$D$129))))&amp;":"&amp;ADDRESS(ROW(INDEX('MP Calculations'!$Q$39:$Q$129,MATCH(LEFT('General inputs'!$I$16,4)+'General inputs'!$H$38-1&amp;"-"&amp;RIGHT('General inputs'!$I$16,2)+'General inputs'!$H$38-1,'MP Calculations'!$D$39:$D$129))),COLUMN(INDEX('MP Calculations'!$Q$39:$Q$129,MATCH('General inputs'!$I$16,'MP Calculations'!$D$39:$D$129))))</f>
        <v>$Q$66:$Q$95</v>
      </c>
      <c r="E17" s="154"/>
      <c r="F17" s="216"/>
      <c r="G17" s="216"/>
    </row>
    <row r="18" spans="1:21" ht="13.5" hidden="1" outlineLevel="1" x14ac:dyDescent="0.35">
      <c r="C18" s="28" t="s">
        <v>802</v>
      </c>
      <c r="D18" s="153" t="str">
        <f>ADDRESS(ROW(INDEX('MP Calculations'!$T$39:$T$129,MATCH('General inputs'!$I$16,'MP Calculations'!$D$39:$D$129))),COLUMN(INDEX('MP Calculations'!$T$39:$T$129,MATCH('General inputs'!$I$16,'MP Calculations'!$D$39:$D$129))))&amp;":"&amp;ADDRESS(ROW(INDEX('MP Calculations'!$T$39:$T$129,MATCH(LEFT('General inputs'!$I$16,4)+'General inputs'!$H$38-1&amp;"-"&amp;RIGHT('General inputs'!$I$16,2)+'General inputs'!$H$38-1,'MP Calculations'!$D$39:$D$129))),COLUMN(INDEX('MP Calculations'!$T$39:$T$129,MATCH('General inputs'!$I$16,'MP Calculations'!$D$39:$D$129))))</f>
        <v>$T$66:$T$95</v>
      </c>
      <c r="E18" s="154"/>
      <c r="F18" s="216"/>
      <c r="G18" s="216"/>
    </row>
    <row r="19" spans="1:21" hidden="1" outlineLevel="1" x14ac:dyDescent="0.25">
      <c r="C19" s="28"/>
    </row>
    <row r="20" spans="1:21" ht="13.5" hidden="1" outlineLevel="1" x14ac:dyDescent="0.35">
      <c r="C20" t="s">
        <v>803</v>
      </c>
      <c r="H20" t="s">
        <v>804</v>
      </c>
      <c r="I20" t="s">
        <v>805</v>
      </c>
      <c r="J20" s="155" t="e">
        <f>LEFT(#REF!,4)+'General inputs'!$H$38-1&amp;"-"&amp;RIGHT(#REF!,2)+'General inputs'!$H$38-1</f>
        <v>#REF!</v>
      </c>
    </row>
    <row r="21" spans="1:21" hidden="1" outlineLevel="1" x14ac:dyDescent="0.25">
      <c r="C21" s="28"/>
    </row>
    <row r="22" spans="1:21" hidden="1" outlineLevel="1" x14ac:dyDescent="0.25">
      <c r="C22" s="71" t="s">
        <v>806</v>
      </c>
    </row>
    <row r="23" spans="1:21" hidden="1" outlineLevel="1" x14ac:dyDescent="0.25">
      <c r="C23" s="71"/>
      <c r="D23" s="71" t="s">
        <v>807</v>
      </c>
    </row>
    <row r="24" spans="1:21" hidden="1" outlineLevel="1" x14ac:dyDescent="0.25">
      <c r="C24" s="71"/>
      <c r="D24" s="71"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25" spans="1:21" hidden="1" outlineLevel="1" x14ac:dyDescent="0.25">
      <c r="C25" s="71"/>
      <c r="D25" s="71" t="s">
        <v>808</v>
      </c>
    </row>
    <row r="26" spans="1:21" hidden="1" outlineLevel="1" x14ac:dyDescent="0.25">
      <c r="C26" s="71"/>
      <c r="D26" s="182" t="s">
        <v>809</v>
      </c>
    </row>
    <row r="27" spans="1:21" hidden="1" outlineLevel="1" x14ac:dyDescent="0.25">
      <c r="C27" s="71"/>
      <c r="D27" s="182" t="s">
        <v>810</v>
      </c>
    </row>
    <row r="28" spans="1:21" hidden="1" outlineLevel="1" x14ac:dyDescent="0.25">
      <c r="C28" s="71"/>
      <c r="D28" s="71" t="s">
        <v>811</v>
      </c>
    </row>
    <row r="29" spans="1:21" hidden="1" outlineLevel="1" x14ac:dyDescent="0.25">
      <c r="C29" s="71"/>
      <c r="D29" s="182" t="s">
        <v>812</v>
      </c>
    </row>
    <row r="30" spans="1:21" hidden="1" outlineLevel="1" x14ac:dyDescent="0.25">
      <c r="C30" s="71"/>
      <c r="D30" s="182" t="s">
        <v>813</v>
      </c>
    </row>
    <row r="31" spans="1:21" hidden="1" outlineLevel="1" x14ac:dyDescent="0.25"/>
    <row r="32" spans="1:21" collapsed="1" x14ac:dyDescent="0.25">
      <c r="A32" s="68"/>
      <c r="B32" s="68"/>
      <c r="C32" s="68" t="s">
        <v>814</v>
      </c>
      <c r="D32" s="68"/>
      <c r="E32" s="68"/>
      <c r="F32" s="68"/>
      <c r="G32" s="68"/>
      <c r="H32" s="68"/>
      <c r="I32" s="68"/>
      <c r="J32" s="68"/>
      <c r="K32" s="68"/>
      <c r="L32" s="68"/>
      <c r="M32" s="68"/>
      <c r="N32" s="68"/>
      <c r="O32" s="68"/>
      <c r="P32" s="68"/>
      <c r="Q32" s="68"/>
      <c r="R32" s="68"/>
      <c r="S32" s="68"/>
      <c r="T32" s="68"/>
      <c r="U32" s="68"/>
    </row>
    <row r="34" spans="2:24" ht="12.5" x14ac:dyDescent="0.25">
      <c r="J34" s="6"/>
      <c r="K34" s="225"/>
      <c r="L34" s="226"/>
      <c r="Q34" s="236"/>
      <c r="S34" s="237"/>
    </row>
    <row r="35" spans="2:24" ht="12.5" x14ac:dyDescent="0.25">
      <c r="J35" s="6"/>
      <c r="K35" s="225"/>
      <c r="L35" s="226"/>
    </row>
    <row r="36" spans="2:24" s="189" customFormat="1" ht="13" x14ac:dyDescent="0.3">
      <c r="D36" s="190" t="s">
        <v>815</v>
      </c>
      <c r="J36" s="190" t="s">
        <v>816</v>
      </c>
      <c r="Q36" s="189" t="s">
        <v>817</v>
      </c>
      <c r="V36" s="36" t="s">
        <v>818</v>
      </c>
      <c r="X36" s="227" t="s">
        <v>819</v>
      </c>
    </row>
    <row r="37" spans="2:24" s="189" customFormat="1" ht="13.5" thickBot="1" x14ac:dyDescent="0.35">
      <c r="C37" s="193" t="s">
        <v>113</v>
      </c>
      <c r="D37" s="192" t="s">
        <v>820</v>
      </c>
      <c r="E37" s="192" t="s">
        <v>821</v>
      </c>
      <c r="F37" s="192" t="s">
        <v>822</v>
      </c>
      <c r="G37" s="192" t="s">
        <v>823</v>
      </c>
      <c r="H37" s="217" t="s">
        <v>824</v>
      </c>
      <c r="J37" s="210" t="s">
        <v>825</v>
      </c>
      <c r="K37" s="210" t="s">
        <v>826</v>
      </c>
      <c r="L37" s="210" t="s">
        <v>827</v>
      </c>
      <c r="M37" s="210" t="s">
        <v>828</v>
      </c>
      <c r="N37" s="211"/>
      <c r="Q37" s="228" t="s">
        <v>829</v>
      </c>
      <c r="R37" s="228" t="s">
        <v>830</v>
      </c>
      <c r="S37" s="228" t="s">
        <v>831</v>
      </c>
      <c r="T37" s="228" t="s">
        <v>832</v>
      </c>
      <c r="V37" s="217" t="s">
        <v>833</v>
      </c>
      <c r="X37" s="217" t="s">
        <v>834</v>
      </c>
    </row>
    <row r="38" spans="2:24" s="189" customFormat="1" ht="12.5" x14ac:dyDescent="0.25">
      <c r="B38">
        <v>0</v>
      </c>
      <c r="C38" s="191" t="str">
        <f>'General inputs'!I16</f>
        <v>2022-23</v>
      </c>
      <c r="D38" s="218">
        <f t="shared" ref="D38:D67" si="0">Q38*$V38</f>
        <v>243031.01177091978</v>
      </c>
      <c r="E38" s="218">
        <f t="shared" ref="E38:E67" si="1">R38*$X38</f>
        <v>14095.753507267482</v>
      </c>
      <c r="F38" s="218">
        <f t="shared" ref="F38:F67" si="2">S38*$V38</f>
        <v>77951.850350130189</v>
      </c>
      <c r="G38" s="218">
        <f t="shared" ref="G38:G67" si="3">T38*$X38</f>
        <v>17217.016834144735</v>
      </c>
      <c r="H38" s="218">
        <f t="shared" ref="H38:H67" si="4">SUM(D38:G38)</f>
        <v>352295.63246246218</v>
      </c>
      <c r="J38" s="238">
        <v>-328153.96493901749</v>
      </c>
      <c r="K38" s="213">
        <v>-420037.07512194238</v>
      </c>
      <c r="L38" s="213">
        <v>3628708.3679927974</v>
      </c>
      <c r="M38" s="209">
        <f>K38+L38</f>
        <v>3208671.292870855</v>
      </c>
      <c r="P38" s="214" t="str">
        <f t="shared" ref="P38:P67" si="5">C38</f>
        <v>2022-23</v>
      </c>
      <c r="Q38" s="219">
        <v>74632125.056332096</v>
      </c>
      <c r="R38" s="239">
        <v>4.6321005889012452E-2</v>
      </c>
      <c r="S38" s="219">
        <v>23938147.651655078</v>
      </c>
      <c r="T38" s="239">
        <v>5.6577999732647509E-2</v>
      </c>
      <c r="U38" s="230"/>
      <c r="V38" s="220">
        <v>3.25638606146456E-3</v>
      </c>
      <c r="X38" s="221">
        <v>304305.85944186192</v>
      </c>
    </row>
    <row r="39" spans="2:24" s="189" customFormat="1" ht="12.5" x14ac:dyDescent="0.25">
      <c r="B39">
        <f>B38+1</f>
        <v>1</v>
      </c>
      <c r="C39" s="189" t="str">
        <f ca="1">OFFSET('MP Calculations'!$D$38,MATCH($C$38,'MP Calculations'!$D$39:$D$129)+'Reduction amount'!B39,)</f>
        <v>2023-24</v>
      </c>
      <c r="D39" s="218">
        <f t="shared" si="0"/>
        <v>668694.83428458951</v>
      </c>
      <c r="E39" s="218">
        <f t="shared" si="1"/>
        <v>38441.988452306738</v>
      </c>
      <c r="F39" s="218">
        <f t="shared" si="2"/>
        <v>214482.91422656475</v>
      </c>
      <c r="G39" s="218">
        <f t="shared" si="3"/>
        <v>46954.308755478945</v>
      </c>
      <c r="H39" s="218">
        <f t="shared" si="4"/>
        <v>968574.04571893986</v>
      </c>
      <c r="J39" s="238">
        <v>-510048.47529149568</v>
      </c>
      <c r="K39" s="213">
        <v>-652862.04837311443</v>
      </c>
      <c r="L39" s="213">
        <v>7369408.8965733778</v>
      </c>
      <c r="M39" s="209">
        <f t="shared" ref="M39:M67" si="6">K39+L39</f>
        <v>6716546.8482002635</v>
      </c>
      <c r="P39" s="214" t="str">
        <f t="shared" ca="1" si="5"/>
        <v>2023-24</v>
      </c>
      <c r="Q39" s="219">
        <v>79710326.019616351</v>
      </c>
      <c r="R39" s="239">
        <v>4.8783828509434787E-2</v>
      </c>
      <c r="S39" s="219">
        <v>25566973.366749223</v>
      </c>
      <c r="T39" s="239">
        <v>5.9586172264428937E-2</v>
      </c>
      <c r="U39" s="230"/>
      <c r="V39" s="220">
        <v>8.3890615893356998E-3</v>
      </c>
      <c r="X39" s="221">
        <v>788006.79706538538</v>
      </c>
    </row>
    <row r="40" spans="2:24" s="189" customFormat="1" ht="12.5" x14ac:dyDescent="0.25">
      <c r="B40">
        <f t="shared" ref="B40:B67" si="7">B39+1</f>
        <v>2</v>
      </c>
      <c r="C40" s="189" t="str">
        <f ca="1">OFFSET('MP Calculations'!$D$38,MATCH($C$38,'MP Calculations'!$D$39:$D$129)+'Reduction amount'!B40,)</f>
        <v>2024-25</v>
      </c>
      <c r="D40" s="218">
        <f t="shared" si="0"/>
        <v>1251659.8280720876</v>
      </c>
      <c r="E40" s="218">
        <f t="shared" si="1"/>
        <v>71472.192702470245</v>
      </c>
      <c r="F40" s="218">
        <f t="shared" si="2"/>
        <v>401468.10440436075</v>
      </c>
      <c r="G40" s="218">
        <f t="shared" si="3"/>
        <v>87298.486334712536</v>
      </c>
      <c r="H40" s="218">
        <f t="shared" si="4"/>
        <v>1811898.6115136312</v>
      </c>
      <c r="J40" s="238">
        <v>-608724.17258577351</v>
      </c>
      <c r="K40" s="213">
        <v>-760905.21573221684</v>
      </c>
      <c r="L40" s="213">
        <v>11414004.605064789</v>
      </c>
      <c r="M40" s="209">
        <f t="shared" si="6"/>
        <v>10653099.389332572</v>
      </c>
      <c r="P40" s="214" t="str">
        <f t="shared" ca="1" si="5"/>
        <v>2024-25</v>
      </c>
      <c r="Q40" s="219">
        <v>81299648.404411495</v>
      </c>
      <c r="R40" s="239">
        <v>4.9073081083292253E-2</v>
      </c>
      <c r="S40" s="219">
        <v>26076746.254558463</v>
      </c>
      <c r="T40" s="239">
        <v>5.9939474869419591E-2</v>
      </c>
      <c r="U40" s="230"/>
      <c r="V40" s="220">
        <v>1.5395636422016429E-2</v>
      </c>
      <c r="X40" s="221">
        <v>1456443.9632628679</v>
      </c>
    </row>
    <row r="41" spans="2:24" s="189" customFormat="1" ht="12.5" x14ac:dyDescent="0.25">
      <c r="B41">
        <f t="shared" si="7"/>
        <v>3</v>
      </c>
      <c r="C41" s="189" t="str">
        <f ca="1">OFFSET('MP Calculations'!$D$38,MATCH($C$38,'MP Calculations'!$D$39:$D$129)+'Reduction amount'!B41,)</f>
        <v>2025-26</v>
      </c>
      <c r="D41" s="218">
        <f t="shared" si="0"/>
        <v>1999232.8928551194</v>
      </c>
      <c r="E41" s="218">
        <f t="shared" si="1"/>
        <v>113594.04926551812</v>
      </c>
      <c r="F41" s="218">
        <f t="shared" si="2"/>
        <v>641251.09854621382</v>
      </c>
      <c r="G41" s="218">
        <f t="shared" si="3"/>
        <v>138747.50700306633</v>
      </c>
      <c r="H41" s="218">
        <f t="shared" si="4"/>
        <v>2892825.5476699178</v>
      </c>
      <c r="J41" s="238">
        <v>-645953.80181483098</v>
      </c>
      <c r="K41" s="213">
        <v>-807442.25226853869</v>
      </c>
      <c r="L41" s="213">
        <v>16115153.020478629</v>
      </c>
      <c r="M41" s="209">
        <f t="shared" si="6"/>
        <v>15307710.768210091</v>
      </c>
      <c r="P41" s="214" t="str">
        <f t="shared" ca="1" si="5"/>
        <v>2025-26</v>
      </c>
      <c r="Q41" s="219">
        <v>83660544.884774268</v>
      </c>
      <c r="R41" s="239">
        <v>4.9813912791935783E-2</v>
      </c>
      <c r="S41" s="219">
        <v>26834000.432897069</v>
      </c>
      <c r="T41" s="239">
        <v>6.0844351078584838E-2</v>
      </c>
      <c r="U41" s="230"/>
      <c r="V41" s="220">
        <v>2.3896962368684837E-2</v>
      </c>
      <c r="X41" s="221">
        <v>2280367.9313444234</v>
      </c>
    </row>
    <row r="42" spans="2:24" s="189" customFormat="1" ht="12.5" x14ac:dyDescent="0.25">
      <c r="B42">
        <f t="shared" si="7"/>
        <v>4</v>
      </c>
      <c r="C42" s="189" t="str">
        <f ca="1">OFFSET('MP Calculations'!$D$38,MATCH($C$38,'MP Calculations'!$D$39:$D$129)+'Reduction amount'!B42,)</f>
        <v>2026-27</v>
      </c>
      <c r="D42" s="218">
        <f t="shared" si="0"/>
        <v>2833048.2909442466</v>
      </c>
      <c r="E42" s="218">
        <f t="shared" si="1"/>
        <v>162832.57536487863</v>
      </c>
      <c r="F42" s="218">
        <f t="shared" si="2"/>
        <v>908696.19807427027</v>
      </c>
      <c r="G42" s="218">
        <f t="shared" si="3"/>
        <v>198889.06185531936</v>
      </c>
      <c r="H42" s="218">
        <f t="shared" si="4"/>
        <v>4103466.1262387144</v>
      </c>
      <c r="J42" s="238">
        <v>-649865.91131507128</v>
      </c>
      <c r="K42" s="213">
        <v>-812332.38914383913</v>
      </c>
      <c r="L42" s="213">
        <v>21285466.727941398</v>
      </c>
      <c r="M42" s="209">
        <f t="shared" si="6"/>
        <v>20473134.338797558</v>
      </c>
      <c r="P42" s="214" t="str">
        <f t="shared" ca="1" si="5"/>
        <v>2026-27</v>
      </c>
      <c r="Q42" s="219">
        <v>84983099.632687494</v>
      </c>
      <c r="R42" s="239">
        <v>5.0691747624724511E-2</v>
      </c>
      <c r="S42" s="219">
        <v>27258207.981711306</v>
      </c>
      <c r="T42" s="239">
        <v>6.1916567408554703E-2</v>
      </c>
      <c r="U42" s="230"/>
      <c r="V42" s="220">
        <v>3.3336608139608932E-2</v>
      </c>
      <c r="X42" s="221">
        <v>3212210.7245215252</v>
      </c>
    </row>
    <row r="43" spans="2:24" s="189" customFormat="1" ht="12.5" x14ac:dyDescent="0.25">
      <c r="B43">
        <f t="shared" si="7"/>
        <v>5</v>
      </c>
      <c r="C43" s="189" t="str">
        <f ca="1">OFFSET('MP Calculations'!$D$38,MATCH($C$38,'MP Calculations'!$D$39:$D$129)+'Reduction amount'!B43,)</f>
        <v>2027-28</v>
      </c>
      <c r="D43" s="218">
        <f t="shared" si="0"/>
        <v>3558175.7832071967</v>
      </c>
      <c r="E43" s="218">
        <f t="shared" si="1"/>
        <v>206585.91406901754</v>
      </c>
      <c r="F43" s="218">
        <f t="shared" si="2"/>
        <v>1141279.8068481453</v>
      </c>
      <c r="G43" s="218">
        <f t="shared" si="3"/>
        <v>252330.82845763752</v>
      </c>
      <c r="H43" s="218">
        <f t="shared" si="4"/>
        <v>5158372.3325819969</v>
      </c>
      <c r="J43" s="238">
        <v>-655986.42782966071</v>
      </c>
      <c r="K43" s="213">
        <v>-819983.03478707583</v>
      </c>
      <c r="L43" s="213">
        <v>25830337.506008454</v>
      </c>
      <c r="M43" s="209">
        <f t="shared" si="6"/>
        <v>25010354.471221376</v>
      </c>
      <c r="P43" s="214" t="str">
        <f t="shared" ca="1" si="5"/>
        <v>2027-28</v>
      </c>
      <c r="Q43" s="219">
        <v>86074631.823087364</v>
      </c>
      <c r="R43" s="239">
        <v>5.1434673149967768E-2</v>
      </c>
      <c r="S43" s="219">
        <v>27608315.374748878</v>
      </c>
      <c r="T43" s="239">
        <v>6.282400107416429E-2</v>
      </c>
      <c r="U43" s="230"/>
      <c r="V43" s="220">
        <v>4.13382631774767E-2</v>
      </c>
      <c r="X43" s="221">
        <v>4016471.7964995373</v>
      </c>
    </row>
    <row r="44" spans="2:24" s="189" customFormat="1" ht="12.5" x14ac:dyDescent="0.25">
      <c r="B44">
        <f t="shared" si="7"/>
        <v>6</v>
      </c>
      <c r="C44" s="189" t="str">
        <f ca="1">OFFSET('MP Calculations'!$D$38,MATCH($C$38,'MP Calculations'!$D$39:$D$129)+'Reduction amount'!B44,)</f>
        <v>2028-29</v>
      </c>
      <c r="D44" s="218">
        <f t="shared" si="0"/>
        <v>4345162.5537698194</v>
      </c>
      <c r="E44" s="218">
        <f t="shared" si="1"/>
        <v>254865.02291121156</v>
      </c>
      <c r="F44" s="218">
        <f t="shared" si="2"/>
        <v>1393704.6908965046</v>
      </c>
      <c r="G44" s="218">
        <f t="shared" si="3"/>
        <v>311300.51952417032</v>
      </c>
      <c r="H44" s="218">
        <f t="shared" si="4"/>
        <v>6305032.7871017056</v>
      </c>
      <c r="J44" s="238">
        <v>-670620.0765192894</v>
      </c>
      <c r="K44" s="213">
        <v>-838275.09564911178</v>
      </c>
      <c r="L44" s="213">
        <v>30485894.916734859</v>
      </c>
      <c r="M44" s="209">
        <f t="shared" si="6"/>
        <v>29647619.821085747</v>
      </c>
      <c r="P44" s="214" t="str">
        <f t="shared" ca="1" si="5"/>
        <v>2028-29</v>
      </c>
      <c r="Q44" s="219">
        <v>88014070.648816898</v>
      </c>
      <c r="R44" s="239">
        <v>5.2687843287034845E-2</v>
      </c>
      <c r="S44" s="219">
        <v>28230387.611558747</v>
      </c>
      <c r="T44" s="239">
        <v>6.4354664286656427E-2</v>
      </c>
      <c r="U44" s="230"/>
      <c r="V44" s="220">
        <v>4.9368953415498316E-2</v>
      </c>
      <c r="X44" s="221">
        <v>4837264.2911714595</v>
      </c>
    </row>
    <row r="45" spans="2:24" s="189" customFormat="1" ht="12.5" x14ac:dyDescent="0.25">
      <c r="B45">
        <f t="shared" si="7"/>
        <v>7</v>
      </c>
      <c r="C45" s="189" t="str">
        <f ca="1">OFFSET('MP Calculations'!$D$38,MATCH($C$38,'MP Calculations'!$D$39:$D$129)+'Reduction amount'!B45,)</f>
        <v>2029-30</v>
      </c>
      <c r="D45" s="218">
        <f t="shared" si="0"/>
        <v>5082115.0178390611</v>
      </c>
      <c r="E45" s="218">
        <f t="shared" si="1"/>
        <v>301079.74383257772</v>
      </c>
      <c r="F45" s="218">
        <f t="shared" si="2"/>
        <v>1630081.1425093319</v>
      </c>
      <c r="G45" s="218">
        <f t="shared" si="3"/>
        <v>367748.69930244371</v>
      </c>
      <c r="H45" s="218">
        <f t="shared" si="4"/>
        <v>7381024.6034834143</v>
      </c>
      <c r="J45" s="238">
        <v>-685033.48309157765</v>
      </c>
      <c r="K45" s="213">
        <v>-856291.85386447213</v>
      </c>
      <c r="L45" s="213">
        <v>35088134.956768371</v>
      </c>
      <c r="M45" s="209">
        <f t="shared" si="6"/>
        <v>34231843.102903903</v>
      </c>
      <c r="P45" s="214" t="str">
        <f t="shared" ca="1" si="5"/>
        <v>2029-30</v>
      </c>
      <c r="Q45" s="219">
        <v>88978112.907843783</v>
      </c>
      <c r="R45" s="239">
        <v>5.3360562943550592E-2</v>
      </c>
      <c r="S45" s="219">
        <v>28539602.790968444</v>
      </c>
      <c r="T45" s="239">
        <v>6.5176346195673932E-2</v>
      </c>
      <c r="U45" s="230"/>
      <c r="V45" s="220">
        <v>5.7116462147300186E-2</v>
      </c>
      <c r="X45" s="221">
        <v>5642364.4583938485</v>
      </c>
    </row>
    <row r="46" spans="2:24" s="189" customFormat="1" ht="12.5" x14ac:dyDescent="0.25">
      <c r="B46">
        <f t="shared" si="7"/>
        <v>8</v>
      </c>
      <c r="C46" s="189" t="str">
        <f ca="1">OFFSET('MP Calculations'!$D$38,MATCH($C$38,'MP Calculations'!$D$39:$D$129)+'Reduction amount'!B46,)</f>
        <v>2030-31</v>
      </c>
      <c r="D46" s="218">
        <f t="shared" si="0"/>
        <v>5799695.8583698915</v>
      </c>
      <c r="E46" s="218">
        <f t="shared" si="1"/>
        <v>346841.46239153604</v>
      </c>
      <c r="F46" s="218">
        <f t="shared" si="2"/>
        <v>1860244.1735051691</v>
      </c>
      <c r="G46" s="218">
        <f t="shared" si="3"/>
        <v>423643.56709952623</v>
      </c>
      <c r="H46" s="218">
        <f t="shared" si="4"/>
        <v>8430425.0613661222</v>
      </c>
      <c r="J46" s="238">
        <v>-693409.07083957107</v>
      </c>
      <c r="K46" s="213">
        <v>-866761.33854946378</v>
      </c>
      <c r="L46" s="213">
        <v>39338432.497420885</v>
      </c>
      <c r="M46" s="209">
        <f t="shared" si="6"/>
        <v>38471671.15887142</v>
      </c>
      <c r="P46" s="214" t="str">
        <f t="shared" ca="1" si="5"/>
        <v>2030-31</v>
      </c>
      <c r="Q46" s="219">
        <v>90236693.828539595</v>
      </c>
      <c r="R46" s="239">
        <v>5.4212655894398255E-2</v>
      </c>
      <c r="S46" s="219">
        <v>28943290.825959161</v>
      </c>
      <c r="T46" s="239">
        <v>6.6217120544589461E-2</v>
      </c>
      <c r="U46" s="230"/>
      <c r="V46" s="220">
        <v>6.42720340506934E-2</v>
      </c>
      <c r="X46" s="221">
        <v>6397795.0659188209</v>
      </c>
    </row>
    <row r="47" spans="2:24" s="189" customFormat="1" ht="12.5" x14ac:dyDescent="0.25">
      <c r="B47">
        <f t="shared" si="7"/>
        <v>9</v>
      </c>
      <c r="C47" s="189" t="str">
        <f ca="1">OFFSET('MP Calculations'!$D$38,MATCH($C$38,'MP Calculations'!$D$39:$D$129)+'Reduction amount'!B47,)</f>
        <v>2031-32</v>
      </c>
      <c r="D47" s="218">
        <f t="shared" si="0"/>
        <v>6361780.55410951</v>
      </c>
      <c r="E47" s="218">
        <f t="shared" si="1"/>
        <v>380030.14625783073</v>
      </c>
      <c r="F47" s="218">
        <f t="shared" si="2"/>
        <v>2040532.0378691356</v>
      </c>
      <c r="G47" s="218">
        <f t="shared" si="3"/>
        <v>464181.31689307193</v>
      </c>
      <c r="H47" s="218">
        <f t="shared" si="4"/>
        <v>9246524.0551295485</v>
      </c>
      <c r="J47" s="238">
        <v>-698364.6981544845</v>
      </c>
      <c r="K47" s="213">
        <v>-872955.8726931056</v>
      </c>
      <c r="L47" s="213">
        <v>42817095.788609914</v>
      </c>
      <c r="M47" s="209">
        <f t="shared" si="6"/>
        <v>41944139.915916808</v>
      </c>
      <c r="P47" s="214" t="str">
        <f t="shared" ca="1" si="5"/>
        <v>2031-32</v>
      </c>
      <c r="Q47" s="219">
        <v>90845517.115003347</v>
      </c>
      <c r="R47" s="239">
        <v>5.4181944693659029E-2</v>
      </c>
      <c r="S47" s="219">
        <v>29138570.026626896</v>
      </c>
      <c r="T47" s="239">
        <v>6.6179608874152585E-2</v>
      </c>
      <c r="U47" s="230"/>
      <c r="V47" s="220">
        <v>7.0028557887517898E-2</v>
      </c>
      <c r="X47" s="221">
        <v>7013962.8322035121</v>
      </c>
    </row>
    <row r="48" spans="2:24" s="189" customFormat="1" ht="12.5" x14ac:dyDescent="0.25">
      <c r="B48">
        <f t="shared" si="7"/>
        <v>10</v>
      </c>
      <c r="C48" s="189" t="str">
        <f ca="1">OFFSET('MP Calculations'!$D$38,MATCH($C$38,'MP Calculations'!$D$39:$D$129)+'Reduction amount'!B48,)</f>
        <v>2032-33</v>
      </c>
      <c r="D48" s="218">
        <f t="shared" si="0"/>
        <v>6971735.2649738025</v>
      </c>
      <c r="E48" s="218">
        <f t="shared" si="1"/>
        <v>416287.58887520561</v>
      </c>
      <c r="F48" s="218">
        <f t="shared" si="2"/>
        <v>2236174.1412994089</v>
      </c>
      <c r="G48" s="218">
        <f t="shared" si="3"/>
        <v>508467.3495329399</v>
      </c>
      <c r="H48" s="218">
        <f t="shared" si="4"/>
        <v>10132664.344681356</v>
      </c>
      <c r="J48" s="238">
        <v>-694327.98743617453</v>
      </c>
      <c r="K48" s="213">
        <v>-867909.98429521814</v>
      </c>
      <c r="L48" s="213">
        <v>46658417.199179947</v>
      </c>
      <c r="M48" s="209">
        <f t="shared" si="6"/>
        <v>45790507.214884728</v>
      </c>
      <c r="P48" s="214" t="str">
        <f t="shared" ca="1" si="5"/>
        <v>2032-33</v>
      </c>
      <c r="Q48" s="219">
        <v>91326739.291160703</v>
      </c>
      <c r="R48" s="239">
        <v>5.4076121678219735E-2</v>
      </c>
      <c r="S48" s="219">
        <v>29292921.353182461</v>
      </c>
      <c r="T48" s="239">
        <v>6.605035316339411E-2</v>
      </c>
      <c r="V48" s="220">
        <v>7.6338379308025728E-2</v>
      </c>
      <c r="X48" s="221">
        <v>7698177.605123519</v>
      </c>
    </row>
    <row r="49" spans="2:24" s="189" customFormat="1" ht="12.5" x14ac:dyDescent="0.25">
      <c r="B49">
        <f t="shared" si="7"/>
        <v>11</v>
      </c>
      <c r="C49" s="189" t="str">
        <f ca="1">OFFSET('MP Calculations'!$D$38,MATCH($C$38,'MP Calculations'!$D$39:$D$129)+'Reduction amount'!B49,)</f>
        <v>2033-34</v>
      </c>
      <c r="D49" s="218">
        <f t="shared" si="0"/>
        <v>7496059.2015869999</v>
      </c>
      <c r="E49" s="218">
        <f t="shared" si="1"/>
        <v>447169.86823443841</v>
      </c>
      <c r="F49" s="218">
        <f t="shared" si="2"/>
        <v>2404350.2960380022</v>
      </c>
      <c r="G49" s="218">
        <f t="shared" si="3"/>
        <v>546187.98102174513</v>
      </c>
      <c r="H49" s="218">
        <f t="shared" si="4"/>
        <v>10893767.346881187</v>
      </c>
      <c r="J49" s="238">
        <v>-694460.45754102606</v>
      </c>
      <c r="K49" s="213">
        <v>-868075.5719262826</v>
      </c>
      <c r="L49" s="213">
        <v>50208451.549042374</v>
      </c>
      <c r="M49" s="209">
        <f t="shared" si="6"/>
        <v>49340375.977116093</v>
      </c>
      <c r="P49" s="214" t="str">
        <f t="shared" ca="1" si="5"/>
        <v>2033-34</v>
      </c>
      <c r="Q49" s="219">
        <v>91326739.291160703</v>
      </c>
      <c r="R49" s="239">
        <v>5.368891455364052E-2</v>
      </c>
      <c r="S49" s="219">
        <v>29292921.353182461</v>
      </c>
      <c r="T49" s="239">
        <v>6.5577405649183948E-2</v>
      </c>
      <c r="V49" s="220">
        <v>8.2079566836265286E-2</v>
      </c>
      <c r="X49" s="221">
        <v>8328904.9881548937</v>
      </c>
    </row>
    <row r="50" spans="2:24" s="189" customFormat="1" ht="12.5" x14ac:dyDescent="0.25">
      <c r="B50">
        <f t="shared" si="7"/>
        <v>12</v>
      </c>
      <c r="C50" s="189" t="str">
        <f ca="1">OFFSET('MP Calculations'!$D$38,MATCH($C$38,'MP Calculations'!$D$39:$D$129)+'Reduction amount'!B50,)</f>
        <v>2034-35</v>
      </c>
      <c r="D50" s="218">
        <f t="shared" si="0"/>
        <v>8040535.6625756556</v>
      </c>
      <c r="E50" s="218">
        <f t="shared" si="1"/>
        <v>479353.36905865534</v>
      </c>
      <c r="F50" s="218">
        <f t="shared" si="2"/>
        <v>2578990.3442231398</v>
      </c>
      <c r="G50" s="218">
        <f t="shared" si="3"/>
        <v>585497.96719499724</v>
      </c>
      <c r="H50" s="218">
        <f t="shared" si="4"/>
        <v>11684377.343052447</v>
      </c>
      <c r="J50" s="238">
        <v>-696596.03758850379</v>
      </c>
      <c r="K50" s="213">
        <v>-870745.04698562971</v>
      </c>
      <c r="L50" s="213">
        <v>53970506.180939019</v>
      </c>
      <c r="M50" s="209">
        <f t="shared" si="6"/>
        <v>53099761.133953393</v>
      </c>
      <c r="P50" s="214" t="str">
        <f t="shared" ca="1" si="5"/>
        <v>2034-35</v>
      </c>
      <c r="Q50" s="219">
        <v>91326739.291160703</v>
      </c>
      <c r="R50" s="239">
        <v>5.3307213128423445E-2</v>
      </c>
      <c r="S50" s="219">
        <v>29292921.353182461</v>
      </c>
      <c r="T50" s="239">
        <v>6.5111182977214618E-2</v>
      </c>
      <c r="V50" s="220">
        <v>8.8041418373007427E-2</v>
      </c>
      <c r="X50" s="221">
        <v>8992279.6733687017</v>
      </c>
    </row>
    <row r="51" spans="2:24" s="189" customFormat="1" ht="12.5" x14ac:dyDescent="0.25">
      <c r="B51">
        <f t="shared" si="7"/>
        <v>13</v>
      </c>
      <c r="C51" s="189" t="str">
        <f ca="1">OFFSET('MP Calculations'!$D$38,MATCH($C$38,'MP Calculations'!$D$39:$D$129)+'Reduction amount'!B51,)</f>
        <v>2035-36</v>
      </c>
      <c r="D51" s="218">
        <f t="shared" si="0"/>
        <v>8557293.8961355034</v>
      </c>
      <c r="E51" s="218">
        <f t="shared" si="1"/>
        <v>509722.23338517296</v>
      </c>
      <c r="F51" s="218">
        <f t="shared" si="2"/>
        <v>2744739.8104995871</v>
      </c>
      <c r="G51" s="218">
        <f t="shared" si="3"/>
        <v>622591.49668059277</v>
      </c>
      <c r="H51" s="218">
        <f t="shared" si="4"/>
        <v>12434347.436700856</v>
      </c>
      <c r="J51" s="238">
        <v>-703377.63090961787</v>
      </c>
      <c r="K51" s="213">
        <v>-879222.03863702237</v>
      </c>
      <c r="L51" s="213">
        <v>57619448.906181775</v>
      </c>
      <c r="M51" s="209">
        <f t="shared" si="6"/>
        <v>56740226.867544755</v>
      </c>
      <c r="P51" s="214" t="str">
        <f t="shared" ca="1" si="5"/>
        <v>2035-36</v>
      </c>
      <c r="Q51" s="219">
        <v>91326739.291160703</v>
      </c>
      <c r="R51" s="239">
        <v>5.2930900803196249E-2</v>
      </c>
      <c r="S51" s="219">
        <v>29292921.353182461</v>
      </c>
      <c r="T51" s="239">
        <v>6.4651542729178765E-2</v>
      </c>
      <c r="V51" s="220">
        <v>9.3699763755429988E-2</v>
      </c>
      <c r="X51" s="221">
        <v>9629955.7659217697</v>
      </c>
    </row>
    <row r="52" spans="2:24" s="189" customFormat="1" ht="12.5" x14ac:dyDescent="0.25">
      <c r="B52">
        <f t="shared" si="7"/>
        <v>14</v>
      </c>
      <c r="C52" s="189" t="str">
        <f ca="1">OFFSET('MP Calculations'!$D$38,MATCH($C$38,'MP Calculations'!$D$39:$D$129)+'Reduction amount'!B52,)</f>
        <v>2036-37</v>
      </c>
      <c r="D52" s="218">
        <f t="shared" si="0"/>
        <v>9113528.8493822552</v>
      </c>
      <c r="E52" s="218">
        <f t="shared" si="1"/>
        <v>548068.47529806173</v>
      </c>
      <c r="F52" s="218">
        <f t="shared" si="2"/>
        <v>2923151.3783034235</v>
      </c>
      <c r="G52" s="218">
        <f t="shared" si="3"/>
        <v>669428.85746446298</v>
      </c>
      <c r="H52" s="218">
        <f t="shared" si="4"/>
        <v>13254177.560448203</v>
      </c>
      <c r="J52" s="238">
        <v>-707311.86341557896</v>
      </c>
      <c r="K52" s="213">
        <v>-884139.82926947367</v>
      </c>
      <c r="L52" s="213">
        <v>61588448.00011263</v>
      </c>
      <c r="M52" s="209">
        <f t="shared" si="6"/>
        <v>60704308.170843154</v>
      </c>
      <c r="P52" s="214" t="str">
        <f t="shared" ca="1" si="5"/>
        <v>2036-37</v>
      </c>
      <c r="Q52" s="219">
        <v>91326739.291160703</v>
      </c>
      <c r="R52" s="239">
        <v>5.3080128786304748E-2</v>
      </c>
      <c r="S52" s="219">
        <v>29292921.353182461</v>
      </c>
      <c r="T52" s="239">
        <v>6.4833814694702271E-2</v>
      </c>
      <c r="V52" s="220">
        <v>9.9790367203708236E-2</v>
      </c>
      <c r="X52" s="221">
        <v>10325304.173705572</v>
      </c>
    </row>
    <row r="53" spans="2:24" s="189" customFormat="1" ht="12.5" x14ac:dyDescent="0.25">
      <c r="B53">
        <f t="shared" si="7"/>
        <v>15</v>
      </c>
      <c r="C53" s="189" t="str">
        <f ca="1">OFFSET('MP Calculations'!$D$38,MATCH($C$38,'MP Calculations'!$D$39:$D$129)+'Reduction amount'!B53,)</f>
        <v>2037-38</v>
      </c>
      <c r="D53" s="218">
        <f t="shared" si="0"/>
        <v>9628538.6291003115</v>
      </c>
      <c r="E53" s="218">
        <f t="shared" si="1"/>
        <v>584337.66085298872</v>
      </c>
      <c r="F53" s="218">
        <f t="shared" si="2"/>
        <v>3088340.0305042253</v>
      </c>
      <c r="G53" s="218">
        <f t="shared" si="3"/>
        <v>713729.23331439146</v>
      </c>
      <c r="H53" s="218">
        <f t="shared" si="4"/>
        <v>14014945.553771917</v>
      </c>
      <c r="J53" s="238">
        <v>-715724.09144905314</v>
      </c>
      <c r="K53" s="213">
        <v>-894655.1143113164</v>
      </c>
      <c r="L53" s="213">
        <v>65338659.052009277</v>
      </c>
      <c r="M53" s="209">
        <f t="shared" si="6"/>
        <v>64444003.937697962</v>
      </c>
      <c r="P53" s="214" t="str">
        <f t="shared" ca="1" si="5"/>
        <v>2037-38</v>
      </c>
      <c r="Q53" s="219">
        <v>91326739.291160703</v>
      </c>
      <c r="R53" s="239">
        <v>5.3230200584690517E-2</v>
      </c>
      <c r="S53" s="219">
        <v>29292921.353182461</v>
      </c>
      <c r="T53" s="239">
        <v>6.501711732395199E-2</v>
      </c>
      <c r="V53" s="220">
        <v>0.10542956754870404</v>
      </c>
      <c r="X53" s="221">
        <v>10977558.875121906</v>
      </c>
    </row>
    <row r="54" spans="2:24" s="189" customFormat="1" ht="12.5" x14ac:dyDescent="0.25">
      <c r="B54">
        <f t="shared" si="7"/>
        <v>16</v>
      </c>
      <c r="C54" s="189" t="str">
        <f ca="1">OFFSET('MP Calculations'!$D$38,MATCH($C$38,'MP Calculations'!$D$39:$D$129)+'Reduction amount'!B54,)</f>
        <v>2038-39</v>
      </c>
      <c r="D54" s="218">
        <f t="shared" si="0"/>
        <v>10172215.175713219</v>
      </c>
      <c r="E54" s="218">
        <f t="shared" si="1"/>
        <v>623230.0731868475</v>
      </c>
      <c r="F54" s="218">
        <f t="shared" si="2"/>
        <v>3262723.5072943922</v>
      </c>
      <c r="G54" s="218">
        <f t="shared" si="3"/>
        <v>761233.70460975764</v>
      </c>
      <c r="H54" s="218">
        <f t="shared" si="4"/>
        <v>14819402.460804217</v>
      </c>
      <c r="J54" s="238">
        <v>-725829.21019994363</v>
      </c>
      <c r="K54" s="213">
        <v>-907286.51274992956</v>
      </c>
      <c r="L54" s="213">
        <v>69368476.610627562</v>
      </c>
      <c r="M54" s="209">
        <f t="shared" si="6"/>
        <v>68461190.097877637</v>
      </c>
      <c r="P54" s="214" t="str">
        <f t="shared" ca="1" si="5"/>
        <v>2038-39</v>
      </c>
      <c r="Q54" s="219">
        <v>91326739.291160703</v>
      </c>
      <c r="R54" s="239">
        <v>5.3381123375724017E-2</v>
      </c>
      <c r="S54" s="219">
        <v>29292921.353182461</v>
      </c>
      <c r="T54" s="239">
        <v>6.5201459383604221E-2</v>
      </c>
      <c r="V54" s="220">
        <v>0.1113826602664852</v>
      </c>
      <c r="X54" s="221">
        <v>11675102.241671296</v>
      </c>
    </row>
    <row r="55" spans="2:24" s="189" customFormat="1" ht="12.5" x14ac:dyDescent="0.25">
      <c r="B55">
        <f t="shared" si="7"/>
        <v>17</v>
      </c>
      <c r="C55" s="189" t="str">
        <f ca="1">OFFSET('MP Calculations'!$D$38,MATCH($C$38,'MP Calculations'!$D$39:$D$129)+'Reduction amount'!B55,)</f>
        <v>2039-40</v>
      </c>
      <c r="D55" s="218">
        <f t="shared" si="0"/>
        <v>10688336.808710942</v>
      </c>
      <c r="E55" s="218">
        <f t="shared" si="1"/>
        <v>660916.98262984492</v>
      </c>
      <c r="F55" s="218">
        <f t="shared" si="2"/>
        <v>3428268.7848486267</v>
      </c>
      <c r="G55" s="218">
        <f t="shared" si="3"/>
        <v>807265.73503455461</v>
      </c>
      <c r="H55" s="218">
        <f t="shared" si="4"/>
        <v>15584788.311223969</v>
      </c>
      <c r="J55" s="238">
        <v>-737751.58701104089</v>
      </c>
      <c r="K55" s="213">
        <v>-922189.48376380117</v>
      </c>
      <c r="L55" s="213">
        <v>73250313.205885023</v>
      </c>
      <c r="M55" s="209">
        <f t="shared" si="6"/>
        <v>72328123.722121224</v>
      </c>
      <c r="P55" s="214" t="str">
        <f t="shared" ca="1" si="5"/>
        <v>2039-40</v>
      </c>
      <c r="Q55" s="219">
        <v>91326739.291160703</v>
      </c>
      <c r="R55" s="239">
        <v>5.353290441840676E-2</v>
      </c>
      <c r="S55" s="219">
        <v>29292921.353182461</v>
      </c>
      <c r="T55" s="239">
        <v>6.5386849740042108E-2</v>
      </c>
      <c r="V55" s="220">
        <v>0.11703403506650149</v>
      </c>
      <c r="X55" s="221">
        <v>12345995.230600549</v>
      </c>
    </row>
    <row r="56" spans="2:24" s="189" customFormat="1" ht="12.5" x14ac:dyDescent="0.25">
      <c r="B56">
        <f t="shared" si="7"/>
        <v>18</v>
      </c>
      <c r="C56" s="189" t="str">
        <f ca="1">OFFSET('MP Calculations'!$D$38,MATCH($C$38,'MP Calculations'!$D$39:$D$129)+'Reduction amount'!B56,)</f>
        <v>2040-41</v>
      </c>
      <c r="D56" s="218">
        <f t="shared" si="0"/>
        <v>11220390.533200897</v>
      </c>
      <c r="E56" s="218">
        <f t="shared" si="1"/>
        <v>700416.45557441341</v>
      </c>
      <c r="F56" s="218">
        <f t="shared" si="2"/>
        <v>3598924.2580224131</v>
      </c>
      <c r="G56" s="218">
        <f t="shared" si="3"/>
        <v>855511.69012137223</v>
      </c>
      <c r="H56" s="218">
        <f t="shared" si="4"/>
        <v>16375242.936919097</v>
      </c>
      <c r="J56" s="238">
        <v>-744243.3687264875</v>
      </c>
      <c r="K56" s="213">
        <v>-930304.21090810932</v>
      </c>
      <c r="L56" s="213">
        <v>77269415.144503325</v>
      </c>
      <c r="M56" s="209">
        <f t="shared" si="6"/>
        <v>76339110.93359521</v>
      </c>
      <c r="P56" s="214" t="str">
        <f t="shared" ca="1" si="5"/>
        <v>2040-41</v>
      </c>
      <c r="Q56" s="219">
        <v>91326739.291160703</v>
      </c>
      <c r="R56" s="239">
        <v>5.3685551054535083E-2</v>
      </c>
      <c r="S56" s="219">
        <v>29292921.353182461</v>
      </c>
      <c r="T56" s="239">
        <v>6.5573297360777091E-2</v>
      </c>
      <c r="V56" s="220">
        <v>0.12285986141943527</v>
      </c>
      <c r="X56" s="221">
        <v>13046647.409149501</v>
      </c>
    </row>
    <row r="57" spans="2:24" s="189" customFormat="1" ht="12.5" x14ac:dyDescent="0.25">
      <c r="B57">
        <f t="shared" si="7"/>
        <v>19</v>
      </c>
      <c r="C57" s="189" t="str">
        <f ca="1">OFFSET('MP Calculations'!$D$38,MATCH($C$38,'MP Calculations'!$D$39:$D$129)+'Reduction amount'!B57,)</f>
        <v>2041-42</v>
      </c>
      <c r="D57" s="218">
        <f t="shared" si="0"/>
        <v>11752602.199156923</v>
      </c>
      <c r="E57" s="218">
        <f t="shared" si="1"/>
        <v>737276.86200780619</v>
      </c>
      <c r="F57" s="218">
        <f t="shared" si="2"/>
        <v>3769630.3906961437</v>
      </c>
      <c r="G57" s="218">
        <f t="shared" si="3"/>
        <v>900534.20259294321</v>
      </c>
      <c r="H57" s="218">
        <f t="shared" si="4"/>
        <v>17160043.654453818</v>
      </c>
      <c r="J57" s="238">
        <v>-755197.31064637972</v>
      </c>
      <c r="K57" s="213">
        <v>-943996.63830797467</v>
      </c>
      <c r="L57" s="213">
        <v>81368911.821795017</v>
      </c>
      <c r="M57" s="209">
        <f t="shared" si="6"/>
        <v>80424915.183487043</v>
      </c>
      <c r="P57" s="214" t="str">
        <f t="shared" ca="1" si="5"/>
        <v>2041-42</v>
      </c>
      <c r="Q57" s="219">
        <v>91326739.291160703</v>
      </c>
      <c r="R57" s="239">
        <v>5.35933144321303E-2</v>
      </c>
      <c r="S57" s="219">
        <v>29292921.353182461</v>
      </c>
      <c r="T57" s="239">
        <v>6.5460636517222393E-2</v>
      </c>
      <c r="V57" s="220">
        <v>0.12868741718335311</v>
      </c>
      <c r="X57" s="221">
        <v>13756881.241996735</v>
      </c>
    </row>
    <row r="58" spans="2:24" s="189" customFormat="1" ht="12.5" x14ac:dyDescent="0.25">
      <c r="B58">
        <f t="shared" si="7"/>
        <v>20</v>
      </c>
      <c r="C58" s="189" t="str">
        <f ca="1">OFFSET('MP Calculations'!$D$38,MATCH($C$38,'MP Calculations'!$D$39:$D$129)+'Reduction amount'!B58,)</f>
        <v>2042-43</v>
      </c>
      <c r="D58" s="218">
        <f t="shared" si="0"/>
        <v>12281904.270221958</v>
      </c>
      <c r="E58" s="218">
        <f t="shared" si="1"/>
        <v>774310.59134352976</v>
      </c>
      <c r="F58" s="218">
        <f t="shared" si="2"/>
        <v>3939403.2749590259</v>
      </c>
      <c r="G58" s="218">
        <f t="shared" si="3"/>
        <v>945768.41735667142</v>
      </c>
      <c r="H58" s="218">
        <f t="shared" si="4"/>
        <v>17941386.553881183</v>
      </c>
      <c r="J58" s="238">
        <v>-768644.57901289652</v>
      </c>
      <c r="K58" s="213">
        <v>-960805.72376612062</v>
      </c>
      <c r="L58" s="213">
        <v>85515055.813072652</v>
      </c>
      <c r="M58" s="209">
        <f t="shared" si="6"/>
        <v>84554250.089306533</v>
      </c>
      <c r="P58" s="214" t="str">
        <f t="shared" ca="1" si="5"/>
        <v>2042-43</v>
      </c>
      <c r="Q58" s="219">
        <v>91326739.291160703</v>
      </c>
      <c r="R58" s="239">
        <v>5.3501394207810304E-2</v>
      </c>
      <c r="S58" s="219">
        <v>29292921.353182461</v>
      </c>
      <c r="T58" s="239">
        <v>6.534836213269235E-2</v>
      </c>
      <c r="V58" s="220">
        <v>0.13448311376874805</v>
      </c>
      <c r="X58" s="221">
        <v>14472718.006860714</v>
      </c>
    </row>
    <row r="59" spans="2:24" s="189" customFormat="1" ht="12.5" x14ac:dyDescent="0.25">
      <c r="B59">
        <f t="shared" si="7"/>
        <v>21</v>
      </c>
      <c r="C59" s="189" t="str">
        <f ca="1">OFFSET('MP Calculations'!$D$38,MATCH($C$38,'MP Calculations'!$D$39:$D$129)+'Reduction amount'!B59,)</f>
        <v>2043-44</v>
      </c>
      <c r="D59" s="218">
        <f t="shared" si="0"/>
        <v>12806911.252043724</v>
      </c>
      <c r="E59" s="218">
        <f t="shared" si="1"/>
        <v>811416.45377472683</v>
      </c>
      <c r="F59" s="218">
        <f t="shared" si="2"/>
        <v>4107798.5154739269</v>
      </c>
      <c r="G59" s="218">
        <f t="shared" si="3"/>
        <v>991090.7378551109</v>
      </c>
      <c r="H59" s="218">
        <f t="shared" si="4"/>
        <v>18717216.959147487</v>
      </c>
      <c r="J59" s="238">
        <v>-786560.65729291341</v>
      </c>
      <c r="K59" s="213">
        <v>-983200.82161614182</v>
      </c>
      <c r="L59" s="213">
        <v>89709046.729037732</v>
      </c>
      <c r="M59" s="209">
        <f t="shared" si="6"/>
        <v>88725845.907421589</v>
      </c>
      <c r="P59" s="214" t="str">
        <f t="shared" ca="1" si="5"/>
        <v>2043-44</v>
      </c>
      <c r="Q59" s="219">
        <v>91326739.291160703</v>
      </c>
      <c r="R59" s="239">
        <v>5.3409788756358226E-2</v>
      </c>
      <c r="S59" s="219">
        <v>29292921.353182461</v>
      </c>
      <c r="T59" s="239">
        <v>6.5236472222093625E-2</v>
      </c>
      <c r="V59" s="220">
        <v>0.14023178043413703</v>
      </c>
      <c r="X59" s="221">
        <v>15192279.779951964</v>
      </c>
    </row>
    <row r="60" spans="2:24" s="189" customFormat="1" ht="12.5" x14ac:dyDescent="0.25">
      <c r="B60">
        <f t="shared" si="7"/>
        <v>22</v>
      </c>
      <c r="C60" s="189" t="str">
        <f ca="1">OFFSET('MP Calculations'!$D$38,MATCH($C$38,'MP Calculations'!$D$39:$D$129)+'Reduction amount'!B60,)</f>
        <v>2044-45</v>
      </c>
      <c r="D60" s="218">
        <f t="shared" si="0"/>
        <v>13334012.311829681</v>
      </c>
      <c r="E60" s="218">
        <f t="shared" si="1"/>
        <v>849068.11079198797</v>
      </c>
      <c r="F60" s="218">
        <f t="shared" si="2"/>
        <v>4276865.428508712</v>
      </c>
      <c r="G60" s="218">
        <f t="shared" si="3"/>
        <v>1037079.7098079339</v>
      </c>
      <c r="H60" s="218">
        <f t="shared" si="4"/>
        <v>19497025.560938314</v>
      </c>
      <c r="J60" s="238">
        <v>-800152.54355690081</v>
      </c>
      <c r="K60" s="213">
        <v>-1000190.679446126</v>
      </c>
      <c r="L60" s="213">
        <v>93951448.549690232</v>
      </c>
      <c r="M60" s="209">
        <f t="shared" si="6"/>
        <v>92951257.870244101</v>
      </c>
      <c r="P60" s="214" t="str">
        <f t="shared" ca="1" si="5"/>
        <v>2044-45</v>
      </c>
      <c r="Q60" s="219">
        <v>91326739.291160703</v>
      </c>
      <c r="R60" s="239">
        <v>5.331849646366902E-2</v>
      </c>
      <c r="S60" s="219">
        <v>29292921.353182461</v>
      </c>
      <c r="T60" s="239">
        <v>6.5124964813905242E-2</v>
      </c>
      <c r="V60" s="220">
        <v>0.14600337661590254</v>
      </c>
      <c r="X60" s="221">
        <v>15924457.122877408</v>
      </c>
    </row>
    <row r="61" spans="2:24" s="189" customFormat="1" ht="12.5" x14ac:dyDescent="0.25">
      <c r="B61">
        <f t="shared" si="7"/>
        <v>23</v>
      </c>
      <c r="C61" s="189" t="str">
        <f ca="1">OFFSET('MP Calculations'!$D$38,MATCH($C$38,'MP Calculations'!$D$39:$D$129)+'Reduction amount'!B61,)</f>
        <v>2045-46</v>
      </c>
      <c r="D61" s="218">
        <f t="shared" si="0"/>
        <v>13855216.601621639</v>
      </c>
      <c r="E61" s="218">
        <f t="shared" si="1"/>
        <v>886676.73627832718</v>
      </c>
      <c r="F61" s="218">
        <f t="shared" si="2"/>
        <v>4444040.9609794626</v>
      </c>
      <c r="G61" s="218">
        <f t="shared" si="3"/>
        <v>1083016.1216339141</v>
      </c>
      <c r="H61" s="218">
        <f t="shared" si="4"/>
        <v>20268950.420513343</v>
      </c>
      <c r="J61" s="238">
        <v>-820625.30449762871</v>
      </c>
      <c r="K61" s="213">
        <v>-1025781.6306220358</v>
      </c>
      <c r="L61" s="213">
        <v>98244347.841035634</v>
      </c>
      <c r="M61" s="209">
        <f t="shared" si="6"/>
        <v>97218566.210413605</v>
      </c>
      <c r="P61" s="214" t="str">
        <f t="shared" ca="1" si="5"/>
        <v>2045-46</v>
      </c>
      <c r="Q61" s="219">
        <v>91326739.291160703</v>
      </c>
      <c r="R61" s="239">
        <v>5.3227515726654608E-2</v>
      </c>
      <c r="S61" s="219">
        <v>29292921.353182461</v>
      </c>
      <c r="T61" s="239">
        <v>6.50138379500627E-2</v>
      </c>
      <c r="V61" s="220">
        <v>0.15171040496091218</v>
      </c>
      <c r="X61" s="221">
        <v>16658240.088299073</v>
      </c>
    </row>
    <row r="62" spans="2:24" s="189" customFormat="1" ht="12.5" x14ac:dyDescent="0.25">
      <c r="B62">
        <f t="shared" si="7"/>
        <v>24</v>
      </c>
      <c r="C62" s="189" t="str">
        <f ca="1">OFFSET('MP Calculations'!$D$38,MATCH($C$38,'MP Calculations'!$D$39:$D$129)+'Reduction amount'!B62,)</f>
        <v>2046-47</v>
      </c>
      <c r="D62" s="218">
        <f t="shared" si="0"/>
        <v>14371179.169886734</v>
      </c>
      <c r="E62" s="218">
        <f t="shared" si="1"/>
        <v>924527.63541036868</v>
      </c>
      <c r="F62" s="218">
        <f t="shared" si="2"/>
        <v>4609535.2187476065</v>
      </c>
      <c r="G62" s="218">
        <f t="shared" si="3"/>
        <v>1129248.4544572628</v>
      </c>
      <c r="H62" s="218">
        <f t="shared" si="4"/>
        <v>21034490.478501972</v>
      </c>
      <c r="J62" s="238">
        <v>-847271.65021186334</v>
      </c>
      <c r="K62" s="213">
        <v>-1059089.5627648293</v>
      </c>
      <c r="L62" s="213">
        <v>102586156.6943475</v>
      </c>
      <c r="M62" s="209">
        <f t="shared" si="6"/>
        <v>101527067.13158268</v>
      </c>
      <c r="P62" s="214" t="str">
        <f t="shared" ca="1" si="5"/>
        <v>2046-47</v>
      </c>
      <c r="Q62" s="219">
        <v>91326739.291160703</v>
      </c>
      <c r="R62" s="239">
        <v>5.315077573749135E-2</v>
      </c>
      <c r="S62" s="219">
        <v>29292921.353182461</v>
      </c>
      <c r="T62" s="239">
        <v>6.4920105203913683E-2</v>
      </c>
      <c r="V62" s="220">
        <v>0.15736003805051743</v>
      </c>
      <c r="X62" s="221">
        <v>17394433.525797591</v>
      </c>
    </row>
    <row r="63" spans="2:24" s="189" customFormat="1" ht="12.5" x14ac:dyDescent="0.25">
      <c r="B63">
        <f t="shared" si="7"/>
        <v>25</v>
      </c>
      <c r="C63" s="189" t="str">
        <f ca="1">OFFSET('MP Calculations'!$D$38,MATCH($C$38,'MP Calculations'!$D$39:$D$129)+'Reduction amount'!B63,)</f>
        <v>2047-48</v>
      </c>
      <c r="D63" s="218">
        <f t="shared" si="0"/>
        <v>14879036.052569028</v>
      </c>
      <c r="E63" s="218">
        <f t="shared" si="1"/>
        <v>962170.78083073883</v>
      </c>
      <c r="F63" s="218">
        <f t="shared" si="2"/>
        <v>4772429.5894275494</v>
      </c>
      <c r="G63" s="218">
        <f t="shared" si="3"/>
        <v>1175227.0300657623</v>
      </c>
      <c r="H63" s="218">
        <f t="shared" si="4"/>
        <v>21788863.452893082</v>
      </c>
      <c r="J63" s="238">
        <v>-884460.56895318674</v>
      </c>
      <c r="K63" s="213">
        <v>-1105575.7111914833</v>
      </c>
      <c r="L63" s="213">
        <v>106978632.3723468</v>
      </c>
      <c r="M63" s="209">
        <f t="shared" si="6"/>
        <v>105873056.66115531</v>
      </c>
      <c r="P63" s="214" t="str">
        <f t="shared" ca="1" si="5"/>
        <v>2047-48</v>
      </c>
      <c r="Q63" s="219">
        <v>91326739.291160703</v>
      </c>
      <c r="R63" s="239">
        <v>5.3074256707268709E-2</v>
      </c>
      <c r="S63" s="219">
        <v>29292921.353182461</v>
      </c>
      <c r="T63" s="239">
        <v>6.4826642344280358E-2</v>
      </c>
      <c r="V63" s="220">
        <v>0.16292091634995157</v>
      </c>
      <c r="X63" s="221">
        <v>18128766.006796777</v>
      </c>
    </row>
    <row r="64" spans="2:24" s="189" customFormat="1" ht="12.5" x14ac:dyDescent="0.25">
      <c r="B64">
        <f t="shared" si="7"/>
        <v>26</v>
      </c>
      <c r="C64" s="189" t="str">
        <f ca="1">OFFSET('MP Calculations'!$D$38,MATCH($C$38,'MP Calculations'!$D$39:$D$129)+'Reduction amount'!B64,)</f>
        <v>2048-49</v>
      </c>
      <c r="D64" s="218">
        <f t="shared" si="0"/>
        <v>15388401.094044732</v>
      </c>
      <c r="E64" s="218">
        <f t="shared" si="1"/>
        <v>1000344.1394287029</v>
      </c>
      <c r="F64" s="218">
        <f t="shared" si="2"/>
        <v>4935807.6998891421</v>
      </c>
      <c r="G64" s="218">
        <f t="shared" si="3"/>
        <v>1221853.2254839877</v>
      </c>
      <c r="H64" s="218">
        <f t="shared" si="4"/>
        <v>22546406.158846565</v>
      </c>
      <c r="J64" s="238">
        <v>-918479.64613599516</v>
      </c>
      <c r="K64" s="213">
        <v>-1148099.557669994</v>
      </c>
      <c r="L64" s="213">
        <v>111423861.441039</v>
      </c>
      <c r="M64" s="209">
        <f t="shared" si="6"/>
        <v>110275761.883369</v>
      </c>
      <c r="P64" s="214" t="str">
        <f t="shared" ca="1" si="5"/>
        <v>2048-49</v>
      </c>
      <c r="Q64" s="219">
        <v>91326739.291160703</v>
      </c>
      <c r="R64" s="239">
        <v>5.2997957683041559E-2</v>
      </c>
      <c r="S64" s="219">
        <v>29292921.353182461</v>
      </c>
      <c r="T64" s="239">
        <v>6.4733448207204225E-2</v>
      </c>
      <c r="V64" s="220">
        <v>0.16849830852916631</v>
      </c>
      <c r="X64" s="221">
        <v>18875145.06523703</v>
      </c>
    </row>
    <row r="65" spans="2:24" s="189" customFormat="1" ht="12.5" x14ac:dyDescent="0.25">
      <c r="B65">
        <f t="shared" si="7"/>
        <v>27</v>
      </c>
      <c r="C65" s="189" t="str">
        <f ca="1">OFFSET('MP Calculations'!$D$38,MATCH($C$38,'MP Calculations'!$D$39:$D$129)+'Reduction amount'!B65,)</f>
        <v>2049-50</v>
      </c>
      <c r="D65" s="218">
        <f t="shared" si="0"/>
        <v>15895047.25230192</v>
      </c>
      <c r="E65" s="218">
        <f t="shared" si="1"/>
        <v>1038726.2528478726</v>
      </c>
      <c r="F65" s="218">
        <f t="shared" si="2"/>
        <v>5098313.7324367892</v>
      </c>
      <c r="G65" s="218">
        <f t="shared" si="3"/>
        <v>1268734.4009051663</v>
      </c>
      <c r="H65" s="218">
        <f t="shared" si="4"/>
        <v>23300821.638491746</v>
      </c>
      <c r="J65" s="238">
        <v>-955457.50014466955</v>
      </c>
      <c r="K65" s="213">
        <v>-1194321.875180837</v>
      </c>
      <c r="L65" s="213">
        <v>115921449.27441862</v>
      </c>
      <c r="M65" s="209">
        <f t="shared" si="6"/>
        <v>114727127.39923778</v>
      </c>
      <c r="P65" s="214" t="str">
        <f t="shared" ca="1" si="5"/>
        <v>2049-50</v>
      </c>
      <c r="Q65" s="219">
        <v>91326739.291160703</v>
      </c>
      <c r="R65" s="239">
        <v>5.2921877717336675E-2</v>
      </c>
      <c r="S65" s="219">
        <v>29292921.353182461</v>
      </c>
      <c r="T65" s="239">
        <v>6.4640521635410342E-2</v>
      </c>
      <c r="V65" s="220">
        <v>0.17404592976462879</v>
      </c>
      <c r="X65" s="221">
        <v>19627539.64241137</v>
      </c>
    </row>
    <row r="66" spans="2:24" s="189" customFormat="1" ht="12.5" x14ac:dyDescent="0.25">
      <c r="B66">
        <f t="shared" si="7"/>
        <v>28</v>
      </c>
      <c r="C66" s="189" t="str">
        <f ca="1">OFFSET('MP Calculations'!$D$38,MATCH($C$38,'MP Calculations'!$D$39:$D$129)+'Reduction amount'!B66,)</f>
        <v>2050-51</v>
      </c>
      <c r="D66" s="218">
        <f t="shared" si="0"/>
        <v>16401539.483500846</v>
      </c>
      <c r="E66" s="218">
        <f t="shared" si="1"/>
        <v>1077523.732689979</v>
      </c>
      <c r="F66" s="218">
        <f t="shared" si="2"/>
        <v>5260770.3931000708</v>
      </c>
      <c r="G66" s="218">
        <f t="shared" si="3"/>
        <v>1316122.9185335103</v>
      </c>
      <c r="H66" s="218">
        <f t="shared" si="4"/>
        <v>24055956.527824409</v>
      </c>
      <c r="J66" s="238">
        <v>-991760.1311736966</v>
      </c>
      <c r="K66" s="213">
        <v>-1239700.1639671207</v>
      </c>
      <c r="L66" s="213">
        <v>120473087.81248567</v>
      </c>
      <c r="M66" s="209">
        <f t="shared" si="6"/>
        <v>119233387.64851855</v>
      </c>
      <c r="P66" s="214" t="str">
        <f t="shared" ca="1" si="5"/>
        <v>2050-51</v>
      </c>
      <c r="Q66" s="219">
        <v>91326739.291160703</v>
      </c>
      <c r="R66" s="239">
        <v>5.2846015868113529E-2</v>
      </c>
      <c r="S66" s="219">
        <v>29292921.353182461</v>
      </c>
      <c r="T66" s="239">
        <v>6.4547861478259402E-2</v>
      </c>
      <c r="V66" s="220">
        <v>0.1795918655456509</v>
      </c>
      <c r="X66" s="221">
        <v>20389876.417157497</v>
      </c>
    </row>
    <row r="67" spans="2:24" s="189" customFormat="1" ht="12.5" x14ac:dyDescent="0.25">
      <c r="B67">
        <f t="shared" si="7"/>
        <v>29</v>
      </c>
      <c r="C67" s="189" t="str">
        <f ca="1">OFFSET('MP Calculations'!$D$38,MATCH($C$38,'MP Calculations'!$D$39:$D$129)+'Reduction amount'!B67,)</f>
        <v>2051-52</v>
      </c>
      <c r="D67" s="218">
        <f t="shared" si="0"/>
        <v>16401539.483500846</v>
      </c>
      <c r="E67" s="218">
        <f t="shared" si="1"/>
        <v>1076658.4206097033</v>
      </c>
      <c r="F67" s="218">
        <f t="shared" si="2"/>
        <v>5260770.3931000708</v>
      </c>
      <c r="G67" s="218">
        <f t="shared" si="3"/>
        <v>1315065.9979052362</v>
      </c>
      <c r="H67" s="218">
        <f t="shared" si="4"/>
        <v>24054034.295115858</v>
      </c>
      <c r="J67" s="238">
        <v>-991760.1311736966</v>
      </c>
      <c r="K67" s="213">
        <v>-1239700.1639671207</v>
      </c>
      <c r="L67" s="213">
        <v>120473087.81248567</v>
      </c>
      <c r="M67" s="209">
        <f t="shared" si="6"/>
        <v>119233387.64851855</v>
      </c>
      <c r="P67" s="214" t="str">
        <f t="shared" ca="1" si="5"/>
        <v>2051-52</v>
      </c>
      <c r="Q67" s="219">
        <v>91326739.291160703</v>
      </c>
      <c r="R67" s="239">
        <v>5.2803577549088328E-2</v>
      </c>
      <c r="S67" s="219">
        <v>29292921.353182461</v>
      </c>
      <c r="T67" s="239">
        <v>6.4496025919933767E-2</v>
      </c>
      <c r="V67" s="220">
        <v>0.1795918655456509</v>
      </c>
      <c r="X67" s="221">
        <v>20389876.417157497</v>
      </c>
    </row>
    <row r="68" spans="2:24" s="189" customFormat="1" ht="12.5" x14ac:dyDescent="0.25">
      <c r="P68" s="191"/>
    </row>
    <row r="69" spans="2:24" s="189" customFormat="1" ht="12.5" x14ac:dyDescent="0.25"/>
    <row r="70" spans="2:24" s="189" customFormat="1" ht="12.5" x14ac:dyDescent="0.25"/>
    <row r="71" spans="2:24" s="189" customFormat="1" ht="12.5" x14ac:dyDescent="0.25"/>
    <row r="72" spans="2:24" s="189" customFormat="1" ht="12.5" x14ac:dyDescent="0.25"/>
    <row r="73" spans="2:24" s="189" customFormat="1" ht="12.5" x14ac:dyDescent="0.25"/>
    <row r="74" spans="2:24" s="189" customFormat="1" ht="12.5" x14ac:dyDescent="0.25"/>
    <row r="75" spans="2:24" s="189" customFormat="1" ht="12.5" x14ac:dyDescent="0.25"/>
  </sheetData>
  <hyperlinks>
    <hyperlink ref="H6" r:id="rId1" xr:uid="{00000000-0004-0000-0900-00000000000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7" tint="0.79998168889431442"/>
  </sheetPr>
  <dimension ref="A3:AD18"/>
  <sheetViews>
    <sheetView showGridLines="0" workbookViewId="0">
      <selection activeCell="G7" sqref="G7"/>
    </sheetView>
  </sheetViews>
  <sheetFormatPr defaultRowHeight="11.5" x14ac:dyDescent="0.25"/>
  <cols>
    <col min="1" max="2" width="2.69921875" customWidth="1"/>
    <col min="13" max="13" width="9.09765625" customWidth="1"/>
    <col min="16" max="16" width="9.09765625" customWidth="1"/>
  </cols>
  <sheetData>
    <row r="3" spans="1:30" ht="20" x14ac:dyDescent="0.4">
      <c r="C3" s="122" t="s">
        <v>835</v>
      </c>
      <c r="M3" s="124"/>
    </row>
    <row r="6" spans="1:30" x14ac:dyDescent="0.25">
      <c r="C6" t="s">
        <v>794</v>
      </c>
      <c r="G6" s="124" t="s">
        <v>28</v>
      </c>
    </row>
    <row r="8" spans="1:30" x14ac:dyDescent="0.25">
      <c r="C8" t="s">
        <v>836</v>
      </c>
    </row>
    <row r="10" spans="1:30" x14ac:dyDescent="0.25">
      <c r="C10" t="s">
        <v>837</v>
      </c>
      <c r="J10" s="155" t="str">
        <f>ADDRESS(ROW('MP Calculations'!$F$22),COLUMN('MP Calculations'!$F$22))</f>
        <v>$F$22</v>
      </c>
      <c r="K10" t="str">
        <f ca="1">"on the "&amp;MID(CELL("filename",'MP Calculations'!$A$1),FIND("]",CELL("filename",'MP Calculations'!$A$1))+1,255)&amp;" worksheet."</f>
        <v>on the MP Calculations worksheet.</v>
      </c>
    </row>
    <row r="12" spans="1:30" x14ac:dyDescent="0.25">
      <c r="C12" s="72" t="s">
        <v>838</v>
      </c>
    </row>
    <row r="13" spans="1:30" x14ac:dyDescent="0.25">
      <c r="D13" s="173" t="s">
        <v>839</v>
      </c>
    </row>
    <row r="14" spans="1:30" x14ac:dyDescent="0.25">
      <c r="D14" s="71"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68"/>
      <c r="B16" s="68"/>
      <c r="C16" s="68" t="s">
        <v>814</v>
      </c>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row>
    <row r="18" spans="4:4" x14ac:dyDescent="0.25">
      <c r="D18" s="71"/>
    </row>
  </sheetData>
  <hyperlinks>
    <hyperlink ref="G6"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3:AD16"/>
  <sheetViews>
    <sheetView showGridLines="0" workbookViewId="0">
      <selection activeCell="J9" sqref="J9"/>
    </sheetView>
  </sheetViews>
  <sheetFormatPr defaultRowHeight="11.5" x14ac:dyDescent="0.25"/>
  <cols>
    <col min="1" max="2" width="2.69921875" customWidth="1"/>
    <col min="3" max="3" width="21.3984375" customWidth="1"/>
    <col min="4" max="4" width="12.3984375" customWidth="1"/>
    <col min="13" max="13" width="9.09765625" customWidth="1"/>
    <col min="16" max="16" width="9.09765625" customWidth="1"/>
  </cols>
  <sheetData>
    <row r="3" spans="1:30" ht="20" x14ac:dyDescent="0.4">
      <c r="C3" s="122" t="s">
        <v>840</v>
      </c>
      <c r="M3" s="124"/>
    </row>
    <row r="6" spans="1:30" x14ac:dyDescent="0.25">
      <c r="C6" t="s">
        <v>794</v>
      </c>
      <c r="G6" s="180" t="s">
        <v>29</v>
      </c>
    </row>
    <row r="8" spans="1:30" x14ac:dyDescent="0.25">
      <c r="C8" t="s">
        <v>841</v>
      </c>
    </row>
    <row r="9" spans="1:30" x14ac:dyDescent="0.25">
      <c r="J9">
        <v>97.559677397661673</v>
      </c>
    </row>
    <row r="10" spans="1:30" x14ac:dyDescent="0.25">
      <c r="C10" t="s">
        <v>837</v>
      </c>
      <c r="J10" s="155" t="str">
        <f>ADDRESS(ROW('MP Calculations'!$G$22),COLUMN('MP Calculations'!$G$22))</f>
        <v>$G$22</v>
      </c>
      <c r="K10" t="str">
        <f ca="1">"on the "&amp;MID(CELL("filename",'MP Calculations'!$A$1),FIND("]",CELL("filename",'MP Calculations'!$A$1))+1,255)&amp;" worksheet."</f>
        <v>on the MP Calculations worksheet.</v>
      </c>
    </row>
    <row r="12" spans="1:30" x14ac:dyDescent="0.25">
      <c r="C12" s="72" t="s">
        <v>838</v>
      </c>
    </row>
    <row r="13" spans="1:30" x14ac:dyDescent="0.25">
      <c r="D13" s="71" t="s">
        <v>842</v>
      </c>
    </row>
    <row r="14" spans="1:30" x14ac:dyDescent="0.25">
      <c r="D14" s="71"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68"/>
      <c r="B16" s="68"/>
      <c r="C16" s="68" t="s">
        <v>814</v>
      </c>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row>
  </sheetData>
  <hyperlinks>
    <hyperlink ref="G6"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C3:G32"/>
  <sheetViews>
    <sheetView showGridLines="0" workbookViewId="0"/>
  </sheetViews>
  <sheetFormatPr defaultRowHeight="11.5" x14ac:dyDescent="0.25"/>
  <cols>
    <col min="1" max="2" width="2.69921875" customWidth="1"/>
    <col min="3" max="3" width="5.69921875" customWidth="1"/>
  </cols>
  <sheetData>
    <row r="3" spans="3:7" ht="20" x14ac:dyDescent="0.4">
      <c r="C3" s="57" t="s">
        <v>843</v>
      </c>
    </row>
    <row r="6" spans="3:7" x14ac:dyDescent="0.25">
      <c r="C6" t="s">
        <v>794</v>
      </c>
      <c r="G6" s="124" t="s">
        <v>28</v>
      </c>
    </row>
    <row r="8" spans="3:7" x14ac:dyDescent="0.25">
      <c r="C8" s="6" t="s">
        <v>844</v>
      </c>
      <c r="G8" s="124"/>
    </row>
    <row r="10" spans="3:7" x14ac:dyDescent="0.25">
      <c r="C10" t="s">
        <v>845</v>
      </c>
      <c r="D10" t="s">
        <v>846</v>
      </c>
    </row>
    <row r="12" spans="3:7" x14ac:dyDescent="0.25">
      <c r="C12" t="s">
        <v>847</v>
      </c>
      <c r="D12" t="s">
        <v>848</v>
      </c>
    </row>
    <row r="14" spans="3:7" x14ac:dyDescent="0.25">
      <c r="C14" t="s">
        <v>849</v>
      </c>
      <c r="D14" t="s">
        <v>850</v>
      </c>
    </row>
    <row r="16" spans="3:7" x14ac:dyDescent="0.25">
      <c r="C16" t="s">
        <v>851</v>
      </c>
      <c r="D16" t="s">
        <v>852</v>
      </c>
    </row>
    <row r="18" spans="3:4" x14ac:dyDescent="0.25">
      <c r="C18" t="s">
        <v>853</v>
      </c>
      <c r="D18" t="s">
        <v>854</v>
      </c>
    </row>
    <row r="20" spans="3:4" x14ac:dyDescent="0.25">
      <c r="C20" t="s">
        <v>855</v>
      </c>
      <c r="D20" t="s">
        <v>856</v>
      </c>
    </row>
    <row r="22" spans="3:4" x14ac:dyDescent="0.25">
      <c r="D22" t="s">
        <v>81</v>
      </c>
    </row>
    <row r="24" spans="3:4" x14ac:dyDescent="0.25">
      <c r="C24" s="6" t="s">
        <v>857</v>
      </c>
    </row>
    <row r="26" spans="3:4" x14ac:dyDescent="0.25">
      <c r="C26" t="s">
        <v>858</v>
      </c>
    </row>
    <row r="28" spans="3:4" x14ac:dyDescent="0.25">
      <c r="C28" t="s">
        <v>859</v>
      </c>
      <c r="D28" t="s">
        <v>860</v>
      </c>
    </row>
    <row r="30" spans="3:4" x14ac:dyDescent="0.25">
      <c r="C30" t="s">
        <v>861</v>
      </c>
      <c r="D30" t="s">
        <v>862</v>
      </c>
    </row>
    <row r="32" spans="3:4" x14ac:dyDescent="0.25">
      <c r="C32" t="s">
        <v>863</v>
      </c>
      <c r="D32" t="s">
        <v>864</v>
      </c>
    </row>
  </sheetData>
  <hyperlinks>
    <hyperlink ref="G6" r:id="rId1" xr:uid="{00000000-0004-0000-0C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23"/>
  <sheetViews>
    <sheetView showGridLines="0" workbookViewId="0"/>
  </sheetViews>
  <sheetFormatPr defaultRowHeight="11.5" x14ac:dyDescent="0.25"/>
  <cols>
    <col min="1" max="2" width="2.69921875" customWidth="1"/>
    <col min="3" max="5" width="40.59765625" customWidth="1"/>
    <col min="6" max="6" width="20.59765625" customWidth="1"/>
    <col min="7" max="7" width="17.59765625" customWidth="1"/>
  </cols>
  <sheetData>
    <row r="3" spans="3:7" ht="20.25" customHeight="1" x14ac:dyDescent="0.35">
      <c r="C3" s="2" t="s">
        <v>42</v>
      </c>
    </row>
    <row r="5" spans="3:7" x14ac:dyDescent="0.25">
      <c r="C5" s="6" t="s">
        <v>43</v>
      </c>
      <c r="D5" s="6" t="s">
        <v>44</v>
      </c>
      <c r="E5" s="6" t="s">
        <v>45</v>
      </c>
      <c r="F5" s="6" t="s">
        <v>46</v>
      </c>
      <c r="G5" s="6" t="s">
        <v>47</v>
      </c>
    </row>
    <row r="6" spans="3:7" ht="34.5" x14ac:dyDescent="0.25">
      <c r="C6" s="175" t="s">
        <v>48</v>
      </c>
      <c r="D6" s="175" t="s">
        <v>49</v>
      </c>
      <c r="E6" s="175" t="s">
        <v>50</v>
      </c>
      <c r="F6" s="178" t="s">
        <v>51</v>
      </c>
      <c r="G6" s="179">
        <v>43678</v>
      </c>
    </row>
    <row r="7" spans="3:7" ht="23" x14ac:dyDescent="0.25">
      <c r="C7" s="175" t="s">
        <v>48</v>
      </c>
      <c r="D7" s="175" t="s">
        <v>52</v>
      </c>
      <c r="E7" s="175" t="s">
        <v>53</v>
      </c>
      <c r="F7" s="178" t="s">
        <v>51</v>
      </c>
      <c r="G7" s="179">
        <v>43678</v>
      </c>
    </row>
    <row r="8" spans="3:7" ht="46" x14ac:dyDescent="0.25">
      <c r="C8" s="177" t="s">
        <v>54</v>
      </c>
      <c r="D8" s="177" t="s">
        <v>55</v>
      </c>
      <c r="E8" s="177" t="s">
        <v>56</v>
      </c>
      <c r="F8" s="178" t="s">
        <v>51</v>
      </c>
      <c r="G8" s="179">
        <v>43678</v>
      </c>
    </row>
    <row r="9" spans="3:7" x14ac:dyDescent="0.25">
      <c r="C9" s="176"/>
      <c r="D9" s="176"/>
      <c r="E9" s="176"/>
      <c r="F9" s="178"/>
      <c r="G9" s="179"/>
    </row>
    <row r="10" spans="3:7" x14ac:dyDescent="0.25">
      <c r="C10" s="176"/>
      <c r="D10" s="176"/>
      <c r="E10" s="176"/>
      <c r="F10" s="178"/>
      <c r="G10" s="179"/>
    </row>
    <row r="11" spans="3:7" x14ac:dyDescent="0.25">
      <c r="C11" s="176"/>
      <c r="D11" s="176"/>
      <c r="E11" s="176"/>
      <c r="F11" s="178"/>
      <c r="G11" s="179"/>
    </row>
    <row r="12" spans="3:7" x14ac:dyDescent="0.25">
      <c r="C12" s="176"/>
      <c r="D12" s="176"/>
      <c r="E12" s="176"/>
      <c r="F12" s="178"/>
      <c r="G12" s="179"/>
    </row>
    <row r="13" spans="3:7" x14ac:dyDescent="0.25">
      <c r="C13" s="176"/>
      <c r="D13" s="176"/>
      <c r="E13" s="176"/>
      <c r="F13" s="178"/>
      <c r="G13" s="179"/>
    </row>
    <row r="14" spans="3:7" x14ac:dyDescent="0.25">
      <c r="C14" s="176"/>
      <c r="D14" s="176"/>
      <c r="E14" s="176"/>
      <c r="F14" s="178"/>
      <c r="G14" s="179"/>
    </row>
    <row r="15" spans="3:7" x14ac:dyDescent="0.25">
      <c r="C15" s="176"/>
      <c r="D15" s="176"/>
      <c r="E15" s="176"/>
      <c r="F15" s="178"/>
      <c r="G15" s="179"/>
    </row>
    <row r="16" spans="3:7" x14ac:dyDescent="0.25">
      <c r="C16" s="176"/>
      <c r="D16" s="176"/>
      <c r="E16" s="176"/>
      <c r="F16" s="178"/>
      <c r="G16" s="179"/>
    </row>
    <row r="17" spans="3:7" x14ac:dyDescent="0.25">
      <c r="C17" s="176"/>
      <c r="D17" s="176"/>
      <c r="E17" s="176"/>
      <c r="F17" s="178"/>
      <c r="G17" s="179"/>
    </row>
    <row r="18" spans="3:7" x14ac:dyDescent="0.25">
      <c r="C18" s="176"/>
      <c r="D18" s="176"/>
      <c r="E18" s="176"/>
      <c r="F18" s="178"/>
      <c r="G18" s="179"/>
    </row>
    <row r="19" spans="3:7" x14ac:dyDescent="0.25">
      <c r="C19" s="176"/>
      <c r="D19" s="176"/>
      <c r="E19" s="176"/>
      <c r="F19" s="178"/>
      <c r="G19" s="179"/>
    </row>
    <row r="20" spans="3:7" x14ac:dyDescent="0.25">
      <c r="C20" s="176"/>
      <c r="D20" s="176"/>
      <c r="E20" s="176"/>
      <c r="F20" s="178"/>
      <c r="G20" s="179"/>
    </row>
    <row r="21" spans="3:7" x14ac:dyDescent="0.25">
      <c r="C21" s="176"/>
      <c r="D21" s="176"/>
      <c r="E21" s="176"/>
      <c r="F21" s="178"/>
      <c r="G21" s="179"/>
    </row>
    <row r="22" spans="3:7" x14ac:dyDescent="0.25">
      <c r="C22" s="176"/>
      <c r="D22" s="176"/>
      <c r="E22" s="176"/>
      <c r="F22" s="178"/>
      <c r="G22" s="179"/>
    </row>
    <row r="23" spans="3:7" x14ac:dyDescent="0.25">
      <c r="C23" s="176"/>
      <c r="D23" s="176"/>
      <c r="E23" s="176"/>
      <c r="F23" s="178"/>
      <c r="G23" s="17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sheetPr>
  <dimension ref="A3:U27"/>
  <sheetViews>
    <sheetView showGridLines="0" zoomScaleNormal="100" workbookViewId="0">
      <selection activeCell="J22" sqref="J22"/>
    </sheetView>
  </sheetViews>
  <sheetFormatPr defaultRowHeight="11.5" outlineLevelRow="1" x14ac:dyDescent="0.25"/>
  <cols>
    <col min="1" max="3" width="2.69921875" customWidth="1"/>
    <col min="4" max="4" width="23.8984375" customWidth="1"/>
    <col min="5" max="5" width="8" customWidth="1"/>
    <col min="6" max="6" width="2.69921875" customWidth="1"/>
    <col min="7" max="7" width="24.59765625" customWidth="1"/>
    <col min="9" max="9" width="18.19921875" customWidth="1"/>
    <col min="10" max="10" width="17.59765625" customWidth="1"/>
    <col min="14" max="14" width="9.8984375" bestFit="1" customWidth="1"/>
    <col min="16" max="16" width="8.8984375" customWidth="1"/>
    <col min="17" max="17" width="4.09765625" customWidth="1"/>
    <col min="20" max="20" width="14.8984375" customWidth="1"/>
  </cols>
  <sheetData>
    <row r="3" spans="1:17" ht="20" x14ac:dyDescent="0.4">
      <c r="C3" s="168" t="s">
        <v>57</v>
      </c>
    </row>
    <row r="5" spans="1:17" hidden="1" outlineLevel="1" x14ac:dyDescent="0.25">
      <c r="D5" t="s">
        <v>58</v>
      </c>
      <c r="Q5" s="181" t="s">
        <v>29</v>
      </c>
    </row>
    <row r="6" spans="1:17" hidden="1" outlineLevel="1" x14ac:dyDescent="0.25">
      <c r="Q6" s="181"/>
    </row>
    <row r="7" spans="1:17" hidden="1" outlineLevel="1" x14ac:dyDescent="0.25"/>
    <row r="8" spans="1:17" collapsed="1" x14ac:dyDescent="0.25">
      <c r="D8" s="1" t="str">
        <f>"The maximum price for the new development area '"&amp;'General inputs'!H7&amp;"' is:"</f>
        <v>The maximum price for the new development area 'North Head Wastewater' is:</v>
      </c>
      <c r="J8" s="70">
        <f>G19</f>
        <v>587.78662162950422</v>
      </c>
      <c r="K8" t="str">
        <f>"per ET ($"&amp;'General inputs'!$I$40&amp;")."</f>
        <v>per ET ($2022-23).</v>
      </c>
    </row>
    <row r="10" spans="1:17" x14ac:dyDescent="0.25">
      <c r="A10" s="105"/>
      <c r="B10" s="105"/>
      <c r="C10" s="1"/>
      <c r="D10" s="106" t="s">
        <v>59</v>
      </c>
      <c r="E10" s="1"/>
      <c r="F10" s="1"/>
      <c r="G10" s="1"/>
      <c r="H10" s="1"/>
      <c r="J10" s="157">
        <f>IF($J$8&lt;=0,0,IF('General inputs'!$H$42='General inputs'!$L$37,'MP Calculations'!F22,IF('General inputs'!$H$42='General inputs'!$L$38,'MP Calculations'!F22*1000,'MP Calculations'!F22*1000000)))</f>
        <v>0</v>
      </c>
      <c r="K10" s="1" t="s">
        <v>60</v>
      </c>
      <c r="L10" s="1"/>
      <c r="M10" s="1"/>
    </row>
    <row r="12" spans="1:17" x14ac:dyDescent="0.25">
      <c r="G12" s="1"/>
    </row>
    <row r="13" spans="1:17" x14ac:dyDescent="0.25">
      <c r="D13" s="106" t="s">
        <v>61</v>
      </c>
      <c r="G13" s="1"/>
    </row>
    <row r="14" spans="1:17" x14ac:dyDescent="0.25">
      <c r="G14" s="1"/>
    </row>
    <row r="15" spans="1:17" x14ac:dyDescent="0.25">
      <c r="G15" s="1"/>
    </row>
    <row r="17" spans="4:21" x14ac:dyDescent="0.25">
      <c r="D17" t="str">
        <f>"in $, $"&amp;'General inputs'!$I$40&amp;", where:"</f>
        <v>in $, $2022-23, where:</v>
      </c>
    </row>
    <row r="19" spans="4:21" x14ac:dyDescent="0.25">
      <c r="E19" t="s">
        <v>62</v>
      </c>
      <c r="F19" s="36" t="s">
        <v>63</v>
      </c>
      <c r="G19" s="123">
        <f>IF('General inputs'!$H$42='General inputs'!$L$37,'MP Calculations'!C22,IF('General inputs'!$H$42='General inputs'!$L$38,'MP Calculations'!C22*1000,'MP Calculations'!C22*1000000))</f>
        <v>587.78662162950422</v>
      </c>
      <c r="H19" s="36" t="s">
        <v>63</v>
      </c>
      <c r="I19" s="171" t="s">
        <v>64</v>
      </c>
      <c r="J19" s="1"/>
      <c r="K19" s="1"/>
      <c r="L19" s="1"/>
      <c r="M19" s="1"/>
      <c r="N19" s="1"/>
      <c r="O19" s="1"/>
      <c r="P19" s="1"/>
      <c r="Q19" s="1"/>
      <c r="R19" s="1"/>
      <c r="S19" s="1"/>
      <c r="T19" s="1"/>
      <c r="U19" s="1"/>
    </row>
    <row r="20" spans="4:21" ht="13.5" x14ac:dyDescent="0.35">
      <c r="E20" t="s">
        <v>65</v>
      </c>
      <c r="F20" s="36" t="s">
        <v>63</v>
      </c>
      <c r="G20" s="123">
        <f>IF('General inputs'!$H$42='General inputs'!$L$37,'MP Calculations'!H20,IF('General inputs'!$H$42='General inputs'!$L$38,'MP Calculations'!H20*1000,'MP Calculations'!H20*1000000))</f>
        <v>186616413.86491585</v>
      </c>
      <c r="H20" s="36" t="s">
        <v>63</v>
      </c>
      <c r="I20" s="1" t="s">
        <v>66</v>
      </c>
      <c r="J20" s="1"/>
      <c r="K20" s="1"/>
      <c r="L20" s="1"/>
      <c r="M20" s="1"/>
      <c r="N20" s="1"/>
      <c r="O20" s="1"/>
      <c r="P20" s="1"/>
      <c r="Q20" s="1"/>
      <c r="R20" s="1"/>
      <c r="S20" s="1"/>
      <c r="T20" s="1"/>
      <c r="U20" s="1"/>
    </row>
    <row r="21" spans="4:21" ht="13.5" x14ac:dyDescent="0.35">
      <c r="E21" t="s">
        <v>67</v>
      </c>
      <c r="F21" s="36" t="s">
        <v>63</v>
      </c>
      <c r="G21" s="123">
        <f>IF('General inputs'!$H$42='General inputs'!$L$37,SUM('MP Calculations'!I20:K20),IF('General inputs'!$H$42='General inputs'!$L$38,SUM('MP Calculations'!I20:K20)*1000,SUM('MP Calculations'!I20:K20)*1000000))</f>
        <v>2420027523.1585855</v>
      </c>
      <c r="H21" s="36" t="s">
        <v>63</v>
      </c>
      <c r="I21" s="1" t="s">
        <v>68</v>
      </c>
      <c r="J21" s="1"/>
      <c r="K21" s="1"/>
      <c r="L21" s="1"/>
      <c r="M21" s="1"/>
      <c r="N21" s="1"/>
      <c r="O21" s="1"/>
      <c r="P21" s="1"/>
      <c r="Q21" s="1"/>
      <c r="R21" s="1"/>
      <c r="S21" s="1"/>
      <c r="T21" s="1"/>
      <c r="U21" s="1"/>
    </row>
    <row r="22" spans="4:21" ht="13.5" x14ac:dyDescent="0.35">
      <c r="E22" t="s">
        <v>69</v>
      </c>
      <c r="F22" s="36" t="s">
        <v>63</v>
      </c>
      <c r="G22" s="69">
        <f>'MP Calculations'!H21</f>
        <v>481477.83425804763</v>
      </c>
      <c r="H22" s="36" t="s">
        <v>63</v>
      </c>
      <c r="I22" s="169" t="s">
        <v>70</v>
      </c>
      <c r="J22" s="170"/>
      <c r="K22" s="170"/>
      <c r="L22" s="170"/>
      <c r="M22" s="170"/>
      <c r="N22" s="170"/>
      <c r="O22" s="170"/>
      <c r="P22" s="170"/>
      <c r="Q22" s="170"/>
      <c r="R22" s="170"/>
      <c r="S22" s="170"/>
      <c r="T22" s="170"/>
      <c r="U22" s="170"/>
    </row>
    <row r="23" spans="4:21" ht="13.5" x14ac:dyDescent="0.35">
      <c r="E23" t="s">
        <v>71</v>
      </c>
      <c r="F23" s="36" t="s">
        <v>63</v>
      </c>
      <c r="G23" s="69">
        <f>'MP Calculations'!J21</f>
        <v>522276.36770618596</v>
      </c>
      <c r="H23" s="36" t="s">
        <v>63</v>
      </c>
      <c r="I23" s="169" t="s">
        <v>72</v>
      </c>
      <c r="J23" s="170"/>
      <c r="K23" s="170"/>
      <c r="L23" s="170"/>
      <c r="M23" s="170"/>
      <c r="N23" s="170"/>
      <c r="O23" s="170"/>
      <c r="P23" s="170"/>
      <c r="Q23" s="170"/>
      <c r="R23" s="170"/>
      <c r="S23" s="170"/>
      <c r="T23" s="170"/>
      <c r="U23" s="170"/>
    </row>
    <row r="24" spans="4:21" ht="13.5" x14ac:dyDescent="0.35">
      <c r="E24" t="s">
        <v>73</v>
      </c>
      <c r="F24" s="36" t="s">
        <v>63</v>
      </c>
      <c r="G24" s="69">
        <f>'MP Calculations'!L21</f>
        <v>158872.65605135963</v>
      </c>
      <c r="H24" s="36" t="s">
        <v>63</v>
      </c>
      <c r="I24" s="169" t="s">
        <v>74</v>
      </c>
      <c r="J24" s="170"/>
      <c r="K24" s="170"/>
      <c r="L24" s="170"/>
      <c r="M24" s="170"/>
      <c r="N24" s="170"/>
      <c r="O24" s="170"/>
      <c r="P24" s="170"/>
      <c r="Q24" s="170"/>
      <c r="R24" s="170"/>
      <c r="S24" s="170"/>
      <c r="T24" s="170"/>
      <c r="U24" s="170"/>
    </row>
    <row r="25" spans="4:21" ht="13.5" x14ac:dyDescent="0.35">
      <c r="E25" t="s">
        <v>75</v>
      </c>
      <c r="F25" s="36" t="s">
        <v>63</v>
      </c>
      <c r="G25" s="123">
        <f>'MP Calculations'!R29</f>
        <v>892050971.43282437</v>
      </c>
      <c r="H25" s="36" t="s">
        <v>63</v>
      </c>
      <c r="I25" s="1" t="s">
        <v>76</v>
      </c>
      <c r="J25" s="1"/>
      <c r="K25" s="1"/>
      <c r="L25" s="1"/>
      <c r="M25" s="1"/>
      <c r="N25" s="1"/>
      <c r="O25" s="1"/>
      <c r="P25" s="1"/>
      <c r="Q25" s="1"/>
      <c r="R25" s="1"/>
      <c r="S25" s="1"/>
      <c r="T25" s="1"/>
      <c r="U25" s="1"/>
    </row>
    <row r="26" spans="4:21" ht="13.5" x14ac:dyDescent="0.35">
      <c r="E26" t="s">
        <v>77</v>
      </c>
      <c r="F26" s="36" t="s">
        <v>63</v>
      </c>
      <c r="G26" s="123">
        <f>'MP Calculations'!U29</f>
        <v>187701906.54699549</v>
      </c>
      <c r="H26" s="36" t="s">
        <v>63</v>
      </c>
      <c r="I26" s="1" t="s">
        <v>78</v>
      </c>
      <c r="J26" s="1"/>
      <c r="K26" s="1"/>
      <c r="L26" s="1"/>
      <c r="M26" s="1"/>
      <c r="N26" s="1"/>
      <c r="O26" s="1"/>
      <c r="P26" s="1"/>
      <c r="Q26" s="1"/>
      <c r="R26" s="1"/>
      <c r="S26" s="1"/>
      <c r="T26" s="1"/>
      <c r="U26" s="1"/>
    </row>
    <row r="27" spans="4:21" x14ac:dyDescent="0.25">
      <c r="E27" t="s">
        <v>79</v>
      </c>
      <c r="F27" s="36" t="s">
        <v>63</v>
      </c>
      <c r="G27" s="28" t="str">
        <f>INDEX('MP Calculations'!$D$39:$D$129,MATCH('General inputs'!$H$38-1,'MP Calculations'!C39:C129))</f>
        <v>2051-52</v>
      </c>
      <c r="H27" s="36" t="s">
        <v>63</v>
      </c>
      <c r="I27" s="1" t="s">
        <v>80</v>
      </c>
      <c r="J27" s="1"/>
      <c r="K27" s="1"/>
      <c r="L27" s="1"/>
      <c r="M27" s="1"/>
      <c r="N27" s="1"/>
      <c r="O27" s="1"/>
      <c r="P27" s="1"/>
      <c r="Q27" s="1"/>
      <c r="R27" s="1"/>
      <c r="S27" s="1"/>
      <c r="T27" s="1"/>
      <c r="U27" s="1"/>
    </row>
  </sheetData>
  <hyperlinks>
    <hyperlink ref="Q5" r:id="rId1" xr:uid="{00000000-0004-0000-0200-000000000000}"/>
  </hyperlinks>
  <pageMargins left="0.7" right="0.7" top="0.75" bottom="0.75" header="0.3" footer="0.3"/>
  <pageSetup paperSize="9" orientation="portrait" horizontalDpi="200" verticalDpi="20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7"/>
  </sheetPr>
  <dimension ref="A1:AA130"/>
  <sheetViews>
    <sheetView showGridLines="0" tabSelected="1" zoomScale="70" zoomScaleNormal="70" workbookViewId="0"/>
  </sheetViews>
  <sheetFormatPr defaultRowHeight="11.5" outlineLevelRow="1" x14ac:dyDescent="0.25"/>
  <cols>
    <col min="1" max="2" width="2.69921875" customWidth="1"/>
    <col min="3" max="3" width="20.09765625" customWidth="1"/>
    <col min="4" max="4" width="21.59765625" customWidth="1"/>
    <col min="5" max="5" width="28.19921875" customWidth="1"/>
    <col min="6" max="8" width="15.69921875" customWidth="1"/>
    <col min="9" max="9" width="2.69921875" customWidth="1"/>
    <col min="10" max="15" width="15.69921875" customWidth="1"/>
    <col min="16" max="16" width="2.69921875" customWidth="1"/>
    <col min="17" max="18" width="15.69921875" customWidth="1"/>
    <col min="19" max="19" width="2.69921875" customWidth="1"/>
    <col min="20" max="21" width="15.69921875" customWidth="1"/>
    <col min="22" max="22" width="2.69921875" customWidth="1"/>
    <col min="23" max="23" width="15.69921875" customWidth="1"/>
  </cols>
  <sheetData>
    <row r="1" spans="1:11" x14ac:dyDescent="0.25">
      <c r="A1" t="s">
        <v>81</v>
      </c>
    </row>
    <row r="3" spans="1:11" ht="20" x14ac:dyDescent="0.4">
      <c r="C3" s="57" t="s">
        <v>82</v>
      </c>
    </row>
    <row r="5" spans="1:11" hidden="1" outlineLevel="1" x14ac:dyDescent="0.25"/>
    <row r="6" spans="1:11" ht="15.5" hidden="1" outlineLevel="1" x14ac:dyDescent="0.35">
      <c r="C6" s="2" t="s">
        <v>83</v>
      </c>
      <c r="E6" s="41"/>
    </row>
    <row r="7" spans="1:11" hidden="1" outlineLevel="1" x14ac:dyDescent="0.25">
      <c r="B7" s="51"/>
      <c r="C7" s="40"/>
      <c r="D7" s="40"/>
      <c r="E7" s="40"/>
      <c r="F7" s="40"/>
      <c r="G7" s="40"/>
      <c r="H7" s="40"/>
      <c r="I7" s="40"/>
      <c r="J7" s="40"/>
      <c r="K7" s="52"/>
    </row>
    <row r="8" spans="1:11" hidden="1" outlineLevel="1" x14ac:dyDescent="0.25">
      <c r="B8" s="53"/>
      <c r="J8" s="28" t="s">
        <v>84</v>
      </c>
      <c r="K8" s="54"/>
    </row>
    <row r="9" spans="1:11" hidden="1" outlineLevel="1" x14ac:dyDescent="0.25">
      <c r="A9" s="59">
        <v>1</v>
      </c>
      <c r="B9" s="53"/>
      <c r="C9" t="str">
        <f>"Table "&amp;A9&amp;":  Calculation of maximum price ("&amp;'General inputs'!H42&amp;", $"&amp;'General inputs'!I40&amp;")"</f>
        <v>Table 1:  Calculation of maximum price ($, $2022-23)</v>
      </c>
      <c r="J9">
        <v>97.559677397661673</v>
      </c>
      <c r="K9" s="54"/>
    </row>
    <row r="10" spans="1:11" hidden="1" outlineLevel="1" x14ac:dyDescent="0.25">
      <c r="A10" s="76">
        <f>A9+1</f>
        <v>2</v>
      </c>
      <c r="B10" s="53"/>
      <c r="C10" t="str">
        <f>"Table "&amp;A10&amp;":  Key variables used in maximum price calculation ("&amp;'General inputs'!H42&amp;", $"&amp;'General inputs'!I40&amp;")"</f>
        <v>Table 2:  Key variables used in maximum price calculation ($, $2022-23)</v>
      </c>
      <c r="J10">
        <f>ROW(C26)</f>
        <v>26</v>
      </c>
      <c r="K10" s="54"/>
    </row>
    <row r="11" spans="1:11" hidden="1" outlineLevel="1" x14ac:dyDescent="0.25">
      <c r="A11" s="76">
        <f>A10+1</f>
        <v>3</v>
      </c>
      <c r="B11" s="53"/>
      <c r="C11" t="str">
        <f>"Table "&amp;A11&amp;":  Annual calculation over analysis horizon ("&amp;'General inputs'!H42&amp;", $"&amp;'General inputs'!I40&amp;")"</f>
        <v>Table 3:  Annual calculation over analysis horizon ($, $2022-23)</v>
      </c>
      <c r="J11">
        <f>ROW(C35)</f>
        <v>35</v>
      </c>
      <c r="K11" s="54"/>
    </row>
    <row r="12" spans="1:11" hidden="1" outlineLevel="1" x14ac:dyDescent="0.25">
      <c r="B12" s="55"/>
      <c r="C12" s="41"/>
      <c r="D12" s="41"/>
      <c r="E12" s="41"/>
      <c r="F12" s="41"/>
      <c r="G12" s="41"/>
      <c r="H12" s="41"/>
      <c r="I12" s="41"/>
      <c r="J12" s="41"/>
      <c r="K12" s="56"/>
    </row>
    <row r="13" spans="1:11" hidden="1" outlineLevel="1" x14ac:dyDescent="0.25">
      <c r="E13" s="40"/>
    </row>
    <row r="14" spans="1:11" hidden="1" outlineLevel="1" x14ac:dyDescent="0.25">
      <c r="B14" s="127" t="str">
        <f>"Note:  an input is required in "&amp;ADDRESS(ROW($G$22),COLUMN($G$22))&amp;" to incorporate the Headwork costs per ET into the maximum price."</f>
        <v>Note:  an input is required in $G$22 to incorporate the Headwork costs per ET into the maximum price.</v>
      </c>
    </row>
    <row r="15" spans="1:11" hidden="1" outlineLevel="1" x14ac:dyDescent="0.25">
      <c r="B15" s="127" t="str">
        <f>"Note:  an input is required in "&amp;ADDRESS(ROW($F$22),COLUMN($F$22))&amp;" to incorporate the Scheme cost allocation per ET into the maximum price."</f>
        <v>Note:  an input is required in $F$22 to incorporate the Scheme cost allocation per ET into the maximum price.</v>
      </c>
    </row>
    <row r="16" spans="1:11" collapsed="1" x14ac:dyDescent="0.25"/>
    <row r="17" spans="2:22" ht="18" x14ac:dyDescent="0.4">
      <c r="C17" s="75" t="str">
        <f>C9</f>
        <v>Table 1:  Calculation of maximum price ($, $2022-23)</v>
      </c>
      <c r="E17" s="41"/>
    </row>
    <row r="18" spans="2:22" x14ac:dyDescent="0.25">
      <c r="B18" s="51"/>
      <c r="C18" s="138"/>
      <c r="D18" s="125"/>
      <c r="E18" s="125"/>
      <c r="F18" s="138"/>
      <c r="G18" s="138"/>
      <c r="H18" s="138"/>
      <c r="I18" s="125"/>
      <c r="J18" s="138"/>
      <c r="K18" s="138"/>
      <c r="L18" s="40"/>
      <c r="M18" s="52"/>
    </row>
    <row r="19" spans="2:22" ht="46" x14ac:dyDescent="0.25">
      <c r="B19" s="53"/>
      <c r="C19" s="46" t="s">
        <v>85</v>
      </c>
      <c r="F19" s="145" t="s">
        <v>86</v>
      </c>
      <c r="G19" s="145" t="s">
        <v>87</v>
      </c>
      <c r="H19" s="144" t="s">
        <v>88</v>
      </c>
      <c r="I19" s="146"/>
      <c r="J19" s="144" t="s">
        <v>89</v>
      </c>
      <c r="K19" s="144" t="s">
        <v>90</v>
      </c>
      <c r="L19" s="144" t="s">
        <v>91</v>
      </c>
      <c r="M19" s="54"/>
    </row>
    <row r="20" spans="2:22" x14ac:dyDescent="0.25">
      <c r="B20" s="53"/>
      <c r="E20" s="6" t="s">
        <v>92</v>
      </c>
      <c r="H20" s="147">
        <f>K29</f>
        <v>186616413.86491585</v>
      </c>
      <c r="I20" s="149"/>
      <c r="J20" s="150">
        <f>M29</f>
        <v>543131356.98786819</v>
      </c>
      <c r="K20" s="150">
        <f>O29</f>
        <v>1876896166.1707175</v>
      </c>
      <c r="L20" s="147">
        <f>R29-U29</f>
        <v>704349064.88582885</v>
      </c>
      <c r="M20" s="54"/>
    </row>
    <row r="21" spans="2:22" x14ac:dyDescent="0.25">
      <c r="B21" s="53"/>
      <c r="E21" s="6" t="s">
        <v>93</v>
      </c>
      <c r="F21" s="41"/>
      <c r="H21" s="147">
        <f>F29</f>
        <v>481477.83425804763</v>
      </c>
      <c r="I21" s="149"/>
      <c r="J21" s="150">
        <f>G29</f>
        <v>522276.36770618596</v>
      </c>
      <c r="K21" s="150">
        <f>G29</f>
        <v>522276.36770618596</v>
      </c>
      <c r="L21" s="147">
        <f>H29</f>
        <v>158872.65605135963</v>
      </c>
      <c r="M21" s="54"/>
    </row>
    <row r="22" spans="2:22" ht="12" customHeight="1" x14ac:dyDescent="0.25">
      <c r="B22" s="53"/>
      <c r="C22" s="245">
        <f>IF(SUM(F22:K22,-L22)&lt;0,0,SUM(F22:K22,-L22))</f>
        <v>587.78662162950422</v>
      </c>
      <c r="E22" s="6" t="s">
        <v>94</v>
      </c>
      <c r="F22" s="148"/>
      <c r="G22" s="148"/>
      <c r="H22" s="246">
        <f>H20/H21</f>
        <v>387.59087249050583</v>
      </c>
      <c r="I22" s="247"/>
      <c r="J22" s="248">
        <f>J20/J21</f>
        <v>1039.9309457046206</v>
      </c>
      <c r="K22" s="248">
        <f>K20/K21</f>
        <v>3593.6838850548802</v>
      </c>
      <c r="L22" s="246">
        <f>L20/L21</f>
        <v>4433.4190816205028</v>
      </c>
      <c r="M22" s="54"/>
    </row>
    <row r="23" spans="2:22" x14ac:dyDescent="0.25">
      <c r="B23" s="55"/>
      <c r="C23" s="58"/>
      <c r="D23" s="41"/>
      <c r="E23" s="41"/>
      <c r="F23" s="41"/>
      <c r="G23" s="41"/>
      <c r="H23" s="41"/>
      <c r="I23" s="41"/>
      <c r="J23" s="41"/>
      <c r="K23" s="41"/>
      <c r="L23" s="41"/>
      <c r="M23" s="56"/>
    </row>
    <row r="24" spans="2:22" x14ac:dyDescent="0.25">
      <c r="E24" s="40"/>
    </row>
    <row r="25" spans="2:22" x14ac:dyDescent="0.25">
      <c r="C25" s="39"/>
      <c r="D25" s="50"/>
    </row>
    <row r="26" spans="2:22" ht="18" x14ac:dyDescent="0.4">
      <c r="C26" s="75" t="str">
        <f>C10</f>
        <v>Table 2:  Key variables used in maximum price calculation ($, $2022-23)</v>
      </c>
      <c r="D26" s="50"/>
    </row>
    <row r="27" spans="2:22" ht="18" x14ac:dyDescent="0.4">
      <c r="B27" s="51"/>
      <c r="C27" s="78"/>
      <c r="D27" s="79"/>
      <c r="E27" s="40"/>
      <c r="F27" s="40"/>
      <c r="G27" s="40"/>
      <c r="H27" s="40"/>
      <c r="I27" s="40"/>
      <c r="J27" s="40"/>
      <c r="K27" s="40"/>
      <c r="L27" s="40"/>
      <c r="M27" s="40"/>
      <c r="N27" s="40"/>
      <c r="O27" s="40"/>
      <c r="P27" s="40"/>
      <c r="Q27" s="40"/>
      <c r="R27" s="40"/>
      <c r="S27" s="40"/>
      <c r="T27" s="40"/>
      <c r="U27" s="40"/>
      <c r="V27" s="52"/>
    </row>
    <row r="28" spans="2:22" ht="92" x14ac:dyDescent="0.25">
      <c r="B28" s="53"/>
      <c r="E28" s="151" t="s">
        <v>95</v>
      </c>
      <c r="F28" s="151" t="s">
        <v>96</v>
      </c>
      <c r="G28" s="151" t="s">
        <v>97</v>
      </c>
      <c r="H28" s="151" t="s">
        <v>98</v>
      </c>
      <c r="I28" s="152"/>
      <c r="J28" s="152"/>
      <c r="K28" s="151" t="s">
        <v>99</v>
      </c>
      <c r="L28" s="152"/>
      <c r="M28" s="151" t="s">
        <v>100</v>
      </c>
      <c r="N28" s="152"/>
      <c r="O28" s="151" t="s">
        <v>101</v>
      </c>
      <c r="P28" s="152"/>
      <c r="Q28" s="152"/>
      <c r="R28" s="151" t="s">
        <v>102</v>
      </c>
      <c r="U28" s="151" t="s">
        <v>103</v>
      </c>
      <c r="V28" s="54"/>
    </row>
    <row r="29" spans="2:22" x14ac:dyDescent="0.25">
      <c r="B29" s="53"/>
      <c r="E29" s="137">
        <f>SUM(E39:E129)</f>
        <v>456931.04247380374</v>
      </c>
      <c r="F29" s="80">
        <f t="shared" ref="F29:H29" si="0">SUM(F39:F129)</f>
        <v>481477.83425804763</v>
      </c>
      <c r="G29" s="80">
        <f t="shared" si="0"/>
        <v>522276.36770618596</v>
      </c>
      <c r="H29" s="77">
        <f t="shared" si="0"/>
        <v>158872.65605135963</v>
      </c>
      <c r="K29" s="80">
        <f>K39</f>
        <v>186616413.86491585</v>
      </c>
      <c r="M29" s="80">
        <f>SUM(M39:M129)</f>
        <v>543131356.98786819</v>
      </c>
      <c r="O29" s="80">
        <f>SUM(O39:O129)</f>
        <v>1876896166.1707175</v>
      </c>
      <c r="R29" s="80">
        <f>SUM(R39:R129)</f>
        <v>892050971.43282437</v>
      </c>
      <c r="U29" s="80">
        <f>SUM(U39:U129)</f>
        <v>187701906.54699549</v>
      </c>
      <c r="V29" s="54"/>
    </row>
    <row r="30" spans="2:22" x14ac:dyDescent="0.25">
      <c r="B30" s="55"/>
      <c r="C30" s="41"/>
      <c r="D30" s="41"/>
      <c r="E30" s="41"/>
      <c r="F30" s="41"/>
      <c r="G30" s="41"/>
      <c r="H30" s="41"/>
      <c r="I30" s="41"/>
      <c r="J30" s="41"/>
      <c r="K30" s="41"/>
      <c r="L30" s="41"/>
      <c r="M30" s="41"/>
      <c r="N30" s="41"/>
      <c r="O30" s="41"/>
      <c r="P30" s="41"/>
      <c r="Q30" s="41"/>
      <c r="R30" s="41"/>
      <c r="S30" s="41"/>
      <c r="T30" s="41"/>
      <c r="U30" s="41"/>
      <c r="V30" s="56"/>
    </row>
    <row r="32" spans="2:22" x14ac:dyDescent="0.25">
      <c r="K32" s="36" t="s">
        <v>104</v>
      </c>
    </row>
    <row r="33" spans="2:27" x14ac:dyDescent="0.25">
      <c r="B33" s="127"/>
      <c r="J33" t="s">
        <v>105</v>
      </c>
      <c r="K33" s="215">
        <v>3.7999999999999999E-2</v>
      </c>
      <c r="L33" t="s">
        <v>106</v>
      </c>
    </row>
    <row r="34" spans="2:27" x14ac:dyDescent="0.25">
      <c r="J34" t="s">
        <v>107</v>
      </c>
      <c r="K34" s="215">
        <v>6.0999999999999999E-2</v>
      </c>
      <c r="L34" t="s">
        <v>106</v>
      </c>
    </row>
    <row r="35" spans="2:27" ht="18" x14ac:dyDescent="0.4">
      <c r="C35" s="75" t="str">
        <f>C11</f>
        <v>Table 3:  Annual calculation over analysis horizon ($, $2022-23)</v>
      </c>
      <c r="D35" s="139"/>
      <c r="E35" s="139"/>
      <c r="F35" s="139"/>
      <c r="G35" s="139"/>
      <c r="H35" s="139"/>
      <c r="I35" s="139"/>
      <c r="J35" t="s">
        <v>108</v>
      </c>
      <c r="K35" s="231">
        <v>0.06</v>
      </c>
      <c r="L35" s="139" t="s">
        <v>106</v>
      </c>
      <c r="M35" s="1"/>
      <c r="N35" s="139"/>
      <c r="O35" s="139"/>
      <c r="P35" s="1"/>
      <c r="Q35" s="139"/>
      <c r="R35" s="139"/>
      <c r="S35" s="1"/>
      <c r="T35" s="139"/>
      <c r="U35" s="139"/>
    </row>
    <row r="36" spans="2:27" ht="18" x14ac:dyDescent="0.4">
      <c r="B36" s="51"/>
      <c r="C36" s="78"/>
      <c r="D36" s="138"/>
      <c r="E36" s="138"/>
      <c r="F36" s="138"/>
      <c r="G36" s="138"/>
      <c r="H36" s="138"/>
      <c r="I36" s="138"/>
      <c r="J36" s="138"/>
      <c r="K36" s="40"/>
      <c r="L36" s="138"/>
      <c r="M36" s="40"/>
      <c r="N36" s="40"/>
      <c r="O36" s="40"/>
      <c r="P36" s="40"/>
      <c r="Q36" s="140"/>
      <c r="R36" s="125"/>
      <c r="S36" s="40"/>
      <c r="T36" s="140"/>
      <c r="U36" s="40"/>
      <c r="V36" s="52"/>
    </row>
    <row r="37" spans="2:27" ht="18" x14ac:dyDescent="0.4">
      <c r="B37" s="53"/>
      <c r="C37" s="75"/>
      <c r="D37" s="139"/>
      <c r="E37" s="142" t="s">
        <v>109</v>
      </c>
      <c r="F37" s="139"/>
      <c r="G37" s="139"/>
      <c r="H37" s="139"/>
      <c r="I37" s="139"/>
      <c r="J37" s="142" t="s">
        <v>110</v>
      </c>
      <c r="L37" s="241"/>
      <c r="Q37" s="142" t="s">
        <v>111</v>
      </c>
      <c r="R37" s="126"/>
      <c r="T37" s="142" t="s">
        <v>112</v>
      </c>
      <c r="V37" s="54"/>
    </row>
    <row r="38" spans="2:27" ht="82" x14ac:dyDescent="0.4">
      <c r="B38" s="53"/>
      <c r="C38" s="75"/>
      <c r="D38" s="158" t="s">
        <v>113</v>
      </c>
      <c r="E38" s="141" t="s">
        <v>114</v>
      </c>
      <c r="F38" s="141" t="s">
        <v>115</v>
      </c>
      <c r="G38" s="141" t="s">
        <v>116</v>
      </c>
      <c r="H38" s="24" t="s">
        <v>117</v>
      </c>
      <c r="I38" s="36"/>
      <c r="J38" s="24" t="s">
        <v>118</v>
      </c>
      <c r="K38" s="141" t="s">
        <v>119</v>
      </c>
      <c r="L38" s="24" t="s">
        <v>120</v>
      </c>
      <c r="M38" s="24" t="s">
        <v>121</v>
      </c>
      <c r="N38" s="24" t="s">
        <v>122</v>
      </c>
      <c r="O38" s="24" t="s">
        <v>123</v>
      </c>
      <c r="P38" s="36"/>
      <c r="Q38" s="24" t="s">
        <v>124</v>
      </c>
      <c r="R38" s="24" t="s">
        <v>125</v>
      </c>
      <c r="S38" s="143"/>
      <c r="T38" s="24" t="s">
        <v>126</v>
      </c>
      <c r="U38" s="24" t="s">
        <v>127</v>
      </c>
      <c r="V38" s="54"/>
    </row>
    <row r="39" spans="2:27" ht="12" thickBot="1" x14ac:dyDescent="0.3">
      <c r="B39" s="53"/>
      <c r="C39" s="28">
        <f>IF(D39='General inputs'!$I$16,0,IF(D39&lt;'General inputs'!$I$16,C40-1,C38+1))</f>
        <v>-27</v>
      </c>
      <c r="D39" s="159" t="str">
        <f>RIGHT(YEAR('General inputs'!$H$24),4)&amp;"-"&amp;RIGHT(YEAR('General inputs'!H24),2)+1</f>
        <v>1995-96</v>
      </c>
      <c r="E39" s="82">
        <f>IF(LEFT(D39,4)*1&gt;LEFT('General inputs'!$I$16,4)+'General inputs'!$H$38-1,"",'ET inputs'!D12)</f>
        <v>2440.3399545970487</v>
      </c>
      <c r="F39" s="82">
        <f>IF(LEFT(D39,4)*1&gt;LEFT('General inputs'!$I$16,4)+'General inputs'!$H$38-1,"",E39/(1+'General inputs'!$H$30)^C39)</f>
        <v>5420.7003109999969</v>
      </c>
      <c r="G39" s="82">
        <f>IF(LEFT(D39,4)*1&gt;LEFT('General inputs'!$I$16,4)+'General inputs'!$H$38-1,"",E39/(1+'General inputs'!$H$32)^C39)</f>
        <v>7411.0329214191315</v>
      </c>
      <c r="H39" s="81" t="str">
        <f>IF(LEFT(D39,4)*1&lt;LEFT('General inputs'!$I$16,4)*1,"",IF(LEFT(D39,4)*1&gt;LEFT('General inputs'!$I$16,4)+'General inputs'!$H$38-1,"",E39/(1+'General inputs'!$H$34)^C39))</f>
        <v/>
      </c>
      <c r="J39" s="82">
        <f>'Pre-1996 assets'!P793*(1+$K$34)*(1+$K$35)</f>
        <v>84012667.148197383</v>
      </c>
      <c r="K39" s="82">
        <f>J39/(1+'General inputs'!$H$30)^C39</f>
        <v>186616413.86491585</v>
      </c>
      <c r="L39" s="160">
        <f>IF(LEFT(D39,4)*1&gt;LEFT('General inputs'!$I$18,4)*1,"",SUMIF('Post-1996 commissioned assets'!$F$22:$F$435,$D39,'Post-1996 commissioned assets'!$P$22:$P$435)*(1+$K$34)*(1+$K$35))</f>
        <v>98236622.462298229</v>
      </c>
      <c r="M39" s="160">
        <f>IF(L39="","",L39/(1+'General inputs'!$H$32)^C39)</f>
        <v>298333370.22805423</v>
      </c>
      <c r="N39" s="82" t="str">
        <f>IF(LEFT(D39,4)*1&lt;LEFT('General inputs'!$I$18,4)*1+1,"",SUMIF('Uncommissioned assets'!$F$22:$F$1478,$D39,'Uncommissioned assets'!$P$22:$P$1478))</f>
        <v/>
      </c>
      <c r="O39" s="82" t="str">
        <f>IF(N39="","",N39/(1+'General inputs'!$H$32)^C39)</f>
        <v/>
      </c>
      <c r="Q39" s="38"/>
      <c r="R39" s="81" t="str">
        <f>IF(OR(LEFT(D39,4)*1&lt;LEFT('General inputs'!$I$16,4)*1,LEFT(D39,4)*1&gt;LEFT('General inputs'!$I$16,4)+'General inputs'!$H$38-1),"",Q39/(1+'General inputs'!$H$34)^C39)</f>
        <v/>
      </c>
      <c r="T39" s="38"/>
      <c r="U39" s="81" t="str">
        <f>IF(OR(LEFT(D39,4)*1&lt;LEFT('General inputs'!$I$16,4)*1,LEFT(D39,4)*1&gt;LEFT('General inputs'!$I$16,4)+'General inputs'!$H$38-1),"",T39/(1+'General inputs'!$H$34)^C39)</f>
        <v/>
      </c>
      <c r="V39" s="54"/>
      <c r="X39" s="49"/>
      <c r="Y39" s="49"/>
      <c r="Z39" s="49"/>
      <c r="AA39" s="49"/>
    </row>
    <row r="40" spans="2:27" ht="12" thickTop="1" x14ac:dyDescent="0.25">
      <c r="B40" s="53"/>
      <c r="C40" s="28">
        <f>IF(D40='General inputs'!$I$16,0,IF(D40&lt;'General inputs'!$I$16,C41-1,C39+1))</f>
        <v>-26</v>
      </c>
      <c r="D40" s="28" t="str">
        <f>LEFT(D39,4)+1&amp;"-"&amp;RIGHT(D39,2)+1</f>
        <v>1996-97</v>
      </c>
      <c r="E40" s="81">
        <f>IF(LEFT(D40,4)*1&gt;LEFT('General inputs'!$I$16,4)+'General inputs'!$H$38-1,"",'ET inputs'!D13)</f>
        <v>9622.1749129288164</v>
      </c>
      <c r="F40" s="81">
        <f>IF(LEFT(D40,4)*1&gt;LEFT('General inputs'!$I$16,4)+'General inputs'!$H$38-1,"",E40/(1+'General inputs'!$H$30)^C40)</f>
        <v>20751.098392001699</v>
      </c>
      <c r="G40" s="81">
        <f>IF(LEFT(D40,4)*1&gt;LEFT('General inputs'!$I$16,4)+'General inputs'!$H$38-1,"",E40/(1+'General inputs'!$H$32)^C40)</f>
        <v>28043.611391816092</v>
      </c>
      <c r="H40" s="81" t="str">
        <f>IF(LEFT(D40,4)*1&lt;LEFT('General inputs'!$I$16,4)*1,"",IF(LEFT(D40,4)*1&gt;LEFT('General inputs'!$I$16,4)+'General inputs'!$H$38-1,"",E40/(1+'General inputs'!$H$34)^C40))</f>
        <v/>
      </c>
      <c r="J40" s="109"/>
      <c r="K40" s="109"/>
      <c r="L40" s="81">
        <f>IF(LEFT(D40,4)*1&gt;LEFT('General inputs'!$I$18,4)*1,"",SUMIF('Post-1996 commissioned assets'!$F$22:$F$435,$D40,'Post-1996 commissioned assets'!$P$22:$P$435)*(1+$K$34)*(1+$K$35))</f>
        <v>0</v>
      </c>
      <c r="M40" s="81">
        <f>IF(L40="","",L40/(1+'General inputs'!$H$32)^C40)</f>
        <v>0</v>
      </c>
      <c r="N40" s="81" t="str">
        <f>IF(LEFT(D40,4)*1&lt;LEFT('General inputs'!$I$18,4)*1+1,"",SUMIF('Uncommissioned assets'!$F$22:$F$1478,$D40,'Uncommissioned assets'!$P$22:$P$1478))</f>
        <v/>
      </c>
      <c r="O40" s="81" t="str">
        <f>IF(N40="","",N40/(1+'General inputs'!$H$32)^C40)</f>
        <v/>
      </c>
      <c r="Q40" s="38"/>
      <c r="R40" s="81" t="str">
        <f>IF(OR(LEFT(D40,4)*1&lt;LEFT('General inputs'!$I$16,4)*1,LEFT(D40,4)*1&gt;LEFT('General inputs'!$I$16,4)+'General inputs'!$H$38-1),"",Q40/(1+'General inputs'!$H$34)^C40)</f>
        <v/>
      </c>
      <c r="T40" s="38"/>
      <c r="U40" s="81" t="str">
        <f>IF(OR(LEFT(D40,4)*1&lt;LEFT('General inputs'!$I$16,4)*1,LEFT(D40,4)*1&gt;LEFT('General inputs'!$I$16,4)+'General inputs'!$H$38-1),"",T40/(1+'General inputs'!$H$34)^C40)</f>
        <v/>
      </c>
      <c r="V40" s="54"/>
    </row>
    <row r="41" spans="2:27" x14ac:dyDescent="0.25">
      <c r="B41" s="53"/>
      <c r="C41" s="28">
        <f>IF(D41='General inputs'!$I$16,0,IF(D41&lt;'General inputs'!$I$16,C42-1,C40+1))</f>
        <v>-25</v>
      </c>
      <c r="D41" s="28" t="str">
        <f t="shared" ref="D41:D99" si="1">LEFT(D40,4)+1&amp;"-"&amp;RIGHT(D40,2)+1</f>
        <v>1997-98</v>
      </c>
      <c r="E41" s="81">
        <f>IF(LEFT(D41,4)*1&gt;LEFT('General inputs'!$I$16,4)+'General inputs'!$H$38-1,"",'ET inputs'!D14)</f>
        <v>12879.577240769388</v>
      </c>
      <c r="F41" s="81">
        <f>IF(LEFT(D41,4)*1&gt;LEFT('General inputs'!$I$16,4)+'General inputs'!$H$38-1,"",E41/(1+'General inputs'!$H$30)^C41)</f>
        <v>26966.97456999966</v>
      </c>
      <c r="G41" s="81">
        <f>IF(LEFT(D41,4)*1&gt;LEFT('General inputs'!$I$16,4)+'General inputs'!$H$38-1,"",E41/(1+'General inputs'!$H$32)^C41)</f>
        <v>36024.219656865687</v>
      </c>
      <c r="H41" s="81" t="str">
        <f>IF(LEFT(D41,4)*1&lt;LEFT('General inputs'!$I$16,4)*1,"",IF(LEFT(D41,4)*1&gt;LEFT('General inputs'!$I$16,4)+'General inputs'!$H$38-1,"",E41/(1+'General inputs'!$H$34)^C41))</f>
        <v/>
      </c>
      <c r="J41" s="109"/>
      <c r="K41" s="109"/>
      <c r="L41" s="81">
        <f>IF(LEFT(D41,4)*1&gt;LEFT('General inputs'!$I$18,4)*1,"",SUMIF('Post-1996 commissioned assets'!$F$22:$F$435,$D41,'Post-1996 commissioned assets'!$P$22:$P$435)*(1+$K$34)*(1+$K$35))</f>
        <v>242155.93109573319</v>
      </c>
      <c r="M41" s="81">
        <f>IF(L41="","",L41/(1+'General inputs'!$H$32)^C41)</f>
        <v>677310.93109112093</v>
      </c>
      <c r="N41" s="81" t="str">
        <f>IF(LEFT(D41,4)*1&lt;LEFT('General inputs'!$I$18,4)*1+1,"",SUMIF('Uncommissioned assets'!$F$22:$F$1478,$D41,'Uncommissioned assets'!$P$22:$P$1478))</f>
        <v/>
      </c>
      <c r="O41" s="81" t="str">
        <f>IF(N41="","",N41/(1+'General inputs'!$H$32)^C41)</f>
        <v/>
      </c>
      <c r="Q41" s="38"/>
      <c r="R41" s="81" t="str">
        <f>IF(OR(LEFT(D41,4)*1&lt;LEFT('General inputs'!$I$16,4)*1,LEFT(D41,4)*1&gt;LEFT('General inputs'!$I$16,4)+'General inputs'!$H$38-1),"",Q41/(1+'General inputs'!$H$34)^C41)</f>
        <v/>
      </c>
      <c r="T41" s="38"/>
      <c r="U41" s="81" t="str">
        <f>IF(OR(LEFT(D41,4)*1&lt;LEFT('General inputs'!$I$16,4)*1,LEFT(D41,4)*1&gt;LEFT('General inputs'!$I$16,4)+'General inputs'!$H$38-1),"",T41/(1+'General inputs'!$H$34)^C41)</f>
        <v/>
      </c>
      <c r="V41" s="54"/>
      <c r="X41" s="37"/>
      <c r="Y41" s="37"/>
      <c r="Z41" s="37"/>
    </row>
    <row r="42" spans="2:27" ht="12" thickBot="1" x14ac:dyDescent="0.3">
      <c r="B42" s="53"/>
      <c r="C42" s="28">
        <f>IF(D42='General inputs'!$I$16,0,IF(D42&lt;'General inputs'!$I$16,C43-1,C41+1))</f>
        <v>-24</v>
      </c>
      <c r="D42" s="83" t="str">
        <f t="shared" si="1"/>
        <v>1998-99</v>
      </c>
      <c r="E42" s="81">
        <f>IF(LEFT(D42,4)*1&gt;LEFT('General inputs'!$I$16,4)+'General inputs'!$H$38-1,"",'ET inputs'!D15)</f>
        <v>4050.5300794551649</v>
      </c>
      <c r="F42" s="81">
        <f>IF(LEFT(D42,4)*1&gt;LEFT('General inputs'!$I$16,4)+'General inputs'!$H$38-1,"",E42/(1+'General inputs'!$H$30)^C42)</f>
        <v>8233.8936735570423</v>
      </c>
      <c r="G42" s="81">
        <f>IF(LEFT(D42,4)*1&gt;LEFT('General inputs'!$I$16,4)+'General inputs'!$H$38-1,"",E42/(1+'General inputs'!$H$32)^C42)</f>
        <v>10872.692780142461</v>
      </c>
      <c r="H42" s="81" t="str">
        <f>IF(LEFT(D42,4)*1&lt;LEFT('General inputs'!$I$16,4)*1,"",IF(LEFT(D42,4)*1&gt;LEFT('General inputs'!$I$16,4)+'General inputs'!$H$38-1,"",E42/(1+'General inputs'!$H$34)^C42))</f>
        <v/>
      </c>
      <c r="J42" s="109"/>
      <c r="K42" s="109"/>
      <c r="L42" s="81">
        <f>IF(LEFT(D42,4)*1&gt;LEFT('General inputs'!$I$18,4)*1,"",SUMIF('Post-1996 commissioned assets'!$F$22:$F$435,$D42,'Post-1996 commissioned assets'!$P$22:$P$435)*(1+$K$34)*(1+$K$35))</f>
        <v>75383.916890264853</v>
      </c>
      <c r="M42" s="81">
        <f>IF(L42="","",L42/(1+'General inputs'!$H$32)^C42)</f>
        <v>202350.34744437438</v>
      </c>
      <c r="N42" s="81" t="str">
        <f>IF(LEFT(D42,4)*1&lt;LEFT('General inputs'!$I$18,4)*1+1,"",SUMIF('Uncommissioned assets'!$F$22:$F$1478,$D42,'Uncommissioned assets'!$P$22:$P$1478))</f>
        <v/>
      </c>
      <c r="O42" s="81" t="str">
        <f>IF(N42="","",N42/(1+'General inputs'!$H$32)^C42)</f>
        <v/>
      </c>
      <c r="Q42" s="38"/>
      <c r="R42" s="81" t="str">
        <f>IF(OR(LEFT(D42,4)*1&lt;LEFT('General inputs'!$I$16,4)*1,LEFT(D42,4)*1&gt;LEFT('General inputs'!$I$16,4)+'General inputs'!$H$38-1),"",Q42/(1+'General inputs'!$H$34)^C42)</f>
        <v/>
      </c>
      <c r="T42" s="38"/>
      <c r="U42" s="81" t="str">
        <f>IF(OR(LEFT(D42,4)*1&lt;LEFT('General inputs'!$I$16,4)*1,LEFT(D42,4)*1&gt;LEFT('General inputs'!$I$16,4)+'General inputs'!$H$38-1),"",T42/(1+'General inputs'!$H$34)^C42)</f>
        <v/>
      </c>
      <c r="V42" s="54"/>
      <c r="X42" s="37"/>
      <c r="Y42" s="37"/>
      <c r="Z42" s="37"/>
    </row>
    <row r="43" spans="2:27" ht="12.5" thickTop="1" thickBot="1" x14ac:dyDescent="0.3">
      <c r="B43" s="53"/>
      <c r="C43" s="28">
        <f>IF(D43='General inputs'!$I$16,0,IF(D43&lt;'General inputs'!$I$16,C44-1,C42+1))</f>
        <v>-23</v>
      </c>
      <c r="D43" s="84" t="str">
        <f>LEFT(D42,4)+1&amp;"-00"</f>
        <v>1999-00</v>
      </c>
      <c r="E43" s="81">
        <f>IF(LEFT(D43,4)*1&gt;LEFT('General inputs'!$I$16,4)+'General inputs'!$H$38-1,"",'ET inputs'!D16)</f>
        <v>7612.517554404023</v>
      </c>
      <c r="F43" s="81">
        <f>IF(LEFT(D43,4)*1&gt;LEFT('General inputs'!$I$16,4)+'General inputs'!$H$38-1,"",E43/(1+'General inputs'!$H$30)^C43)</f>
        <v>15023.961961086263</v>
      </c>
      <c r="G43" s="81">
        <f>IF(LEFT(D43,4)*1&gt;LEFT('General inputs'!$I$16,4)+'General inputs'!$H$38-1,"",E43/(1+'General inputs'!$H$32)^C43)</f>
        <v>19610.372504104107</v>
      </c>
      <c r="H43" s="81" t="str">
        <f>IF(LEFT(D43,4)*1&lt;LEFT('General inputs'!$I$16,4)*1,"",IF(LEFT(D43,4)*1&gt;LEFT('General inputs'!$I$16,4)+'General inputs'!$H$38-1,"",E43/(1+'General inputs'!$H$34)^C43))</f>
        <v/>
      </c>
      <c r="J43" s="109"/>
      <c r="K43" s="109"/>
      <c r="L43" s="81">
        <f>IF(LEFT(D43,4)*1&gt;LEFT('General inputs'!$I$18,4)*1,"",SUMIF('Post-1996 commissioned assets'!$F$22:$F$435,$D43,'Post-1996 commissioned assets'!$P$22:$P$435)*(1+$K$34)*(1+$K$35))</f>
        <v>71086938.735458463</v>
      </c>
      <c r="M43" s="81">
        <f>IF(L43="","",L43/(1+'General inputs'!$H$32)^C43)</f>
        <v>183124878.04672208</v>
      </c>
      <c r="N43" s="81" t="str">
        <f>IF(LEFT(D43,4)*1&lt;LEFT('General inputs'!$I$18,4)*1+1,"",SUMIF('Uncommissioned assets'!$F$22:$F$1478,$D43,'Uncommissioned assets'!$P$22:$P$1478))</f>
        <v/>
      </c>
      <c r="O43" s="81" t="str">
        <f>IF(N43="","",N43/(1+'General inputs'!$H$32)^C43)</f>
        <v/>
      </c>
      <c r="Q43" s="38"/>
      <c r="R43" s="81" t="str">
        <f>IF(OR(LEFT(D43,4)*1&lt;LEFT('General inputs'!$I$16,4)*1,LEFT(D43,4)*1&gt;LEFT('General inputs'!$I$16,4)+'General inputs'!$H$38-1),"",Q43/(1+'General inputs'!$H$34)^C43)</f>
        <v/>
      </c>
      <c r="T43" s="38"/>
      <c r="U43" s="81" t="str">
        <f>IF(OR(LEFT(D43,4)*1&lt;LEFT('General inputs'!$I$16,4)*1,LEFT(D43,4)*1&gt;LEFT('General inputs'!$I$16,4)+'General inputs'!$H$38-1),"",T43/(1+'General inputs'!$H$34)^C43)</f>
        <v/>
      </c>
      <c r="V43" s="54"/>
      <c r="X43" s="37"/>
      <c r="Y43" s="37"/>
      <c r="Z43" s="37"/>
    </row>
    <row r="44" spans="2:27" ht="12" thickTop="1" x14ac:dyDescent="0.25">
      <c r="B44" s="53"/>
      <c r="C44" s="28">
        <f>IF(D44='General inputs'!$I$16,0,IF(D44&lt;'General inputs'!$I$16,C45-1,C43+1))</f>
        <v>-22</v>
      </c>
      <c r="D44" s="85" t="str">
        <f>LEFT(D43,4)+1&amp;"-0"&amp;RIGHT(D43,2)+1</f>
        <v>2000-01</v>
      </c>
      <c r="E44" s="81">
        <f>IF(LEFT(D44,4)*1&gt;LEFT('General inputs'!$I$16,4)+'General inputs'!$H$38-1,"",'ET inputs'!D17)</f>
        <v>11359.663119763583</v>
      </c>
      <c r="F44" s="81">
        <f>IF(LEFT(D44,4)*1&gt;LEFT('General inputs'!$I$16,4)+'General inputs'!$H$38-1,"",E44/(1+'General inputs'!$H$30)^C44)</f>
        <v>21766.289227289089</v>
      </c>
      <c r="G44" s="81">
        <f>IF(LEFT(D44,4)*1&gt;LEFT('General inputs'!$I$16,4)+'General inputs'!$H$38-1,"",E44/(1+'General inputs'!$H$32)^C44)</f>
        <v>28083.761063292353</v>
      </c>
      <c r="H44" s="81" t="str">
        <f>IF(LEFT(D44,4)*1&lt;LEFT('General inputs'!$I$16,4)*1,"",IF(LEFT(D44,4)*1&gt;LEFT('General inputs'!$I$16,4)+'General inputs'!$H$38-1,"",E44/(1+'General inputs'!$H$34)^C44))</f>
        <v/>
      </c>
      <c r="J44" s="109"/>
      <c r="K44" s="109"/>
      <c r="L44" s="81">
        <f>IF(LEFT(D44,4)*1&gt;LEFT('General inputs'!$I$18,4)*1,"",SUMIF('Post-1996 commissioned assets'!$F$22:$F$435,$D44,'Post-1996 commissioned assets'!$P$22:$P$435)*(1+$K$34)*(1+$K$35))</f>
        <v>1467349.9195873481</v>
      </c>
      <c r="M44" s="81">
        <f>IF(L44="","",L44/(1+'General inputs'!$H$32)^C44)</f>
        <v>3627634.3852343014</v>
      </c>
      <c r="N44" s="81" t="str">
        <f>IF(LEFT(D44,4)*1&lt;LEFT('General inputs'!$I$18,4)*1+1,"",SUMIF('Uncommissioned assets'!$F$22:$F$1478,$D44,'Uncommissioned assets'!$P$22:$P$1478))</f>
        <v/>
      </c>
      <c r="O44" s="81" t="str">
        <f>IF(N44="","",N44/(1+'General inputs'!$H$32)^C44)</f>
        <v/>
      </c>
      <c r="Q44" s="38"/>
      <c r="R44" s="81" t="str">
        <f>IF(OR(LEFT(D44,4)*1&lt;LEFT('General inputs'!$I$16,4)*1,LEFT(D44,4)*1&gt;LEFT('General inputs'!$I$16,4)+'General inputs'!$H$38-1),"",Q44/(1+'General inputs'!$H$34)^C44)</f>
        <v/>
      </c>
      <c r="T44" s="38"/>
      <c r="U44" s="81" t="str">
        <f>IF(OR(LEFT(D44,4)*1&lt;LEFT('General inputs'!$I$16,4)*1,LEFT(D44,4)*1&gt;LEFT('General inputs'!$I$16,4)+'General inputs'!$H$38-1),"",T44/(1+'General inputs'!$H$34)^C44)</f>
        <v/>
      </c>
      <c r="V44" s="54"/>
      <c r="X44" s="37"/>
      <c r="Y44" s="37"/>
      <c r="Z44" s="37"/>
    </row>
    <row r="45" spans="2:27" x14ac:dyDescent="0.25">
      <c r="B45" s="53"/>
      <c r="C45" s="28">
        <f>IF(D45='General inputs'!$I$16,0,IF(D45&lt;'General inputs'!$I$16,C46-1,C44+1))</f>
        <v>-21</v>
      </c>
      <c r="D45" s="28" t="str">
        <f t="shared" ref="D45:D52" si="2">LEFT(D44,4)+1&amp;"-0"&amp;RIGHT(D44,2)+1</f>
        <v>2001-02</v>
      </c>
      <c r="E45" s="81">
        <f>IF(LEFT(D45,4)*1&gt;LEFT('General inputs'!$I$16,4)+'General inputs'!$H$38-1,"",'ET inputs'!D18)</f>
        <v>4755.7451759364358</v>
      </c>
      <c r="F45" s="81">
        <f>IF(LEFT(D45,4)*1&gt;LEFT('General inputs'!$I$16,4)+'General inputs'!$H$38-1,"",E45/(1+'General inputs'!$H$30)^C45)</f>
        <v>8847.0869352281716</v>
      </c>
      <c r="G45" s="81">
        <f>IF(LEFT(D45,4)*1&gt;LEFT('General inputs'!$I$16,4)+'General inputs'!$H$38-1,"",E45/(1+'General inputs'!$H$32)^C45)</f>
        <v>11283.417926669981</v>
      </c>
      <c r="H45" s="81" t="str">
        <f>IF(LEFT(D45,4)*1&lt;LEFT('General inputs'!$I$16,4)*1,"",IF(LEFT(D45,4)*1&gt;LEFT('General inputs'!$I$16,4)+'General inputs'!$H$38-1,"",E45/(1+'General inputs'!$H$34)^C45))</f>
        <v/>
      </c>
      <c r="J45" s="109"/>
      <c r="K45" s="109"/>
      <c r="L45" s="81">
        <f>IF(LEFT(D45,4)*1&gt;LEFT('General inputs'!$I$18,4)*1,"",SUMIF('Post-1996 commissioned assets'!$F$22:$F$435,$D45,'Post-1996 commissioned assets'!$P$22:$P$435)*(1+$K$34)*(1+$K$35))</f>
        <v>1046538.5877537811</v>
      </c>
      <c r="M45" s="81">
        <f>IF(L45="","",L45/(1+'General inputs'!$H$32)^C45)</f>
        <v>2483003.5725553203</v>
      </c>
      <c r="N45" s="81" t="str">
        <f>IF(LEFT(D45,4)*1&lt;LEFT('General inputs'!$I$18,4)*1+1,"",SUMIF('Uncommissioned assets'!$F$22:$F$1478,$D45,'Uncommissioned assets'!$P$22:$P$1478))</f>
        <v/>
      </c>
      <c r="O45" s="81" t="str">
        <f>IF(N45="","",N45/(1+'General inputs'!$H$32)^C45)</f>
        <v/>
      </c>
      <c r="Q45" s="38"/>
      <c r="R45" s="81" t="str">
        <f>IF(OR(LEFT(D45,4)*1&lt;LEFT('General inputs'!$I$16,4)*1,LEFT(D45,4)*1&gt;LEFT('General inputs'!$I$16,4)+'General inputs'!$H$38-1),"",Q45/(1+'General inputs'!$H$34)^C45)</f>
        <v/>
      </c>
      <c r="T45" s="38"/>
      <c r="U45" s="81" t="str">
        <f>IF(OR(LEFT(D45,4)*1&lt;LEFT('General inputs'!$I$16,4)*1,LEFT(D45,4)*1&gt;LEFT('General inputs'!$I$16,4)+'General inputs'!$H$38-1),"",T45/(1+'General inputs'!$H$34)^C45)</f>
        <v/>
      </c>
      <c r="V45" s="54"/>
      <c r="X45" s="37"/>
      <c r="Y45" s="37"/>
      <c r="Z45" s="37"/>
    </row>
    <row r="46" spans="2:27" x14ac:dyDescent="0.25">
      <c r="B46" s="53"/>
      <c r="C46" s="28">
        <f>IF(D46='General inputs'!$I$16,0,IF(D46&lt;'General inputs'!$I$16,C47-1,C45+1))</f>
        <v>-20</v>
      </c>
      <c r="D46" s="28" t="str">
        <f t="shared" si="2"/>
        <v>2002-03</v>
      </c>
      <c r="E46" s="81">
        <f>IF(LEFT(D46,4)*1&gt;LEFT('General inputs'!$I$16,4)+'General inputs'!$H$38-1,"",'ET inputs'!D19)</f>
        <v>23684.015766563614</v>
      </c>
      <c r="F46" s="81">
        <f>IF(LEFT(D46,4)*1&gt;LEFT('General inputs'!$I$16,4)+'General inputs'!$H$38-1,"",E46/(1+'General inputs'!$H$30)^C46)</f>
        <v>42775.966958078061</v>
      </c>
      <c r="G46" s="81">
        <f>IF(LEFT(D46,4)*1&gt;LEFT('General inputs'!$I$16,4)+'General inputs'!$H$38-1,"",E46/(1+'General inputs'!$H$32)^C46)</f>
        <v>53927.429630663159</v>
      </c>
      <c r="H46" s="81" t="str">
        <f>IF(LEFT(D46,4)*1&lt;LEFT('General inputs'!$I$16,4)*1,"",IF(LEFT(D46,4)*1&gt;LEFT('General inputs'!$I$16,4)+'General inputs'!$H$38-1,"",E46/(1+'General inputs'!$H$34)^C46))</f>
        <v/>
      </c>
      <c r="J46" s="109"/>
      <c r="K46" s="109"/>
      <c r="L46" s="81">
        <f>IF(LEFT(D46,4)*1&gt;LEFT('General inputs'!$I$18,4)*1,"",SUMIF('Post-1996 commissioned assets'!$F$22:$F$435,$D46,'Post-1996 commissioned assets'!$P$22:$P$435)*(1+$K$34)*(1+$K$35))</f>
        <v>5396994.4973831559</v>
      </c>
      <c r="M46" s="81">
        <f>IF(L46="","",L46/(1+'General inputs'!$H$32)^C46)</f>
        <v>12288711.671337279</v>
      </c>
      <c r="N46" s="81" t="str">
        <f>IF(LEFT(D46,4)*1&lt;LEFT('General inputs'!$I$18,4)*1+1,"",SUMIF('Uncommissioned assets'!$F$22:$F$1478,$D46,'Uncommissioned assets'!$P$22:$P$1478))</f>
        <v/>
      </c>
      <c r="O46" s="81" t="str">
        <f>IF(N46="","",N46/(1+'General inputs'!$H$32)^C46)</f>
        <v/>
      </c>
      <c r="Q46" s="38"/>
      <c r="R46" s="81" t="str">
        <f>IF(OR(LEFT(D46,4)*1&lt;LEFT('General inputs'!$I$16,4)*1,LEFT(D46,4)*1&gt;LEFT('General inputs'!$I$16,4)+'General inputs'!$H$38-1),"",Q46/(1+'General inputs'!$H$34)^C46)</f>
        <v/>
      </c>
      <c r="T46" s="38"/>
      <c r="U46" s="81" t="str">
        <f>IF(OR(LEFT(D46,4)*1&lt;LEFT('General inputs'!$I$16,4)*1,LEFT(D46,4)*1&gt;LEFT('General inputs'!$I$16,4)+'General inputs'!$H$38-1),"",T46/(1+'General inputs'!$H$34)^C46)</f>
        <v/>
      </c>
      <c r="V46" s="54"/>
      <c r="X46" s="37"/>
      <c r="Y46" s="37"/>
      <c r="Z46" s="37"/>
    </row>
    <row r="47" spans="2:27" x14ac:dyDescent="0.25">
      <c r="B47" s="53"/>
      <c r="C47" s="28">
        <f>IF(D47='General inputs'!$I$16,0,IF(D47&lt;'General inputs'!$I$16,C48-1,C46+1))</f>
        <v>-19</v>
      </c>
      <c r="D47" s="28" t="str">
        <f t="shared" si="2"/>
        <v>2003-04</v>
      </c>
      <c r="E47" s="81">
        <f>IF(LEFT(D47,4)*1&gt;LEFT('General inputs'!$I$16,4)+'General inputs'!$H$38-1,"",'ET inputs'!D20)</f>
        <v>4478.5635641316694</v>
      </c>
      <c r="F47" s="81">
        <f>IF(LEFT(D47,4)*1&gt;LEFT('General inputs'!$I$16,4)+'General inputs'!$H$38-1,"",E47/(1+'General inputs'!$H$30)^C47)</f>
        <v>7853.1883187954345</v>
      </c>
      <c r="G47" s="81">
        <f>IF(LEFT(D47,4)*1&gt;LEFT('General inputs'!$I$16,4)+'General inputs'!$H$38-1,"",E47/(1+'General inputs'!$H$32)^C47)</f>
        <v>9786.4549855182704</v>
      </c>
      <c r="H47" s="81" t="str">
        <f>IF(LEFT(D47,4)*1&lt;LEFT('General inputs'!$I$16,4)*1,"",IF(LEFT(D47,4)*1&gt;LEFT('General inputs'!$I$16,4)+'General inputs'!$H$38-1,"",E47/(1+'General inputs'!$H$34)^C47))</f>
        <v/>
      </c>
      <c r="J47" s="109"/>
      <c r="K47" s="109"/>
      <c r="L47" s="81">
        <f>IF(LEFT(D47,4)*1&gt;LEFT('General inputs'!$I$18,4)*1,"",SUMIF('Post-1996 commissioned assets'!$F$22:$F$435,$D47,'Post-1996 commissioned assets'!$P$22:$P$435)*(1+$K$34)*(1+$K$35))</f>
        <v>0</v>
      </c>
      <c r="M47" s="81">
        <f>IF(L47="","",L47/(1+'General inputs'!$H$32)^C47)</f>
        <v>0</v>
      </c>
      <c r="N47" s="81" t="str">
        <f>IF(LEFT(D47,4)*1&lt;LEFT('General inputs'!$I$18,4)*1+1,"",SUMIF('Uncommissioned assets'!$F$22:$F$1478,$D47,'Uncommissioned assets'!$P$22:$P$1478))</f>
        <v/>
      </c>
      <c r="O47" s="81" t="str">
        <f>IF(N47="","",N47/(1+'General inputs'!$H$32)^C47)</f>
        <v/>
      </c>
      <c r="Q47" s="38"/>
      <c r="R47" s="81" t="str">
        <f>IF(OR(LEFT(D47,4)*1&lt;LEFT('General inputs'!$I$16,4)*1,LEFT(D47,4)*1&gt;LEFT('General inputs'!$I$16,4)+'General inputs'!$H$38-1),"",Q47/(1+'General inputs'!$H$34)^C47)</f>
        <v/>
      </c>
      <c r="T47" s="38"/>
      <c r="U47" s="81" t="str">
        <f>IF(OR(LEFT(D47,4)*1&lt;LEFT('General inputs'!$I$16,4)*1,LEFT(D47,4)*1&gt;LEFT('General inputs'!$I$16,4)+'General inputs'!$H$38-1),"",T47/(1+'General inputs'!$H$34)^C47)</f>
        <v/>
      </c>
      <c r="V47" s="54"/>
      <c r="X47" s="37"/>
      <c r="Y47" s="37"/>
      <c r="Z47" s="37"/>
    </row>
    <row r="48" spans="2:27" x14ac:dyDescent="0.25">
      <c r="B48" s="53"/>
      <c r="C48" s="28">
        <f>IF(D48='General inputs'!$I$16,0,IF(D48&lt;'General inputs'!$I$16,C49-1,C47+1))</f>
        <v>-18</v>
      </c>
      <c r="D48" s="28" t="str">
        <f t="shared" si="2"/>
        <v>2004-05</v>
      </c>
      <c r="E48" s="81">
        <f>IF(LEFT(D48,4)*1&gt;LEFT('General inputs'!$I$16,4)+'General inputs'!$H$38-1,"",'ET inputs'!D21)</f>
        <v>4467.6838819523273</v>
      </c>
      <c r="F48" s="81">
        <f>IF(LEFT(D48,4)*1&gt;LEFT('General inputs'!$I$16,4)+'General inputs'!$H$38-1,"",E48/(1+'General inputs'!$H$30)^C48)</f>
        <v>7605.9327478042751</v>
      </c>
      <c r="G48" s="81">
        <f>IF(LEFT(D48,4)*1&gt;LEFT('General inputs'!$I$16,4)+'General inputs'!$H$38-1,"",E48/(1+'General inputs'!$H$32)^C48)</f>
        <v>9369.1755778170864</v>
      </c>
      <c r="H48" s="81" t="str">
        <f>IF(LEFT(D48,4)*1&lt;LEFT('General inputs'!$I$16,4)*1,"",IF(LEFT(D48,4)*1&gt;LEFT('General inputs'!$I$16,4)+'General inputs'!$H$38-1,"",E48/(1+'General inputs'!$H$34)^C48))</f>
        <v/>
      </c>
      <c r="J48" s="109"/>
      <c r="K48" s="109"/>
      <c r="L48" s="81">
        <f>IF(LEFT(D48,4)*1&gt;LEFT('General inputs'!$I$18,4)*1,"",SUMIF('Post-1996 commissioned assets'!$F$22:$F$435,$D48,'Post-1996 commissioned assets'!$P$22:$P$435)*(1+$K$34)*(1+$K$35))</f>
        <v>1125583.8947570231</v>
      </c>
      <c r="M48" s="81">
        <f>IF(L48="","",L48/(1+'General inputs'!$H$32)^C48)</f>
        <v>2360460.9046182889</v>
      </c>
      <c r="N48" s="81" t="str">
        <f>IF(LEFT(D48,4)*1&lt;LEFT('General inputs'!$I$18,4)*1+1,"",SUMIF('Uncommissioned assets'!$F$22:$F$1478,$D48,'Uncommissioned assets'!$P$22:$P$1478))</f>
        <v/>
      </c>
      <c r="O48" s="81" t="str">
        <f>IF(N48="","",N48/(1+'General inputs'!$H$32)^C48)</f>
        <v/>
      </c>
      <c r="Q48" s="86"/>
      <c r="R48" s="81" t="str">
        <f>IF(OR(LEFT(D48,4)*1&lt;LEFT('General inputs'!$I$16,4)*1,LEFT(D48,4)*1&gt;LEFT('General inputs'!$I$16,4)+'General inputs'!$H$38-1),"",Q48/(1+'General inputs'!$H$34)^C48)</f>
        <v/>
      </c>
      <c r="T48" s="86"/>
      <c r="U48" s="81" t="str">
        <f>IF(OR(LEFT(D48,4)*1&lt;LEFT('General inputs'!$I$16,4)*1,LEFT(D48,4)*1&gt;LEFT('General inputs'!$I$16,4)+'General inputs'!$H$38-1),"",T48/(1+'General inputs'!$H$34)^C48)</f>
        <v/>
      </c>
      <c r="V48" s="54"/>
      <c r="X48" s="37"/>
      <c r="Y48" s="37"/>
      <c r="Z48" s="37"/>
    </row>
    <row r="49" spans="2:26" x14ac:dyDescent="0.25">
      <c r="B49" s="53"/>
      <c r="C49" s="28">
        <f>IF(D49='General inputs'!$I$16,0,IF(D49&lt;'General inputs'!$I$16,C50-1,C48+1))</f>
        <v>-17</v>
      </c>
      <c r="D49" s="28" t="str">
        <f t="shared" si="2"/>
        <v>2005-06</v>
      </c>
      <c r="E49" s="81">
        <f>IF(LEFT(D49,4)*1&gt;LEFT('General inputs'!$I$16,4)+'General inputs'!$H$38-1,"",'ET inputs'!D22)</f>
        <v>3469.2451759364362</v>
      </c>
      <c r="F49" s="81">
        <f>IF(LEFT(D49,4)*1&gt;LEFT('General inputs'!$I$16,4)+'General inputs'!$H$38-1,"",E49/(1+'General inputs'!$H$30)^C49)</f>
        <v>5734.1336748167323</v>
      </c>
      <c r="G49" s="81">
        <f>IF(LEFT(D49,4)*1&gt;LEFT('General inputs'!$I$16,4)+'General inputs'!$H$38-1,"",E49/(1+'General inputs'!$H$32)^C49)</f>
        <v>6982.1024245586777</v>
      </c>
      <c r="H49" s="81" t="str">
        <f>IF(LEFT(D49,4)*1&lt;LEFT('General inputs'!$I$16,4)*1,"",IF(LEFT(D49,4)*1&gt;LEFT('General inputs'!$I$16,4)+'General inputs'!$H$38-1,"",E49/(1+'General inputs'!$H$34)^C49))</f>
        <v/>
      </c>
      <c r="J49" s="109"/>
      <c r="K49" s="109"/>
      <c r="L49" s="81">
        <f>IF(LEFT(D49,4)*1&gt;LEFT('General inputs'!$I$18,4)*1,"",SUMIF('Post-1996 commissioned assets'!$F$22:$F$435,$D49,'Post-1996 commissioned assets'!$P$22:$P$435)*(1+$K$34)*(1+$K$35))</f>
        <v>507507.3789588678</v>
      </c>
      <c r="M49" s="81">
        <f>IF(L49="","",L49/(1+'General inputs'!$H$32)^C49)</f>
        <v>1021394.661204266</v>
      </c>
      <c r="N49" s="81" t="str">
        <f>IF(LEFT(D49,4)*1&lt;LEFT('General inputs'!$I$18,4)*1+1,"",SUMIF('Uncommissioned assets'!$F$22:$F$1478,$D49,'Uncommissioned assets'!$P$22:$P$1478))</f>
        <v/>
      </c>
      <c r="O49" s="81" t="str">
        <f>IF(N49="","",N49/(1+'General inputs'!$H$32)^C49)</f>
        <v/>
      </c>
      <c r="Q49" s="86"/>
      <c r="R49" s="81" t="str">
        <f>IF(OR(LEFT(D49,4)*1&lt;LEFT('General inputs'!$I$16,4)*1,LEFT(D49,4)*1&gt;LEFT('General inputs'!$I$16,4)+'General inputs'!$H$38-1),"",Q49/(1+'General inputs'!$H$34)^C49)</f>
        <v/>
      </c>
      <c r="T49" s="86"/>
      <c r="U49" s="81" t="str">
        <f>IF(OR(LEFT(D49,4)*1&lt;LEFT('General inputs'!$I$16,4)*1,LEFT(D49,4)*1&gt;LEFT('General inputs'!$I$16,4)+'General inputs'!$H$38-1),"",T49/(1+'General inputs'!$H$34)^C49)</f>
        <v/>
      </c>
      <c r="V49" s="54"/>
      <c r="X49" s="37"/>
      <c r="Y49" s="37"/>
      <c r="Z49" s="37"/>
    </row>
    <row r="50" spans="2:26" x14ac:dyDescent="0.25">
      <c r="B50" s="53"/>
      <c r="C50" s="28">
        <f>IF(D50='General inputs'!$I$16,0,IF(D50&lt;'General inputs'!$I$16,C51-1,C49+1))</f>
        <v>-16</v>
      </c>
      <c r="D50" s="28" t="str">
        <f t="shared" si="2"/>
        <v>2006-07</v>
      </c>
      <c r="E50" s="81">
        <f>IF(LEFT(D50,4)*1&gt;LEFT('General inputs'!$I$16,4)+'General inputs'!$H$38-1,"",'ET inputs'!D23)</f>
        <v>3042.0471055618618</v>
      </c>
      <c r="F50" s="81">
        <f>IF(LEFT(D50,4)*1&gt;LEFT('General inputs'!$I$16,4)+'General inputs'!$H$38-1,"",E50/(1+'General inputs'!$H$30)^C50)</f>
        <v>4881.5925783369476</v>
      </c>
      <c r="G50" s="81">
        <f>IF(LEFT(D50,4)*1&gt;LEFT('General inputs'!$I$16,4)+'General inputs'!$H$38-1,"",E50/(1+'General inputs'!$H$32)^C50)</f>
        <v>5875.5623351977565</v>
      </c>
      <c r="H50" s="81" t="str">
        <f>IF(LEFT(D50,4)*1&lt;LEFT('General inputs'!$I$16,4)*1,"",IF(LEFT(D50,4)*1&gt;LEFT('General inputs'!$I$16,4)+'General inputs'!$H$38-1,"",E50/(1+'General inputs'!$H$34)^C50))</f>
        <v/>
      </c>
      <c r="J50" s="109"/>
      <c r="K50" s="109"/>
      <c r="L50" s="81">
        <f>IF(LEFT(D50,4)*1&gt;LEFT('General inputs'!$I$18,4)*1,"",SUMIF('Post-1996 commissioned assets'!$F$22:$F$435,$D50,'Post-1996 commissioned assets'!$P$22:$P$435)*(1+$K$34)*(1+$K$35))</f>
        <v>1722046.0525785142</v>
      </c>
      <c r="M50" s="81">
        <f>IF(L50="","",L50/(1+'General inputs'!$H$32)^C50)</f>
        <v>3326046.1047783527</v>
      </c>
      <c r="N50" s="81" t="str">
        <f>IF(LEFT(D50,4)*1&lt;LEFT('General inputs'!$I$18,4)*1+1,"",SUMIF('Uncommissioned assets'!$F$22:$F$1478,$D50,'Uncommissioned assets'!$P$22:$P$1478))</f>
        <v/>
      </c>
      <c r="O50" s="81" t="str">
        <f>IF(N50="","",N50/(1+'General inputs'!$H$32)^C50)</f>
        <v/>
      </c>
      <c r="Q50" s="86"/>
      <c r="R50" s="81" t="str">
        <f>IF(OR(LEFT(D50,4)*1&lt;LEFT('General inputs'!$I$16,4)*1,LEFT(D50,4)*1&gt;LEFT('General inputs'!$I$16,4)+'General inputs'!$H$38-1),"",Q50/(1+'General inputs'!$H$34)^C50)</f>
        <v/>
      </c>
      <c r="T50" s="86"/>
      <c r="U50" s="81" t="str">
        <f>IF(OR(LEFT(D50,4)*1&lt;LEFT('General inputs'!$I$16,4)*1,LEFT(D50,4)*1&gt;LEFT('General inputs'!$I$16,4)+'General inputs'!$H$38-1),"",T50/(1+'General inputs'!$H$34)^C50)</f>
        <v/>
      </c>
      <c r="V50" s="54"/>
      <c r="X50" s="37"/>
      <c r="Y50" s="37"/>
      <c r="Z50" s="37"/>
    </row>
    <row r="51" spans="2:26" x14ac:dyDescent="0.25">
      <c r="B51" s="53"/>
      <c r="C51" s="28">
        <f>IF(D51='General inputs'!$I$16,0,IF(D51&lt;'General inputs'!$I$16,C52-1,C50+1))</f>
        <v>-15</v>
      </c>
      <c r="D51" s="28" t="str">
        <f t="shared" si="2"/>
        <v>2007-08</v>
      </c>
      <c r="E51" s="81">
        <f>IF(LEFT(D51,4)*1&gt;LEFT('General inputs'!$I$16,4)+'General inputs'!$H$38-1,"",'ET inputs'!D24)</f>
        <v>2814.9194097616346</v>
      </c>
      <c r="F51" s="81">
        <f>IF(LEFT(D51,4)*1&gt;LEFT('General inputs'!$I$16,4)+'General inputs'!$H$38-1,"",E51/(1+'General inputs'!$H$30)^C51)</f>
        <v>4385.5527207656824</v>
      </c>
      <c r="G51" s="81">
        <f>IF(LEFT(D51,4)*1&gt;LEFT('General inputs'!$I$16,4)+'General inputs'!$H$38-1,"",E51/(1+'General inputs'!$H$32)^C51)</f>
        <v>5217.7317786086369</v>
      </c>
      <c r="H51" s="81" t="str">
        <f>IF(LEFT(D51,4)*1&lt;LEFT('General inputs'!$I$16,4)*1,"",IF(LEFT(D51,4)*1&gt;LEFT('General inputs'!$I$16,4)+'General inputs'!$H$38-1,"",E51/(1+'General inputs'!$H$34)^C51))</f>
        <v/>
      </c>
      <c r="J51" s="109"/>
      <c r="K51" s="109"/>
      <c r="L51" s="81">
        <f>IF(LEFT(D51,4)*1&gt;LEFT('General inputs'!$I$18,4)*1,"",SUMIF('Post-1996 commissioned assets'!$F$22:$F$435,$D51,'Post-1996 commissioned assets'!$P$22:$P$435)*(1+$K$34)*(1+$K$35))</f>
        <v>144501.30906903301</v>
      </c>
      <c r="M51" s="81">
        <f>IF(L51="","",L51/(1+'General inputs'!$H$32)^C51)</f>
        <v>267847.48073618475</v>
      </c>
      <c r="N51" s="81" t="str">
        <f>IF(LEFT(D51,4)*1&lt;LEFT('General inputs'!$I$18,4)*1+1,"",SUMIF('Uncommissioned assets'!$F$22:$F$1478,$D51,'Uncommissioned assets'!$P$22:$P$1478))</f>
        <v/>
      </c>
      <c r="O51" s="81" t="str">
        <f>IF(N51="","",N51/(1+'General inputs'!$H$32)^C51)</f>
        <v/>
      </c>
      <c r="Q51" s="86"/>
      <c r="R51" s="81" t="str">
        <f>IF(OR(LEFT(D51,4)*1&lt;LEFT('General inputs'!$I$16,4)*1,LEFT(D51,4)*1&gt;LEFT('General inputs'!$I$16,4)+'General inputs'!$H$38-1),"",Q51/(1+'General inputs'!$H$34)^C51)</f>
        <v/>
      </c>
      <c r="T51" s="86"/>
      <c r="U51" s="81" t="str">
        <f>IF(OR(LEFT(D51,4)*1&lt;LEFT('General inputs'!$I$16,4)*1,LEFT(D51,4)*1&gt;LEFT('General inputs'!$I$16,4)+'General inputs'!$H$38-1),"",T51/(1+'General inputs'!$H$34)^C51)</f>
        <v/>
      </c>
      <c r="V51" s="54"/>
      <c r="X51" s="37"/>
      <c r="Y51" s="37"/>
      <c r="Z51" s="37"/>
    </row>
    <row r="52" spans="2:26" ht="12" thickBot="1" x14ac:dyDescent="0.3">
      <c r="B52" s="53"/>
      <c r="C52" s="28">
        <f>IF(D52='General inputs'!$I$16,0,IF(D52&lt;'General inputs'!$I$16,C53-1,C51+1))</f>
        <v>-14</v>
      </c>
      <c r="D52" s="83" t="str">
        <f t="shared" si="2"/>
        <v>2008-09</v>
      </c>
      <c r="E52" s="81">
        <f>IF(LEFT(D52,4)*1&gt;LEFT('General inputs'!$I$16,4)+'General inputs'!$H$38-1,"",'ET inputs'!D25)</f>
        <v>4621.7728698421124</v>
      </c>
      <c r="F52" s="81">
        <f>IF(LEFT(D52,4)*1&gt;LEFT('General inputs'!$I$16,4)+'General inputs'!$H$38-1,"",E52/(1+'General inputs'!$H$30)^C52)</f>
        <v>6990.8461535372981</v>
      </c>
      <c r="G52" s="81">
        <f>IF(LEFT(D52,4)*1&gt;LEFT('General inputs'!$I$16,4)+'General inputs'!$H$38-1,"",E52/(1+'General inputs'!$H$32)^C52)</f>
        <v>8221.6060745627983</v>
      </c>
      <c r="H52" s="81" t="str">
        <f>IF(LEFT(D52,4)*1&lt;LEFT('General inputs'!$I$16,4)*1,"",IF(LEFT(D52,4)*1&gt;LEFT('General inputs'!$I$16,4)+'General inputs'!$H$38-1,"",E52/(1+'General inputs'!$H$34)^C52))</f>
        <v/>
      </c>
      <c r="J52" s="109"/>
      <c r="K52" s="109"/>
      <c r="L52" s="81">
        <f>IF(LEFT(D52,4)*1&gt;LEFT('General inputs'!$I$18,4)*1,"",SUMIF('Post-1996 commissioned assets'!$F$22:$F$435,$D52,'Post-1996 commissioned assets'!$P$22:$P$435)*(1+$K$34)*(1+$K$35))</f>
        <v>1438213.8658058767</v>
      </c>
      <c r="M52" s="81">
        <f>IF(L52="","",L52/(1+'General inputs'!$H$32)^C52)</f>
        <v>2558418.2063092133</v>
      </c>
      <c r="N52" s="81" t="str">
        <f>IF(LEFT(D52,4)*1&lt;LEFT('General inputs'!$I$18,4)*1+1,"",SUMIF('Uncommissioned assets'!$F$22:$F$1478,$D52,'Uncommissioned assets'!$P$22:$P$1478))</f>
        <v/>
      </c>
      <c r="O52" s="81" t="str">
        <f>IF(N52="","",N52/(1+'General inputs'!$H$32)^C52)</f>
        <v/>
      </c>
      <c r="Q52" s="86"/>
      <c r="R52" s="81" t="str">
        <f>IF(OR(LEFT(D52,4)*1&lt;LEFT('General inputs'!$I$16,4)*1,LEFT(D52,4)*1&gt;LEFT('General inputs'!$I$16,4)+'General inputs'!$H$38-1),"",Q52/(1+'General inputs'!$H$34)^C52)</f>
        <v/>
      </c>
      <c r="T52" s="86"/>
      <c r="U52" s="81" t="str">
        <f>IF(OR(LEFT(D52,4)*1&lt;LEFT('General inputs'!$I$16,4)*1,LEFT(D52,4)*1&gt;LEFT('General inputs'!$I$16,4)+'General inputs'!$H$38-1),"",T52/(1+'General inputs'!$H$34)^C52)</f>
        <v/>
      </c>
      <c r="V52" s="54"/>
      <c r="X52" s="37"/>
      <c r="Y52" s="37"/>
      <c r="Z52" s="37"/>
    </row>
    <row r="53" spans="2:26" ht="12" thickTop="1" x14ac:dyDescent="0.25">
      <c r="B53" s="53"/>
      <c r="C53" s="28">
        <f>IF(D53='General inputs'!$I$16,0,IF(D53&lt;'General inputs'!$I$16,C54-1,C52+1))</f>
        <v>-13</v>
      </c>
      <c r="D53" s="85" t="str">
        <f t="shared" si="1"/>
        <v>2009-10</v>
      </c>
      <c r="E53" s="81">
        <f>IF(LEFT(D53,4)*1&gt;LEFT('General inputs'!$I$16,4)+'General inputs'!$H$38-1,"",'ET inputs'!D26)</f>
        <v>8056.9316153614727</v>
      </c>
      <c r="F53" s="81">
        <f>IF(LEFT(D53,4)*1&gt;LEFT('General inputs'!$I$16,4)+'General inputs'!$H$38-1,"",E53/(1+'General inputs'!$H$30)^C53)</f>
        <v>11831.875704132091</v>
      </c>
      <c r="G53" s="81">
        <f>IF(LEFT(D53,4)*1&gt;LEFT('General inputs'!$I$16,4)+'General inputs'!$H$38-1,"",E53/(1+'General inputs'!$H$32)^C53)</f>
        <v>13754.665208504439</v>
      </c>
      <c r="H53" s="81" t="str">
        <f>IF(LEFT(D53,4)*1&lt;LEFT('General inputs'!$I$16,4)*1,"",IF(LEFT(D53,4)*1&gt;LEFT('General inputs'!$I$16,4)+'General inputs'!$H$38-1,"",E53/(1+'General inputs'!$H$34)^C53))</f>
        <v/>
      </c>
      <c r="J53" s="109"/>
      <c r="K53" s="109"/>
      <c r="L53" s="81">
        <f>IF(LEFT(D53,4)*1&gt;LEFT('General inputs'!$I$18,4)*1,"",SUMIF('Post-1996 commissioned assets'!$F$22:$F$435,$D53,'Post-1996 commissioned assets'!$P$22:$P$435)*(1+$K$34)*(1+$K$35))</f>
        <v>8367456.0373672033</v>
      </c>
      <c r="M53" s="81">
        <f>IF(L53="","",L53/(1+'General inputs'!$H$32)^C53)</f>
        <v>14284787.551309198</v>
      </c>
      <c r="N53" s="81" t="str">
        <f>IF(LEFT(D53,4)*1&lt;LEFT('General inputs'!$I$18,4)*1+1,"",SUMIF('Uncommissioned assets'!$F$22:$F$1478,$D53,'Uncommissioned assets'!$P$22:$P$1478))</f>
        <v/>
      </c>
      <c r="O53" s="81" t="str">
        <f>IF(N53="","",N53/(1+'General inputs'!$H$32)^C53)</f>
        <v/>
      </c>
      <c r="Q53" s="86"/>
      <c r="R53" s="81" t="str">
        <f>IF(OR(LEFT(D53,4)*1&lt;LEFT('General inputs'!$I$16,4)*1,LEFT(D53,4)*1&gt;LEFT('General inputs'!$I$16,4)+'General inputs'!$H$38-1),"",Q53/(1+'General inputs'!$H$34)^C53)</f>
        <v/>
      </c>
      <c r="T53" s="86"/>
      <c r="U53" s="81" t="str">
        <f>IF(OR(LEFT(D53,4)*1&lt;LEFT('General inputs'!$I$16,4)*1,LEFT(D53,4)*1&gt;LEFT('General inputs'!$I$16,4)+'General inputs'!$H$38-1),"",T53/(1+'General inputs'!$H$34)^C53)</f>
        <v/>
      </c>
      <c r="V53" s="54"/>
      <c r="X53" s="37"/>
      <c r="Y53" s="37"/>
      <c r="Z53" s="37"/>
    </row>
    <row r="54" spans="2:26" x14ac:dyDescent="0.25">
      <c r="B54" s="53"/>
      <c r="C54" s="28">
        <f>IF(D54='General inputs'!$I$16,0,IF(D54&lt;'General inputs'!$I$16,C55-1,C53+1))</f>
        <v>-12</v>
      </c>
      <c r="D54" s="28" t="str">
        <f t="shared" si="1"/>
        <v>2010-11</v>
      </c>
      <c r="E54" s="81">
        <f>IF(LEFT(D54,4)*1&gt;LEFT('General inputs'!$I$16,4)+'General inputs'!$H$38-1,"",'ET inputs'!D27)</f>
        <v>3901.1322360953463</v>
      </c>
      <c r="F54" s="81">
        <f>IF(LEFT(D54,4)*1&gt;LEFT('General inputs'!$I$16,4)+'General inputs'!$H$38-1,"",E54/(1+'General inputs'!$H$30)^C54)</f>
        <v>5562.0817566395162</v>
      </c>
      <c r="G54" s="81">
        <f>IF(LEFT(D54,4)*1&gt;LEFT('General inputs'!$I$16,4)+'General inputs'!$H$38-1,"",E54/(1+'General inputs'!$H$32)^C54)</f>
        <v>6391.5074480031735</v>
      </c>
      <c r="H54" s="81" t="str">
        <f>IF(LEFT(D54,4)*1&lt;LEFT('General inputs'!$I$16,4)*1,"",IF(LEFT(D54,4)*1&gt;LEFT('General inputs'!$I$16,4)+'General inputs'!$H$38-1,"",E54/(1+'General inputs'!$H$34)^C54))</f>
        <v/>
      </c>
      <c r="J54" s="109"/>
      <c r="K54" s="109"/>
      <c r="L54" s="81">
        <f>IF(LEFT(D54,4)*1&gt;LEFT('General inputs'!$I$18,4)*1,"",SUMIF('Post-1996 commissioned assets'!$F$22:$F$435,$D54,'Post-1996 commissioned assets'!$P$22:$P$435)*(1+$K$34)*(1+$K$35))</f>
        <v>659256.63303808856</v>
      </c>
      <c r="M54" s="81">
        <f>IF(L54="","",L54/(1+'General inputs'!$H$32)^C54)</f>
        <v>1080107.8828401587</v>
      </c>
      <c r="N54" s="81" t="str">
        <f>IF(LEFT(D54,4)*1&lt;LEFT('General inputs'!$I$18,4)*1+1,"",SUMIF('Uncommissioned assets'!$F$22:$F$1478,$D54,'Uncommissioned assets'!$P$22:$P$1478))</f>
        <v/>
      </c>
      <c r="O54" s="81" t="str">
        <f>IF(N54="","",N54/(1+'General inputs'!$H$32)^C54)</f>
        <v/>
      </c>
      <c r="Q54" s="86"/>
      <c r="R54" s="81" t="str">
        <f>IF(OR(LEFT(D54,4)*1&lt;LEFT('General inputs'!$I$16,4)*1,LEFT(D54,4)*1&gt;LEFT('General inputs'!$I$16,4)+'General inputs'!$H$38-1),"",Q54/(1+'General inputs'!$H$34)^C54)</f>
        <v/>
      </c>
      <c r="T54" s="86"/>
      <c r="U54" s="81" t="str">
        <f>IF(OR(LEFT(D54,4)*1&lt;LEFT('General inputs'!$I$16,4)*1,LEFT(D54,4)*1&gt;LEFT('General inputs'!$I$16,4)+'General inputs'!$H$38-1),"",T54/(1+'General inputs'!$H$34)^C54)</f>
        <v/>
      </c>
      <c r="V54" s="54"/>
      <c r="X54" s="37"/>
      <c r="Y54" s="37"/>
      <c r="Z54" s="37"/>
    </row>
    <row r="55" spans="2:26" x14ac:dyDescent="0.25">
      <c r="B55" s="53"/>
      <c r="C55" s="28">
        <f>IF(D55='General inputs'!$I$16,0,IF(D55&lt;'General inputs'!$I$16,C56-1,C54+1))</f>
        <v>-11</v>
      </c>
      <c r="D55" s="28" t="str">
        <f t="shared" si="1"/>
        <v>2011-12</v>
      </c>
      <c r="E55" s="81">
        <f>IF(LEFT(D55,4)*1&gt;LEFT('General inputs'!$I$16,4)+'General inputs'!$H$38-1,"",'ET inputs'!D28)</f>
        <v>4731.8467650397279</v>
      </c>
      <c r="F55" s="81">
        <f>IF(LEFT(D55,4)*1&gt;LEFT('General inputs'!$I$16,4)+'General inputs'!$H$38-1,"",E55/(1+'General inputs'!$H$30)^C55)</f>
        <v>6549.9825632458878</v>
      </c>
      <c r="G55" s="81">
        <f>IF(LEFT(D55,4)*1&gt;LEFT('General inputs'!$I$16,4)+'General inputs'!$H$38-1,"",E55/(1+'General inputs'!$H$32)^C55)</f>
        <v>7440.0453148321049</v>
      </c>
      <c r="H55" s="81" t="str">
        <f>IF(LEFT(D55,4)*1&lt;LEFT('General inputs'!$I$16,4)*1,"",IF(LEFT(D55,4)*1&gt;LEFT('General inputs'!$I$16,4)+'General inputs'!$H$38-1,"",E55/(1+'General inputs'!$H$34)^C55))</f>
        <v/>
      </c>
      <c r="J55" s="109"/>
      <c r="K55" s="109"/>
      <c r="L55" s="81">
        <f>IF(LEFT(D55,4)*1&gt;LEFT('General inputs'!$I$18,4)*1,"",SUMIF('Post-1996 commissioned assets'!$F$22:$F$435,$D55,'Post-1996 commissioned assets'!$P$22:$P$435)*(1+$K$34)*(1+$K$35))</f>
        <v>62116.129358171034</v>
      </c>
      <c r="M55" s="81">
        <f>IF(L55="","",L55/(1+'General inputs'!$H$32)^C55)</f>
        <v>97667.325286448759</v>
      </c>
      <c r="N55" s="81" t="str">
        <f>IF(LEFT(D55,4)*1&lt;LEFT('General inputs'!$I$18,4)*1+1,"",SUMIF('Uncommissioned assets'!$F$22:$F$1478,$D55,'Uncommissioned assets'!$P$22:$P$1478))</f>
        <v/>
      </c>
      <c r="O55" s="81" t="str">
        <f>IF(N55="","",N55/(1+'General inputs'!$H$32)^C55)</f>
        <v/>
      </c>
      <c r="Q55" s="86"/>
      <c r="R55" s="81" t="str">
        <f>IF(OR(LEFT(D55,4)*1&lt;LEFT('General inputs'!$I$16,4)*1,LEFT(D55,4)*1&gt;LEFT('General inputs'!$I$16,4)+'General inputs'!$H$38-1),"",Q55/(1+'General inputs'!$H$34)^C55)</f>
        <v/>
      </c>
      <c r="T55" s="86"/>
      <c r="U55" s="81" t="str">
        <f>IF(OR(LEFT(D55,4)*1&lt;LEFT('General inputs'!$I$16,4)*1,LEFT(D55,4)*1&gt;LEFT('General inputs'!$I$16,4)+'General inputs'!$H$38-1),"",T55/(1+'General inputs'!$H$34)^C55)</f>
        <v/>
      </c>
      <c r="V55" s="54"/>
      <c r="X55" s="37"/>
      <c r="Y55" s="37"/>
      <c r="Z55" s="37"/>
    </row>
    <row r="56" spans="2:26" x14ac:dyDescent="0.25">
      <c r="B56" s="53"/>
      <c r="C56" s="28">
        <f>IF(D56='General inputs'!$I$16,0,IF(D56&lt;'General inputs'!$I$16,C57-1,C55+1))</f>
        <v>-10</v>
      </c>
      <c r="D56" s="28" t="str">
        <f t="shared" si="1"/>
        <v>2012-13</v>
      </c>
      <c r="E56" s="81">
        <f>IF(LEFT(D56,4)*1&gt;LEFT('General inputs'!$I$16,4)+'General inputs'!$H$38-1,"",'ET inputs'!D29)</f>
        <v>6487.5661886168582</v>
      </c>
      <c r="F56" s="81">
        <f>IF(LEFT(D56,4)*1&gt;LEFT('General inputs'!$I$16,4)+'General inputs'!$H$38-1,"",E56/(1+'General inputs'!$H$30)^C56)</f>
        <v>8718.7464629613114</v>
      </c>
      <c r="G56" s="81">
        <f>IF(LEFT(D56,4)*1&gt;LEFT('General inputs'!$I$16,4)+'General inputs'!$H$38-1,"",E56/(1+'General inputs'!$H$32)^C56)</f>
        <v>9789.4657516979569</v>
      </c>
      <c r="H56" s="81" t="str">
        <f>IF(LEFT(D56,4)*1&lt;LEFT('General inputs'!$I$16,4)*1,"",IF(LEFT(D56,4)*1&gt;LEFT('General inputs'!$I$16,4)+'General inputs'!$H$38-1,"",E56/(1+'General inputs'!$H$34)^C56))</f>
        <v/>
      </c>
      <c r="J56" s="109"/>
      <c r="K56" s="109"/>
      <c r="L56" s="81">
        <f>IF(LEFT(D56,4)*1&gt;LEFT('General inputs'!$I$18,4)*1,"",SUMIF('Post-1996 commissioned assets'!$F$22:$F$435,$D56,'Post-1996 commissioned assets'!$P$22:$P$435)*(1+$K$34)*(1+$K$35))</f>
        <v>3282564.3927079141</v>
      </c>
      <c r="M56" s="81">
        <f>IF(L56="","",L56/(1+'General inputs'!$H$32)^C56)</f>
        <v>4953252.2314055003</v>
      </c>
      <c r="N56" s="81" t="str">
        <f>IF(LEFT(D56,4)*1&lt;LEFT('General inputs'!$I$18,4)*1+1,"",SUMIF('Uncommissioned assets'!$F$22:$F$1478,$D56,'Uncommissioned assets'!$P$22:$P$1478))</f>
        <v/>
      </c>
      <c r="O56" s="81" t="str">
        <f>IF(N56="","",N56/(1+'General inputs'!$H$32)^C56)</f>
        <v/>
      </c>
      <c r="Q56" s="86"/>
      <c r="R56" s="81" t="str">
        <f>IF(OR(LEFT(D56,4)*1&lt;LEFT('General inputs'!$I$16,4)*1,LEFT(D56,4)*1&gt;LEFT('General inputs'!$I$16,4)+'General inputs'!$H$38-1),"",Q56/(1+'General inputs'!$H$34)^C56)</f>
        <v/>
      </c>
      <c r="T56" s="86"/>
      <c r="U56" s="81" t="str">
        <f>IF(OR(LEFT(D56,4)*1&lt;LEFT('General inputs'!$I$16,4)*1,LEFT(D56,4)*1&gt;LEFT('General inputs'!$I$16,4)+'General inputs'!$H$38-1),"",T56/(1+'General inputs'!$H$34)^C56)</f>
        <v/>
      </c>
      <c r="V56" s="54"/>
      <c r="X56" s="37"/>
      <c r="Y56" s="37"/>
      <c r="Z56" s="37"/>
    </row>
    <row r="57" spans="2:26" x14ac:dyDescent="0.25">
      <c r="B57" s="53"/>
      <c r="C57" s="28">
        <f>IF(D57='General inputs'!$I$16,0,IF(D57&lt;'General inputs'!$I$16,C58-1,C56+1))</f>
        <v>-9</v>
      </c>
      <c r="D57" s="28" t="str">
        <f t="shared" si="1"/>
        <v>2013-14</v>
      </c>
      <c r="E57" s="81">
        <f>IF(LEFT(D57,4)*1&gt;LEFT('General inputs'!$I$16,4)+'General inputs'!$H$38-1,"",'ET inputs'!D30)</f>
        <v>7937.4637599880953</v>
      </c>
      <c r="F57" s="81">
        <f>IF(LEFT(D57,4)*1&gt;LEFT('General inputs'!$I$16,4)+'General inputs'!$H$38-1,"",E57/(1+'General inputs'!$H$30)^C57)</f>
        <v>10356.589861648912</v>
      </c>
      <c r="G57" s="81">
        <f>IF(LEFT(D57,4)*1&gt;LEFT('General inputs'!$I$16,4)+'General inputs'!$H$38-1,"",E57/(1+'General inputs'!$H$32)^C57)</f>
        <v>11494.530212433416</v>
      </c>
      <c r="H57" s="81" t="str">
        <f>IF(LEFT(D57,4)*1&lt;LEFT('General inputs'!$I$16,4)*1,"",IF(LEFT(D57,4)*1&gt;LEFT('General inputs'!$I$16,4)+'General inputs'!$H$38-1,"",E57/(1+'General inputs'!$H$34)^C57))</f>
        <v/>
      </c>
      <c r="J57" s="109"/>
      <c r="K57" s="109"/>
      <c r="L57" s="81">
        <f>IF(LEFT(D57,4)*1&gt;LEFT('General inputs'!$I$18,4)*1,"",SUMIF('Post-1996 commissioned assets'!$F$22:$F$435,$D57,'Post-1996 commissioned assets'!$P$22:$P$435)*(1+$K$34)*(1+$K$35))</f>
        <v>1308324.4653500598</v>
      </c>
      <c r="M57" s="81">
        <f>IF(L57="","",L57/(1+'General inputs'!$H$32)^C57)</f>
        <v>1894632.2842366733</v>
      </c>
      <c r="N57" s="81" t="str">
        <f>IF(LEFT(D57,4)*1&lt;LEFT('General inputs'!$I$18,4)*1+1,"",SUMIF('Uncommissioned assets'!$F$22:$F$1478,$D57,'Uncommissioned assets'!$P$22:$P$1478))</f>
        <v/>
      </c>
      <c r="O57" s="81" t="str">
        <f>IF(N57="","",N57/(1+'General inputs'!$H$32)^C57)</f>
        <v/>
      </c>
      <c r="Q57" s="86"/>
      <c r="R57" s="81" t="str">
        <f>IF(OR(LEFT(D57,4)*1&lt;LEFT('General inputs'!$I$16,4)*1,LEFT(D57,4)*1&gt;LEFT('General inputs'!$I$16,4)+'General inputs'!$H$38-1),"",Q57/(1+'General inputs'!$H$34)^C57)</f>
        <v/>
      </c>
      <c r="T57" s="86"/>
      <c r="U57" s="81" t="str">
        <f>IF(OR(LEFT(D57,4)*1&lt;LEFT('General inputs'!$I$16,4)*1,LEFT(D57,4)*1&gt;LEFT('General inputs'!$I$16,4)+'General inputs'!$H$38-1),"",T57/(1+'General inputs'!$H$34)^C57)</f>
        <v/>
      </c>
      <c r="V57" s="54"/>
      <c r="X57" s="37"/>
      <c r="Y57" s="37"/>
      <c r="Z57" s="37"/>
    </row>
    <row r="58" spans="2:26" x14ac:dyDescent="0.25">
      <c r="B58" s="53"/>
      <c r="C58" s="28">
        <f>IF(D58='General inputs'!$I$16,0,IF(D58&lt;'General inputs'!$I$16,C59-1,C57+1))</f>
        <v>-8</v>
      </c>
      <c r="D58" s="28" t="str">
        <f t="shared" si="1"/>
        <v>2014-15</v>
      </c>
      <c r="E58" s="81">
        <f>IF(LEFT(D58,4)*1&gt;LEFT('General inputs'!$I$16,4)+'General inputs'!$H$38-1,"",'ET inputs'!D31)</f>
        <v>4409.5891032917143</v>
      </c>
      <c r="F58" s="81">
        <f>IF(LEFT(D58,4)*1&gt;LEFT('General inputs'!$I$16,4)+'General inputs'!$H$38-1,"",E58/(1+'General inputs'!$H$30)^C58)</f>
        <v>5585.9355472627894</v>
      </c>
      <c r="G58" s="81">
        <f>IF(LEFT(D58,4)*1&gt;LEFT('General inputs'!$I$16,4)+'General inputs'!$H$38-1,"",E58/(1+'General inputs'!$H$32)^C58)</f>
        <v>6128.2979841381402</v>
      </c>
      <c r="H58" s="81" t="str">
        <f>IF(LEFT(D58,4)*1&lt;LEFT('General inputs'!$I$16,4)*1,"",IF(LEFT(D58,4)*1&gt;LEFT('General inputs'!$I$16,4)+'General inputs'!$H$38-1,"",E58/(1+'General inputs'!$H$34)^C58))</f>
        <v/>
      </c>
      <c r="J58" s="109"/>
      <c r="K58" s="109"/>
      <c r="L58" s="81">
        <f>IF(LEFT(D58,4)*1&gt;LEFT('General inputs'!$I$18,4)*1,"",SUMIF('Post-1996 commissioned assets'!$F$22:$F$435,$D58,'Post-1996 commissioned assets'!$P$22:$P$435)*(1+$K$34)*(1+$K$35))</f>
        <v>147783.15697313615</v>
      </c>
      <c r="M58" s="81">
        <f>IF(L58="","",L58/(1+'General inputs'!$H$32)^C58)</f>
        <v>205384.03959044054</v>
      </c>
      <c r="N58" s="81" t="str">
        <f>IF(LEFT(D58,4)*1&lt;LEFT('General inputs'!$I$18,4)*1+1,"",SUMIF('Uncommissioned assets'!$F$22:$F$1478,$D58,'Uncommissioned assets'!$P$22:$P$1478))</f>
        <v/>
      </c>
      <c r="O58" s="81" t="str">
        <f>IF(N58="","",N58/(1+'General inputs'!$H$32)^C58)</f>
        <v/>
      </c>
      <c r="Q58" s="86"/>
      <c r="R58" s="81" t="str">
        <f>IF(OR(LEFT(D58,4)*1&lt;LEFT('General inputs'!$I$16,4)*1,LEFT(D58,4)*1&gt;LEFT('General inputs'!$I$16,4)+'General inputs'!$H$38-1),"",Q58/(1+'General inputs'!$H$34)^C58)</f>
        <v/>
      </c>
      <c r="T58" s="86"/>
      <c r="U58" s="81" t="str">
        <f>IF(OR(LEFT(D58,4)*1&lt;LEFT('General inputs'!$I$16,4)*1,LEFT(D58,4)*1&gt;LEFT('General inputs'!$I$16,4)+'General inputs'!$H$38-1),"",T58/(1+'General inputs'!$H$34)^C58)</f>
        <v/>
      </c>
      <c r="V58" s="54"/>
      <c r="X58" s="37"/>
      <c r="Y58" s="37"/>
      <c r="Z58" s="37"/>
    </row>
    <row r="59" spans="2:26" x14ac:dyDescent="0.25">
      <c r="B59" s="53"/>
      <c r="C59" s="28">
        <f>IF(D59='General inputs'!$I$16,0,IF(D59&lt;'General inputs'!$I$16,C60-1,C58+1))</f>
        <v>-7</v>
      </c>
      <c r="D59" s="28" t="str">
        <f t="shared" si="1"/>
        <v>2015-16</v>
      </c>
      <c r="E59" s="81">
        <f>IF(LEFT(D59,4)*1&gt;LEFT('General inputs'!$I$16,4)+'General inputs'!$H$38-1,"",'ET inputs'!D32)</f>
        <v>7312.1974340115139</v>
      </c>
      <c r="F59" s="81">
        <f>IF(LEFT(D59,4)*1&gt;LEFT('General inputs'!$I$16,4)+'General inputs'!$H$38-1,"",E59/(1+'General inputs'!$H$30)^C59)</f>
        <v>8993.0805229175567</v>
      </c>
      <c r="G59" s="81">
        <f>IF(LEFT(D59,4)*1&gt;LEFT('General inputs'!$I$16,4)+'General inputs'!$H$38-1,"",E59/(1+'General inputs'!$H$32)^C59)</f>
        <v>9752.6343521071976</v>
      </c>
      <c r="H59" s="81" t="str">
        <f>IF(LEFT(D59,4)*1&lt;LEFT('General inputs'!$I$16,4)*1,"",IF(LEFT(D59,4)*1&gt;LEFT('General inputs'!$I$16,4)+'General inputs'!$H$38-1,"",E59/(1+'General inputs'!$H$34)^C59))</f>
        <v/>
      </c>
      <c r="J59" s="109"/>
      <c r="K59" s="109"/>
      <c r="L59" s="81">
        <f>IF(LEFT(D59,4)*1&gt;LEFT('General inputs'!$I$18,4)*1,"",SUMIF('Post-1996 commissioned assets'!$F$22:$F$435,$D59,'Post-1996 commissioned assets'!$P$22:$P$435)*(1+$K$34)*(1+$K$35))</f>
        <v>1095281.0196950338</v>
      </c>
      <c r="M59" s="81">
        <f>IF(L59="","",L59/(1+'General inputs'!$H$32)^C59)</f>
        <v>1460829.7155932575</v>
      </c>
      <c r="N59" s="81" t="str">
        <f>IF(LEFT(D59,4)*1&lt;LEFT('General inputs'!$I$18,4)*1+1,"",SUMIF('Uncommissioned assets'!$F$22:$F$1478,$D59,'Uncommissioned assets'!$P$22:$P$1478))</f>
        <v/>
      </c>
      <c r="O59" s="81" t="str">
        <f>IF(N59="","",N59/(1+'General inputs'!$H$32)^C59)</f>
        <v/>
      </c>
      <c r="Q59" s="86"/>
      <c r="R59" s="81" t="str">
        <f>IF(OR(LEFT(D59,4)*1&lt;LEFT('General inputs'!$I$16,4)*1,LEFT(D59,4)*1&gt;LEFT('General inputs'!$I$16,4)+'General inputs'!$H$38-1),"",Q59/(1+'General inputs'!$H$34)^C59)</f>
        <v/>
      </c>
      <c r="T59" s="86"/>
      <c r="U59" s="81" t="str">
        <f>IF(OR(LEFT(D59,4)*1&lt;LEFT('General inputs'!$I$16,4)*1,LEFT(D59,4)*1&gt;LEFT('General inputs'!$I$16,4)+'General inputs'!$H$38-1),"",T59/(1+'General inputs'!$H$34)^C59)</f>
        <v/>
      </c>
      <c r="V59" s="54"/>
      <c r="X59" s="37"/>
      <c r="Y59" s="37"/>
      <c r="Z59" s="37"/>
    </row>
    <row r="60" spans="2:26" x14ac:dyDescent="0.25">
      <c r="B60" s="53"/>
      <c r="C60" s="28">
        <f>IF(D60='General inputs'!$I$16,0,IF(D60&lt;'General inputs'!$I$16,C61-1,C59+1))</f>
        <v>-6</v>
      </c>
      <c r="D60" s="28" t="str">
        <f t="shared" si="1"/>
        <v>2016-17</v>
      </c>
      <c r="E60" s="81">
        <f>IF(LEFT(D60,4)*1&gt;LEFT('General inputs'!$I$16,4)+'General inputs'!$H$38-1,"",'ET inputs'!D33)</f>
        <v>13270.929993459547</v>
      </c>
      <c r="F60" s="81">
        <f>IF(LEFT(D60,4)*1&gt;LEFT('General inputs'!$I$16,4)+'General inputs'!$H$38-1,"",E60/(1+'General inputs'!$H$30)^C60)</f>
        <v>15846.184435765957</v>
      </c>
      <c r="G60" s="81">
        <f>IF(LEFT(D60,4)*1&gt;LEFT('General inputs'!$I$16,4)+'General inputs'!$H$38-1,"",E60/(1+'General inputs'!$H$32)^C60)</f>
        <v>16986.647398371766</v>
      </c>
      <c r="H60" s="81" t="str">
        <f>IF(LEFT(D60,4)*1&lt;LEFT('General inputs'!$I$16,4)*1,"",IF(LEFT(D60,4)*1&gt;LEFT('General inputs'!$I$16,4)+'General inputs'!$H$38-1,"",E60/(1+'General inputs'!$H$34)^C60))</f>
        <v/>
      </c>
      <c r="J60" s="109"/>
      <c r="K60" s="109"/>
      <c r="L60" s="81">
        <f>IF(LEFT(D60,4)*1&gt;LEFT('General inputs'!$I$18,4)*1,"",SUMIF('Post-1996 commissioned assets'!$F$22:$F$435,$D60,'Post-1996 commissioned assets'!$P$22:$P$435)*(1+$K$34)*(1+$K$35))</f>
        <v>1651316.3250001911</v>
      </c>
      <c r="M60" s="81">
        <f>IF(L60="","",L60/(1+'General inputs'!$H$32)^C60)</f>
        <v>2113667.1031930437</v>
      </c>
      <c r="N60" s="81" t="str">
        <f>IF(LEFT(D60,4)*1&lt;LEFT('General inputs'!$I$18,4)*1+1,"",SUMIF('Uncommissioned assets'!$F$22:$F$1478,$D60,'Uncommissioned assets'!$P$22:$P$1478))</f>
        <v/>
      </c>
      <c r="O60" s="81" t="str">
        <f>IF(N60="","",N60/(1+'General inputs'!$H$32)^C60)</f>
        <v/>
      </c>
      <c r="Q60" s="86"/>
      <c r="R60" s="81" t="str">
        <f>IF(OR(LEFT(D60,4)*1&lt;LEFT('General inputs'!$I$16,4)*1,LEFT(D60,4)*1&gt;LEFT('General inputs'!$I$16,4)+'General inputs'!$H$38-1),"",Q60/(1+'General inputs'!$H$34)^C60)</f>
        <v/>
      </c>
      <c r="T60" s="86"/>
      <c r="U60" s="81" t="str">
        <f>IF(OR(LEFT(D60,4)*1&lt;LEFT('General inputs'!$I$16,4)*1,LEFT(D60,4)*1&gt;LEFT('General inputs'!$I$16,4)+'General inputs'!$H$38-1),"",T60/(1+'General inputs'!$H$34)^C60)</f>
        <v/>
      </c>
      <c r="V60" s="54"/>
      <c r="X60" s="37"/>
      <c r="Y60" s="37"/>
      <c r="Z60" s="37"/>
    </row>
    <row r="61" spans="2:26" x14ac:dyDescent="0.25">
      <c r="B61" s="53"/>
      <c r="C61" s="28">
        <f>IF(D61='General inputs'!$I$16,0,IF(D61&lt;'General inputs'!$I$16,C62-1,C60+1))</f>
        <v>-5</v>
      </c>
      <c r="D61" s="28" t="str">
        <f t="shared" si="1"/>
        <v>2017-18</v>
      </c>
      <c r="E61" s="81">
        <f>IF(LEFT(D61,4)*1&gt;LEFT('General inputs'!$I$16,4)+'General inputs'!$H$38-1,"",'ET inputs'!D34)</f>
        <v>13141.492732214025</v>
      </c>
      <c r="F61" s="81">
        <f>IF(LEFT(D61,4)*1&gt;LEFT('General inputs'!$I$16,4)+'General inputs'!$H$38-1,"",E61/(1+'General inputs'!$H$30)^C61)</f>
        <v>15234.59182205759</v>
      </c>
      <c r="G61" s="81">
        <f>IF(LEFT(D61,4)*1&gt;LEFT('General inputs'!$I$16,4)+'General inputs'!$H$38-1,"",E61/(1+'General inputs'!$H$32)^C61)</f>
        <v>16142.964586040394</v>
      </c>
      <c r="H61" s="81" t="str">
        <f>IF(LEFT(D61,4)*1&lt;LEFT('General inputs'!$I$16,4)*1,"",IF(LEFT(D61,4)*1&gt;LEFT('General inputs'!$I$16,4)+'General inputs'!$H$38-1,"",E61/(1+'General inputs'!$H$34)^C61))</f>
        <v/>
      </c>
      <c r="J61" s="109"/>
      <c r="K61" s="109"/>
      <c r="L61" s="81">
        <f>IF(LEFT(D61,4)*1&gt;LEFT('General inputs'!$I$18,4)*1,"",SUMIF('Post-1996 commissioned assets'!$F$22:$F$435,$D61,'Post-1996 commissioned assets'!$P$22:$P$435)*(1+$K$34)*(1+$K$35))</f>
        <v>1426479.5555355253</v>
      </c>
      <c r="M61" s="81">
        <f>IF(L61="","",L61/(1+'General inputs'!$H$32)^C61)</f>
        <v>1752282.5920127439</v>
      </c>
      <c r="N61" s="81" t="str">
        <f>IF(LEFT(D61,4)*1&lt;LEFT('General inputs'!$I$18,4)*1+1,"",SUMIF('Uncommissioned assets'!$F$22:$F$1478,$D61,'Uncommissioned assets'!$P$22:$P$1478))</f>
        <v/>
      </c>
      <c r="O61" s="81" t="str">
        <f>IF(N61="","",N61/(1+'General inputs'!$H$32)^C61)</f>
        <v/>
      </c>
      <c r="Q61" s="86"/>
      <c r="R61" s="81" t="str">
        <f>IF(OR(LEFT(D61,4)*1&lt;LEFT('General inputs'!$I$16,4)*1,LEFT(D61,4)*1&gt;LEFT('General inputs'!$I$16,4)+'General inputs'!$H$38-1),"",Q61/(1+'General inputs'!$H$34)^C61)</f>
        <v/>
      </c>
      <c r="T61" s="86"/>
      <c r="U61" s="81" t="str">
        <f>IF(OR(LEFT(D61,4)*1&lt;LEFT('General inputs'!$I$16,4)*1,LEFT(D61,4)*1&gt;LEFT('General inputs'!$I$16,4)+'General inputs'!$H$38-1),"",T61/(1+'General inputs'!$H$34)^C61)</f>
        <v/>
      </c>
      <c r="V61" s="54"/>
    </row>
    <row r="62" spans="2:26" x14ac:dyDescent="0.25">
      <c r="B62" s="53"/>
      <c r="C62" s="28">
        <f>IF(D62='General inputs'!$I$16,0,IF(D62&lt;'General inputs'!$I$16,C63-1,C61+1))</f>
        <v>-4</v>
      </c>
      <c r="D62" s="28" t="str">
        <f t="shared" si="1"/>
        <v>2018-19</v>
      </c>
      <c r="E62" s="81">
        <f>IF(LEFT(D62,4)*1&gt;LEFT('General inputs'!$I$16,4)+'General inputs'!$H$38-1,"",'ET inputs'!D35)</f>
        <v>7610.620885357549</v>
      </c>
      <c r="F62" s="81">
        <f>IF(LEFT(D62,4)*1&gt;LEFT('General inputs'!$I$16,4)+'General inputs'!$H$38-1,"",E62/(1+'General inputs'!$H$30)^C62)</f>
        <v>8565.8208560399198</v>
      </c>
      <c r="G62" s="81">
        <f>IF(LEFT(D62,4)*1&gt;LEFT('General inputs'!$I$16,4)+'General inputs'!$H$38-1,"",E62/(1+'General inputs'!$H$32)^C62)</f>
        <v>8972.0351102074292</v>
      </c>
      <c r="H62" s="81" t="str">
        <f>IF(LEFT(D62,4)*1&lt;LEFT('General inputs'!$I$16,4)*1,"",IF(LEFT(D62,4)*1&gt;LEFT('General inputs'!$I$16,4)+'General inputs'!$H$38-1,"",E62/(1+'General inputs'!$H$34)^C62))</f>
        <v/>
      </c>
      <c r="J62" s="109"/>
      <c r="K62" s="109"/>
      <c r="L62" s="81">
        <f>IF(LEFT(D62,4)*1&gt;LEFT('General inputs'!$I$18,4)*1,"",SUMIF('Post-1996 commissioned assets'!$F$22:$F$435,$D62,'Post-1996 commissioned assets'!$P$22:$P$435)*(1+$K$34)*(1+$K$35))</f>
        <v>2116063.8388291285</v>
      </c>
      <c r="M62" s="81">
        <f>IF(L62="","",L62/(1+'General inputs'!$H$32)^C62)</f>
        <v>2494592.6677207383</v>
      </c>
      <c r="N62" s="81" t="str">
        <f>IF(LEFT(D62,4)*1&lt;LEFT('General inputs'!$I$18,4)*1+1,"",SUMIF('Uncommissioned assets'!$F$22:$F$1478,$D62,'Uncommissioned assets'!$P$22:$P$1478))</f>
        <v/>
      </c>
      <c r="O62" s="81" t="str">
        <f>IF(N62="","",N62/(1+'General inputs'!$H$32)^C62)</f>
        <v/>
      </c>
      <c r="Q62" s="86"/>
      <c r="R62" s="81" t="str">
        <f>IF(OR(LEFT(D62,4)*1&lt;LEFT('General inputs'!$I$16,4)*1,LEFT(D62,4)*1&gt;LEFT('General inputs'!$I$16,4)+'General inputs'!$H$38-1),"",Q62/(1+'General inputs'!$H$34)^C62)</f>
        <v/>
      </c>
      <c r="T62" s="86"/>
      <c r="U62" s="81" t="str">
        <f>IF(OR(LEFT(D62,4)*1&lt;LEFT('General inputs'!$I$16,4)*1,LEFT(D62,4)*1&gt;LEFT('General inputs'!$I$16,4)+'General inputs'!$H$38-1),"",T62/(1+'General inputs'!$H$34)^C62)</f>
        <v/>
      </c>
      <c r="V62" s="54"/>
    </row>
    <row r="63" spans="2:26" x14ac:dyDescent="0.25">
      <c r="B63" s="53"/>
      <c r="C63" s="28">
        <f>IF(D63='General inputs'!$I$16,0,IF(D63&lt;'General inputs'!$I$16,C64-1,C62+1))</f>
        <v>-3</v>
      </c>
      <c r="D63" s="28" t="str">
        <f t="shared" si="1"/>
        <v>2019-20</v>
      </c>
      <c r="E63" s="81">
        <f>IF(LEFT(D63,4)*1&gt;LEFT('General inputs'!$I$16,4)+'General inputs'!$H$38-1,"",'ET inputs'!D36)</f>
        <v>5389.5800227014761</v>
      </c>
      <c r="F63" s="81">
        <f>IF(LEFT(D63,4)*1&gt;LEFT('General inputs'!$I$16,4)+'General inputs'!$H$38-1,"",E63/(1+'General inputs'!$H$30)^C63)</f>
        <v>5889.3396094665159</v>
      </c>
      <c r="G63" s="81">
        <f>IF(LEFT(D63,4)*1&gt;LEFT('General inputs'!$I$16,4)+'General inputs'!$H$38-1,"",E63/(1+'General inputs'!$H$32)^C63)</f>
        <v>6097.5880662467216</v>
      </c>
      <c r="H63" s="81" t="str">
        <f>IF(LEFT(D63,4)*1&lt;LEFT('General inputs'!$I$16,4)*1,"",IF(LEFT(D63,4)*1&gt;LEFT('General inputs'!$I$16,4)+'General inputs'!$H$38-1,"",E63/(1+'General inputs'!$H$34)^C63))</f>
        <v/>
      </c>
      <c r="J63" s="109"/>
      <c r="K63" s="109"/>
      <c r="L63" s="81">
        <f>IF(LEFT(D63,4)*1&gt;LEFT('General inputs'!$I$18,4)*1,"",SUMIF('Post-1996 commissioned assets'!$F$22:$F$435,$D63,'Post-1996 commissioned assets'!$P$22:$P$435)*(1+$K$34)*(1+$K$35))</f>
        <v>187867.02932046459</v>
      </c>
      <c r="M63" s="81">
        <f>IF(L63="","",L63/(1+'General inputs'!$H$32)^C63)</f>
        <v>212546.38602647537</v>
      </c>
      <c r="N63" s="81" t="str">
        <f>IF(LEFT(D63,4)*1&lt;LEFT('General inputs'!$I$18,4)*1+1,"",SUMIF('Uncommissioned assets'!$F$22:$F$1478,$D63,'Uncommissioned assets'!$P$22:$P$1478))</f>
        <v/>
      </c>
      <c r="O63" s="81" t="str">
        <f>IF(N63="","",N63/(1+'General inputs'!$H$32)^C63)</f>
        <v/>
      </c>
      <c r="Q63" s="86"/>
      <c r="R63" s="81" t="str">
        <f>IF(OR(LEFT(D63,4)*1&lt;LEFT('General inputs'!$I$16,4)*1,LEFT(D63,4)*1&gt;LEFT('General inputs'!$I$16,4)+'General inputs'!$H$38-1),"",Q63/(1+'General inputs'!$H$34)^C63)</f>
        <v/>
      </c>
      <c r="T63" s="86"/>
      <c r="U63" s="81" t="str">
        <f>IF(OR(LEFT(D63,4)*1&lt;LEFT('General inputs'!$I$16,4)*1,LEFT(D63,4)*1&gt;LEFT('General inputs'!$I$16,4)+'General inputs'!$H$38-1),"",T63/(1+'General inputs'!$H$34)^C63)</f>
        <v/>
      </c>
      <c r="V63" s="54"/>
    </row>
    <row r="64" spans="2:26" x14ac:dyDescent="0.25">
      <c r="B64" s="53"/>
      <c r="C64" s="28">
        <f>IF(D64='General inputs'!$I$16,0,IF(D64&lt;'General inputs'!$I$16,C65-1,C63+1))</f>
        <v>-2</v>
      </c>
      <c r="D64" s="28" t="str">
        <f t="shared" si="1"/>
        <v>2020-21</v>
      </c>
      <c r="E64" s="81">
        <f>IF(LEFT(D64,4)*1&gt;LEFT('General inputs'!$I$16,4)+'General inputs'!$H$38-1,"",'ET inputs'!D37)</f>
        <v>5422.6578086788995</v>
      </c>
      <c r="F64" s="81">
        <f>IF(LEFT(D64,4)*1&gt;LEFT('General inputs'!$I$16,4)+'General inputs'!$H$38-1,"",E64/(1+'General inputs'!$H$30)^C64)</f>
        <v>5752.8976692274446</v>
      </c>
      <c r="G64" s="81">
        <f>IF(LEFT(D64,4)*1&gt;LEFT('General inputs'!$I$16,4)+'General inputs'!$H$38-1,"",E64/(1+'General inputs'!$H$32)^C64)</f>
        <v>5887.7266329824379</v>
      </c>
      <c r="H64" s="81" t="str">
        <f>IF(LEFT(D64,4)*1&lt;LEFT('General inputs'!$I$16,4)*1,"",IF(LEFT(D64,4)*1&gt;LEFT('General inputs'!$I$16,4)+'General inputs'!$H$38-1,"",E64/(1+'General inputs'!$H$34)^C64))</f>
        <v/>
      </c>
      <c r="J64" s="109"/>
      <c r="K64" s="109"/>
      <c r="L64" s="81">
        <f>IF(LEFT(D64,4)*1&gt;LEFT('General inputs'!$I$18,4)*1,"",SUMIF('Post-1996 commissioned assets'!$F$22:$F$435,$D64,'Post-1996 commissioned assets'!$P$22:$P$435)*(1+$K$34)*(1+$K$35))</f>
        <v>2127700.5579191465</v>
      </c>
      <c r="M64" s="81">
        <f>IF(L64="","",L64/(1+'General inputs'!$H$32)^C64)</f>
        <v>2310180.6685685245</v>
      </c>
      <c r="N64" s="81" t="str">
        <f>IF(LEFT(D64,4)*1&lt;LEFT('General inputs'!$I$18,4)*1+1,"",SUMIF('Uncommissioned assets'!$F$22:$F$1478,$D64,'Uncommissioned assets'!$P$22:$P$1478))</f>
        <v/>
      </c>
      <c r="O64" s="81" t="str">
        <f>IF(N64="","",N64/(1+'General inputs'!$H$32)^C64)</f>
        <v/>
      </c>
      <c r="Q64" s="86"/>
      <c r="R64" s="81" t="str">
        <f>IF(OR(LEFT(D64,4)*1&lt;LEFT('General inputs'!$I$16,4)*1,LEFT(D64,4)*1&gt;LEFT('General inputs'!$I$16,4)+'General inputs'!$H$38-1),"",Q64/(1+'General inputs'!$H$34)^C64)</f>
        <v/>
      </c>
      <c r="T64" s="86"/>
      <c r="U64" s="81" t="str">
        <f>IF(OR(LEFT(D64,4)*1&lt;LEFT('General inputs'!$I$16,4)*1,LEFT(D64,4)*1&gt;LEFT('General inputs'!$I$16,4)+'General inputs'!$H$38-1),"",T64/(1+'General inputs'!$H$34)^C64)</f>
        <v/>
      </c>
      <c r="V64" s="54"/>
    </row>
    <row r="65" spans="2:22" x14ac:dyDescent="0.25">
      <c r="B65" s="53"/>
      <c r="C65" s="28">
        <f>IF(D65='General inputs'!$I$16,0,IF(D65&lt;'General inputs'!$I$16,C66-1,C64+1))</f>
        <v>-1</v>
      </c>
      <c r="D65" s="28" t="str">
        <f t="shared" si="1"/>
        <v>2021-22</v>
      </c>
      <c r="E65" s="81">
        <f>IF(LEFT(D65,4)*1&gt;LEFT('General inputs'!$I$16,4)+'General inputs'!$H$38-1,"",'ET inputs'!D38)</f>
        <v>3700.9909194097618</v>
      </c>
      <c r="F65" s="81">
        <f>IF(LEFT(D65,4)*1&gt;LEFT('General inputs'!$I$16,4)+'General inputs'!$H$38-1,"",E65/(1+'General inputs'!$H$30)^C65)</f>
        <v>3812.0206469920545</v>
      </c>
      <c r="G65" s="81">
        <f>IF(LEFT(D65,4)*1&gt;LEFT('General inputs'!$I$16,4)+'General inputs'!$H$38-1,"",E65/(1+'General inputs'!$H$32)^C65)</f>
        <v>3856.432538024972</v>
      </c>
      <c r="H65" s="81" t="str">
        <f>IF(LEFT(D65,4)*1&lt;LEFT('General inputs'!$I$16,4)*1,"",IF(LEFT(D65,4)*1&gt;LEFT('General inputs'!$I$16,4)+'General inputs'!$H$38-1,"",E65/(1+'General inputs'!$H$34)^C65))</f>
        <v/>
      </c>
      <c r="J65" s="109"/>
      <c r="K65" s="109"/>
      <c r="L65" s="81" t="str">
        <f>IF(LEFT(D65,4)*1&gt;LEFT('General inputs'!$I$18,4)*1,"",SUMIF('Post-1996 commissioned assets'!$F$22:$F$435,$D65,'Post-1996 commissioned assets'!$P$22:$P$435)*(1+$K$34)*(1+$K$35))</f>
        <v/>
      </c>
      <c r="M65" s="81" t="str">
        <f>IF(L65="","",L65/(1+'General inputs'!$H$32)^C65)</f>
        <v/>
      </c>
      <c r="N65" s="81">
        <f>IF(LEFT(D65,4)*1&lt;LEFT('General inputs'!$I$18,4)*1+1,"",SUMIF('Uncommissioned assets'!$F$22:$F$1478,$D65,'Uncommissioned assets'!$P$22:$P$1478))</f>
        <v>18599330</v>
      </c>
      <c r="O65" s="81">
        <f>IF(N65="","",N65/(1+'General inputs'!$H$32)^C65)</f>
        <v>19380501.859999999</v>
      </c>
      <c r="Q65" s="86"/>
      <c r="R65" s="81" t="str">
        <f>IF(OR(LEFT(D65,4)*1&lt;LEFT('General inputs'!$I$16,4)*1,LEFT(D65,4)*1&gt;LEFT('General inputs'!$I$16,4)+'General inputs'!$H$38-1),"",Q65/(1+'General inputs'!$H$34)^C65)</f>
        <v/>
      </c>
      <c r="T65" s="86"/>
      <c r="U65" s="81" t="str">
        <f>IF(OR(LEFT(D65,4)*1&lt;LEFT('General inputs'!$I$16,4)*1,LEFT(D65,4)*1&gt;LEFT('General inputs'!$I$16,4)+'General inputs'!$H$38-1),"",T65/(1+'General inputs'!$H$34)^C65)</f>
        <v/>
      </c>
      <c r="V65" s="54"/>
    </row>
    <row r="66" spans="2:22" x14ac:dyDescent="0.25">
      <c r="B66" s="53"/>
      <c r="C66" s="28">
        <f>IF(D66='General inputs'!$I$16,0,IF(D66&lt;'General inputs'!$I$16,C67-1,C65+1))</f>
        <v>0</v>
      </c>
      <c r="D66" s="28" t="str">
        <f t="shared" si="1"/>
        <v>2022-23</v>
      </c>
      <c r="E66" s="81">
        <f>IF(LEFT(D66,4)*1&gt;LEFT('General inputs'!$I$16,4)+'General inputs'!$H$38-1,"",'ET inputs'!D39)</f>
        <v>7870.6031596088396</v>
      </c>
      <c r="F66" s="81">
        <f>IF(LEFT(D66,4)*1&gt;LEFT('General inputs'!$I$16,4)+'General inputs'!$H$38-1,"",E66/(1+'General inputs'!$H$30)^C66)</f>
        <v>7870.6031596088396</v>
      </c>
      <c r="G66" s="81">
        <f>IF(LEFT(D66,4)*1&gt;LEFT('General inputs'!$I$16,4)+'General inputs'!$H$38-1,"",E66/(1+'General inputs'!$H$32)^C66)</f>
        <v>7870.6031596088396</v>
      </c>
      <c r="H66" s="81">
        <f>IF(LEFT(D66,4)*1&lt;LEFT('General inputs'!$I$16,4)*1,"",IF(LEFT(D66,4)*1&gt;LEFT('General inputs'!$I$16,4)+'General inputs'!$H$38-1,"",E66/(1+'General inputs'!$H$34)^C66))</f>
        <v>7870.6031596088396</v>
      </c>
      <c r="J66" s="109"/>
      <c r="K66" s="109"/>
      <c r="L66" s="81" t="str">
        <f>IF(LEFT(D66,4)*1&gt;LEFT('General inputs'!$I$18,4)*1,"",SUMIF('Post-1996 commissioned assets'!$F$22:$F$435,$D66,'Post-1996 commissioned assets'!$P$22:$P$435)*(1+$K$34)*(1+$K$35))</f>
        <v/>
      </c>
      <c r="M66" s="81" t="str">
        <f>IF(L66="","",L66/(1+'General inputs'!$H$32)^C66)</f>
        <v/>
      </c>
      <c r="N66" s="81">
        <f>IF(LEFT(D66,4)*1&lt;LEFT('General inputs'!$I$18,4)*1+1,"",SUMIF('Uncommissioned assets'!$F$22:$F$1478,$D66,'Uncommissioned assets'!$P$22:$P$1478))</f>
        <v>0</v>
      </c>
      <c r="O66" s="81">
        <f>IF(N66="","",N66/(1+'General inputs'!$H$32)^C66)</f>
        <v>0</v>
      </c>
      <c r="Q66" s="86">
        <f>'Reduction amount'!M38</f>
        <v>3208671.292870855</v>
      </c>
      <c r="R66" s="81">
        <f>IF(OR(LEFT(D66,4)*1&lt;LEFT('General inputs'!$I$16,4)*1,LEFT(D66,4)*1&gt;LEFT('General inputs'!$I$16,4)+'General inputs'!$H$38-1),"",Q66/(1+'General inputs'!$H$34)^C66)</f>
        <v>3208671.292870855</v>
      </c>
      <c r="T66" s="86">
        <f>'Reduction amount'!H38</f>
        <v>352295.63246246218</v>
      </c>
      <c r="U66" s="81">
        <f>IF(OR(LEFT(D66,4)*1&lt;LEFT('General inputs'!$I$16,4)*1,LEFT(D66,4)*1&gt;LEFT('General inputs'!$I$16,4)+'General inputs'!$H$38-1),"",T66/(1+'General inputs'!$H$34)^C66)</f>
        <v>352295.63246246218</v>
      </c>
      <c r="V66" s="54"/>
    </row>
    <row r="67" spans="2:22" x14ac:dyDescent="0.25">
      <c r="B67" s="53"/>
      <c r="C67" s="28">
        <f>IF(D67='General inputs'!$I$16,0,IF(D67&lt;'General inputs'!$I$16,C68-1,C66+1))</f>
        <v>1</v>
      </c>
      <c r="D67" s="28" t="str">
        <f t="shared" si="1"/>
        <v>2023-24</v>
      </c>
      <c r="E67" s="81">
        <f>IF(LEFT(D67,4)*1&gt;LEFT('General inputs'!$I$16,4)+'General inputs'!$H$38-1,"",'ET inputs'!D40)</f>
        <v>8270.4856403382146</v>
      </c>
      <c r="F67" s="81">
        <f>IF(LEFT(D67,4)*1&gt;LEFT('General inputs'!$I$16,4)+'General inputs'!$H$38-1,"",E67/(1+'General inputs'!$H$30)^C67)</f>
        <v>8029.5977090662273</v>
      </c>
      <c r="G67" s="81">
        <f>IF(LEFT(D67,4)*1&gt;LEFT('General inputs'!$I$16,4)+'General inputs'!$H$38-1,"",E67/(1+'General inputs'!$H$32)^C67)</f>
        <v>7937.1263342977109</v>
      </c>
      <c r="H67" s="81">
        <f>IF(LEFT(D67,4)*1&lt;LEFT('General inputs'!$I$16,4)*1,"",IF(LEFT(D67,4)*1&gt;LEFT('General inputs'!$I$16,4)+'General inputs'!$H$38-1,"",E67/(1+'General inputs'!$H$34)^C67))</f>
        <v>7937.1263342977109</v>
      </c>
      <c r="J67" s="109"/>
      <c r="K67" s="109"/>
      <c r="L67" s="81" t="str">
        <f>IF(LEFT(D67,4)*1&gt;LEFT('General inputs'!$I$18,4)*1,"",SUMIF('Post-1996 commissioned assets'!$F$22:$F$435,$D67,'Post-1996 commissioned assets'!$P$22:$P$435)*(1+$K$34)*(1+$K$35))</f>
        <v/>
      </c>
      <c r="M67" s="81" t="str">
        <f>IF(L67="","",L67/(1+'General inputs'!$H$32)^C67)</f>
        <v/>
      </c>
      <c r="N67" s="81">
        <f>IF(LEFT(D67,4)*1&lt;LEFT('General inputs'!$I$18,4)*1+1,"",SUMIF('Uncommissioned assets'!$F$22:$F$1478,$D67,'Uncommissioned assets'!$P$22:$P$1478))</f>
        <v>2917750</v>
      </c>
      <c r="O67" s="81">
        <f>IF(N67="","",N67/(1+'General inputs'!$H$32)^C67)</f>
        <v>2800143.9539347407</v>
      </c>
      <c r="Q67" s="86">
        <f>'Reduction amount'!M39</f>
        <v>6716546.8482002635</v>
      </c>
      <c r="R67" s="81">
        <f>IF(OR(LEFT(D67,4)*1&lt;LEFT('General inputs'!$I$16,4)*1,LEFT(D67,4)*1&gt;LEFT('General inputs'!$I$16,4)+'General inputs'!$H$38-1),"",Q67/(1+'General inputs'!$H$34)^C67)</f>
        <v>6445822.3111326899</v>
      </c>
      <c r="T67" s="86">
        <f>'Reduction amount'!H39</f>
        <v>968574.04571893986</v>
      </c>
      <c r="U67" s="81">
        <f>IF(OR(LEFT(D67,4)*1&lt;LEFT('General inputs'!$I$16,4)*1,LEFT(D67,4)*1&gt;LEFT('General inputs'!$I$16,4)+'General inputs'!$H$38-1),"",T67/(1+'General inputs'!$H$34)^C67)</f>
        <v>929533.63312758144</v>
      </c>
      <c r="V67" s="54"/>
    </row>
    <row r="68" spans="2:22" x14ac:dyDescent="0.25">
      <c r="B68" s="53"/>
      <c r="C68" s="28">
        <f>IF(D68='General inputs'!$I$16,0,IF(D68&lt;'General inputs'!$I$16,C69-1,C67+1))</f>
        <v>2</v>
      </c>
      <c r="D68" s="28" t="str">
        <f t="shared" si="1"/>
        <v>2024-25</v>
      </c>
      <c r="E68" s="81">
        <f>IF(LEFT(D68,4)*1&gt;LEFT('General inputs'!$I$16,4)+'General inputs'!$H$38-1,"",'ET inputs'!D41)</f>
        <v>9539.4680268355987</v>
      </c>
      <c r="F68" s="81">
        <f>IF(LEFT(D68,4)*1&gt;LEFT('General inputs'!$I$16,4)+'General inputs'!$H$38-1,"",E68/(1+'General inputs'!$H$30)^C68)</f>
        <v>8991.8635374074838</v>
      </c>
      <c r="G68" s="81">
        <f>IF(LEFT(D68,4)*1&gt;LEFT('General inputs'!$I$16,4)+'General inputs'!$H$38-1,"",E68/(1+'General inputs'!$H$32)^C68)</f>
        <v>8785.9498259618085</v>
      </c>
      <c r="H68" s="81">
        <f>IF(LEFT(D68,4)*1&lt;LEFT('General inputs'!$I$16,4)*1,"",IF(LEFT(D68,4)*1&gt;LEFT('General inputs'!$I$16,4)+'General inputs'!$H$38-1,"",E68/(1+'General inputs'!$H$34)^C68))</f>
        <v>8785.9498259618085</v>
      </c>
      <c r="J68" s="109"/>
      <c r="K68" s="109"/>
      <c r="L68" s="81" t="str">
        <f>IF(LEFT(D68,4)*1&gt;LEFT('General inputs'!$I$18,4)*1,"",SUMIF('Post-1996 commissioned assets'!$F$22:$F$435,$D68,'Post-1996 commissioned assets'!$P$22:$P$435)*(1+$K$34)*(1+$K$35))</f>
        <v/>
      </c>
      <c r="M68" s="81" t="str">
        <f>IF(L68="","",L68/(1+'General inputs'!$H$32)^C68)</f>
        <v/>
      </c>
      <c r="N68" s="81">
        <f>IF(LEFT(D68,4)*1&lt;LEFT('General inputs'!$I$18,4)*1+1,"",SUMIF('Uncommissioned assets'!$F$22:$F$1478,$D68,'Uncommissioned assets'!$P$22:$P$1478))</f>
        <v>0</v>
      </c>
      <c r="O68" s="81">
        <f>IF(N68="","",N68/(1+'General inputs'!$H$32)^C68)</f>
        <v>0</v>
      </c>
      <c r="Q68" s="86">
        <f>'Reduction amount'!M40</f>
        <v>10653099.389332572</v>
      </c>
      <c r="R68" s="81">
        <f>IF(OR(LEFT(D68,4)*1&lt;LEFT('General inputs'!$I$16,4)*1,LEFT(D68,4)*1&gt;LEFT('General inputs'!$I$16,4)+'General inputs'!$H$38-1),"",Q68/(1+'General inputs'!$H$34)^C68)</f>
        <v>9811615.9582861196</v>
      </c>
      <c r="T68" s="86">
        <f>'Reduction amount'!H40</f>
        <v>1811898.6115136312</v>
      </c>
      <c r="U68" s="81">
        <f>IF(OR(LEFT(D68,4)*1&lt;LEFT('General inputs'!$I$16,4)*1,LEFT(D68,4)*1&gt;LEFT('General inputs'!$I$16,4)+'General inputs'!$H$38-1),"",T68/(1+'General inputs'!$H$34)^C68)</f>
        <v>1668777.5718421598</v>
      </c>
      <c r="V68" s="54"/>
    </row>
    <row r="69" spans="2:22" x14ac:dyDescent="0.25">
      <c r="B69" s="53"/>
      <c r="C69" s="28">
        <f>IF(D69='General inputs'!$I$16,0,IF(D69&lt;'General inputs'!$I$16,C70-1,C68+1))</f>
        <v>3</v>
      </c>
      <c r="D69" s="28" t="str">
        <f t="shared" si="1"/>
        <v>2025-26</v>
      </c>
      <c r="E69" s="81">
        <f>IF(LEFT(D69,4)*1&gt;LEFT('General inputs'!$I$16,4)+'General inputs'!$H$38-1,"",'ET inputs'!D42)</f>
        <v>10698.730529318895</v>
      </c>
      <c r="F69" s="81">
        <f>IF(LEFT(D69,4)*1&gt;LEFT('General inputs'!$I$16,4)+'General inputs'!$H$38-1,"",E69/(1+'General inputs'!$H$30)^C69)</f>
        <v>9790.8540095732005</v>
      </c>
      <c r="G69" s="81">
        <f>IF(LEFT(D69,4)*1&gt;LEFT('General inputs'!$I$16,4)+'General inputs'!$H$38-1,"",E69/(1+'General inputs'!$H$32)^C69)</f>
        <v>9456.470936151034</v>
      </c>
      <c r="H69" s="81">
        <f>IF(LEFT(D69,4)*1&lt;LEFT('General inputs'!$I$16,4)*1,"",IF(LEFT(D69,4)*1&gt;LEFT('General inputs'!$I$16,4)+'General inputs'!$H$38-1,"",E69/(1+'General inputs'!$H$34)^C69))</f>
        <v>9456.470936151034</v>
      </c>
      <c r="J69" s="109"/>
      <c r="K69" s="109"/>
      <c r="L69" s="81" t="str">
        <f>IF(LEFT(D69,4)*1&gt;LEFT('General inputs'!$I$18,4)*1,"",SUMIF('Post-1996 commissioned assets'!$F$22:$F$435,$D69,'Post-1996 commissioned assets'!$P$22:$P$435)*(1+$K$34)*(1+$K$35))</f>
        <v/>
      </c>
      <c r="M69" s="81" t="str">
        <f>IF(L69="","",L69/(1+'General inputs'!$H$32)^C69)</f>
        <v/>
      </c>
      <c r="N69" s="81">
        <f>IF(LEFT(D69,4)*1&lt;LEFT('General inputs'!$I$18,4)*1+1,"",SUMIF('Uncommissioned assets'!$F$22:$F$1478,$D69,'Uncommissioned assets'!$P$22:$P$1478))</f>
        <v>181851020</v>
      </c>
      <c r="O69" s="81">
        <f>IF(N69="","",N69/(1+'General inputs'!$H$32)^C69)</f>
        <v>160735788.29065979</v>
      </c>
      <c r="Q69" s="86">
        <f>'Reduction amount'!M41</f>
        <v>15307710.768210091</v>
      </c>
      <c r="R69" s="81">
        <f>IF(OR(LEFT(D69,4)*1&lt;LEFT('General inputs'!$I$16,4)*1,LEFT(D69,4)*1&gt;LEFT('General inputs'!$I$16,4)+'General inputs'!$H$38-1),"",Q69/(1+'General inputs'!$H$34)^C69)</f>
        <v>13530289.55929788</v>
      </c>
      <c r="T69" s="86">
        <f>'Reduction amount'!H41</f>
        <v>2892825.5476699178</v>
      </c>
      <c r="U69" s="81">
        <f>IF(OR(LEFT(D69,4)*1&lt;LEFT('General inputs'!$I$16,4)*1,LEFT(D69,4)*1&gt;LEFT('General inputs'!$I$16,4)+'General inputs'!$H$38-1),"",T69/(1+'General inputs'!$H$34)^C69)</f>
        <v>2556931.4639647542</v>
      </c>
      <c r="V69" s="54"/>
    </row>
    <row r="70" spans="2:22" x14ac:dyDescent="0.25">
      <c r="B70" s="53"/>
      <c r="C70" s="28">
        <f>IF(D70='General inputs'!$I$16,0,IF(D70&lt;'General inputs'!$I$16,C71-1,C69+1))</f>
        <v>4</v>
      </c>
      <c r="D70" s="28" t="str">
        <f t="shared" si="1"/>
        <v>2026-27</v>
      </c>
      <c r="E70" s="81">
        <f>IF(LEFT(D70,4)*1&gt;LEFT('General inputs'!$I$16,4)+'General inputs'!$H$38-1,"",'ET inputs'!D43)</f>
        <v>11636.017090373083</v>
      </c>
      <c r="F70" s="81">
        <f>IF(LEFT(D70,4)*1&gt;LEFT('General inputs'!$I$16,4)+'General inputs'!$H$38-1,"",E70/(1+'General inputs'!$H$30)^C70)</f>
        <v>10338.450474122086</v>
      </c>
      <c r="G70" s="81">
        <f>IF(LEFT(D70,4)*1&gt;LEFT('General inputs'!$I$16,4)+'General inputs'!$H$38-1,"",E70/(1+'General inputs'!$H$32)^C70)</f>
        <v>9870.3709473472372</v>
      </c>
      <c r="H70" s="81">
        <f>IF(LEFT(D70,4)*1&lt;LEFT('General inputs'!$I$16,4)*1,"",IF(LEFT(D70,4)*1&gt;LEFT('General inputs'!$I$16,4)+'General inputs'!$H$38-1,"",E70/(1+'General inputs'!$H$34)^C70))</f>
        <v>9870.3709473472372</v>
      </c>
      <c r="J70" s="109"/>
      <c r="K70" s="109"/>
      <c r="L70" s="81" t="str">
        <f>IF(LEFT(D70,4)*1&gt;LEFT('General inputs'!$I$18,4)*1,"",SUMIF('Post-1996 commissioned assets'!$F$22:$F$435,$D70,'Post-1996 commissioned assets'!$P$22:$P$435)*(1+$K$34)*(1+$K$35))</f>
        <v/>
      </c>
      <c r="M70" s="81" t="str">
        <f>IF(L70="","",L70/(1+'General inputs'!$H$32)^C70)</f>
        <v/>
      </c>
      <c r="N70" s="81">
        <f>IF(LEFT(D70,4)*1&lt;LEFT('General inputs'!$I$18,4)*1+1,"",SUMIF('Uncommissioned assets'!$F$22:$F$1478,$D70,'Uncommissioned assets'!$P$22:$P$1478))</f>
        <v>263944083.60000002</v>
      </c>
      <c r="O70" s="81">
        <f>IF(N70="","",N70/(1+'General inputs'!$H$32)^C70)</f>
        <v>223893278.45221475</v>
      </c>
      <c r="Q70" s="86">
        <f>'Reduction amount'!M42</f>
        <v>20473134.338797558</v>
      </c>
      <c r="R70" s="81">
        <f>IF(OR(LEFT(D70,4)*1&lt;LEFT('General inputs'!$I$16,4)*1,LEFT(D70,4)*1&gt;LEFT('General inputs'!$I$16,4)+'General inputs'!$H$38-1),"",Q70/(1+'General inputs'!$H$34)^C70)</f>
        <v>17366546.371437594</v>
      </c>
      <c r="T70" s="86">
        <f>'Reduction amount'!H42</f>
        <v>4103466.1262387144</v>
      </c>
      <c r="U70" s="81">
        <f>IF(OR(LEFT(D70,4)*1&lt;LEFT('General inputs'!$I$16,4)*1,LEFT(D70,4)*1&gt;LEFT('General inputs'!$I$16,4)+'General inputs'!$H$38-1),"",T70/(1+'General inputs'!$H$34)^C70)</f>
        <v>3480807.266032598</v>
      </c>
      <c r="V70" s="54"/>
    </row>
    <row r="71" spans="2:22" x14ac:dyDescent="0.25">
      <c r="B71" s="53"/>
      <c r="C71" s="28">
        <f>IF(D71='General inputs'!$I$16,0,IF(D71&lt;'General inputs'!$I$16,C72-1,C70+1))</f>
        <v>5</v>
      </c>
      <c r="D71" s="28" t="str">
        <f t="shared" si="1"/>
        <v>2027-28</v>
      </c>
      <c r="E71" s="81">
        <f>IF(LEFT(D71,4)*1&gt;LEFT('General inputs'!$I$16,4)+'General inputs'!$H$38-1,"",'ET inputs'!D44)</f>
        <v>10087.819817041765</v>
      </c>
      <c r="F71" s="81">
        <f>IF(LEFT(D71,4)*1&gt;LEFT('General inputs'!$I$16,4)+'General inputs'!$H$38-1,"",E71/(1+'General inputs'!$H$30)^C71)</f>
        <v>8701.8419894648778</v>
      </c>
      <c r="G71" s="81">
        <f>IF(LEFT(D71,4)*1&gt;LEFT('General inputs'!$I$16,4)+'General inputs'!$H$38-1,"",E71/(1+'General inputs'!$H$32)^C71)</f>
        <v>8212.1849492365145</v>
      </c>
      <c r="H71" s="81">
        <f>IF(LEFT(D71,4)*1&lt;LEFT('General inputs'!$I$16,4)*1,"",IF(LEFT(D71,4)*1&gt;LEFT('General inputs'!$I$16,4)+'General inputs'!$H$38-1,"",E71/(1+'General inputs'!$H$34)^C71))</f>
        <v>8212.1849492365145</v>
      </c>
      <c r="J71" s="109"/>
      <c r="K71" s="109"/>
      <c r="L71" s="81" t="str">
        <f>IF(LEFT(D71,4)*1&gt;LEFT('General inputs'!$I$18,4)*1,"",SUMIF('Post-1996 commissioned assets'!$F$22:$F$435,$D71,'Post-1996 commissioned assets'!$P$22:$P$435)*(1+$K$34)*(1+$K$35))</f>
        <v/>
      </c>
      <c r="M71" s="81" t="str">
        <f>IF(L71="","",L71/(1+'General inputs'!$H$32)^C71)</f>
        <v/>
      </c>
      <c r="N71" s="81">
        <f>IF(LEFT(D71,4)*1&lt;LEFT('General inputs'!$I$18,4)*1+1,"",SUMIF('Uncommissioned assets'!$F$22:$F$1478,$D71,'Uncommissioned assets'!$P$22:$P$1478))</f>
        <v>0</v>
      </c>
      <c r="O71" s="81">
        <f>IF(N71="","",N71/(1+'General inputs'!$H$32)^C71)</f>
        <v>0</v>
      </c>
      <c r="Q71" s="86">
        <f>'Reduction amount'!M43</f>
        <v>25010354.471221376</v>
      </c>
      <c r="R71" s="81">
        <f>IF(OR(LEFT(D71,4)*1&lt;LEFT('General inputs'!$I$16,4)*1,LEFT(D71,4)*1&gt;LEFT('General inputs'!$I$16,4)+'General inputs'!$H$38-1),"",Q71/(1+'General inputs'!$H$34)^C71)</f>
        <v>20360163.076729544</v>
      </c>
      <c r="T71" s="86">
        <f>'Reduction amount'!H43</f>
        <v>5158372.3325819969</v>
      </c>
      <c r="U71" s="81">
        <f>IF(OR(LEFT(D71,4)*1&lt;LEFT('General inputs'!$I$16,4)*1,LEFT(D71,4)*1&gt;LEFT('General inputs'!$I$16,4)+'General inputs'!$H$38-1),"",T71/(1+'General inputs'!$H$34)^C71)</f>
        <v>4199272.8260892313</v>
      </c>
      <c r="V71" s="54"/>
    </row>
    <row r="72" spans="2:22" x14ac:dyDescent="0.25">
      <c r="B72" s="53"/>
      <c r="C72" s="28">
        <f>IF(D72='General inputs'!$I$16,0,IF(D72&lt;'General inputs'!$I$16,C73-1,C71+1))</f>
        <v>6</v>
      </c>
      <c r="D72" s="28" t="str">
        <f t="shared" si="1"/>
        <v>2028-29</v>
      </c>
      <c r="E72" s="81">
        <f>IF(LEFT(D72,4)*1&gt;LEFT('General inputs'!$I$16,4)+'General inputs'!$H$38-1,"",'ET inputs'!D45)</f>
        <v>10394.72941697737</v>
      </c>
      <c r="F72" s="81">
        <f>IF(LEFT(D72,4)*1&gt;LEFT('General inputs'!$I$16,4)+'General inputs'!$H$38-1,"",E72/(1+'General inputs'!$H$30)^C72)</f>
        <v>8705.4222392050087</v>
      </c>
      <c r="G72" s="81">
        <f>IF(LEFT(D72,4)*1&gt;LEFT('General inputs'!$I$16,4)+'General inputs'!$H$38-1,"",E72/(1+'General inputs'!$H$32)^C72)</f>
        <v>8120.9507184380645</v>
      </c>
      <c r="H72" s="81">
        <f>IF(LEFT(D72,4)*1&lt;LEFT('General inputs'!$I$16,4)*1,"",IF(LEFT(D72,4)*1&gt;LEFT('General inputs'!$I$16,4)+'General inputs'!$H$38-1,"",E72/(1+'General inputs'!$H$34)^C72))</f>
        <v>8120.9507184380645</v>
      </c>
      <c r="J72" s="109"/>
      <c r="K72" s="109"/>
      <c r="L72" s="81" t="str">
        <f>IF(LEFT(D72,4)*1&gt;LEFT('General inputs'!$I$18,4)*1,"",SUMIF('Post-1996 commissioned assets'!$F$22:$F$435,$D72,'Post-1996 commissioned assets'!$P$22:$P$435)*(1+$K$34)*(1+$K$35))</f>
        <v/>
      </c>
      <c r="M72" s="81" t="str">
        <f>IF(L72="","",L72/(1+'General inputs'!$H$32)^C72)</f>
        <v/>
      </c>
      <c r="N72" s="81">
        <f>IF(LEFT(D72,4)*1&lt;LEFT('General inputs'!$I$18,4)*1+1,"",SUMIF('Uncommissioned assets'!$F$22:$F$1478,$D72,'Uncommissioned assets'!$P$22:$P$1478))</f>
        <v>0</v>
      </c>
      <c r="O72" s="81">
        <f>IF(N72="","",N72/(1+'General inputs'!$H$32)^C72)</f>
        <v>0</v>
      </c>
      <c r="Q72" s="86">
        <f>'Reduction amount'!M44</f>
        <v>29647619.821085747</v>
      </c>
      <c r="R72" s="81">
        <f>IF(OR(LEFT(D72,4)*1&lt;LEFT('General inputs'!$I$16,4)*1,LEFT(D72,4)*1&gt;LEFT('General inputs'!$I$16,4)+'General inputs'!$H$38-1),"",Q72/(1+'General inputs'!$H$34)^C72)</f>
        <v>23162397.96418253</v>
      </c>
      <c r="T72" s="86">
        <f>'Reduction amount'!H44</f>
        <v>6305032.7871017056</v>
      </c>
      <c r="U72" s="81">
        <f>IF(OR(LEFT(D72,4)*1&lt;LEFT('General inputs'!$I$16,4)*1,LEFT(D72,4)*1&gt;LEFT('General inputs'!$I$16,4)+'General inputs'!$H$38-1),"",T72/(1+'General inputs'!$H$34)^C72)</f>
        <v>4925848.3302664133</v>
      </c>
      <c r="V72" s="54"/>
    </row>
    <row r="73" spans="2:22" x14ac:dyDescent="0.25">
      <c r="B73" s="53"/>
      <c r="C73" s="28">
        <f>IF(D73='General inputs'!$I$16,0,IF(D73&lt;'General inputs'!$I$16,C74-1,C72+1))</f>
        <v>7</v>
      </c>
      <c r="D73" s="28" t="str">
        <f t="shared" si="1"/>
        <v>2029-30</v>
      </c>
      <c r="E73" s="81">
        <f>IF(LEFT(D73,4)*1&gt;LEFT('General inputs'!$I$16,4)+'General inputs'!$H$38-1,"",'ET inputs'!D46)</f>
        <v>10202.718636632908</v>
      </c>
      <c r="F73" s="81">
        <f>IF(LEFT(D73,4)*1&gt;LEFT('General inputs'!$I$16,4)+'General inputs'!$H$38-1,"",E73/(1+'General inputs'!$H$30)^C73)</f>
        <v>8295.7439160708527</v>
      </c>
      <c r="G73" s="81">
        <f>IF(LEFT(D73,4)*1&gt;LEFT('General inputs'!$I$16,4)+'General inputs'!$H$38-1,"",E73/(1+'General inputs'!$H$32)^C73)</f>
        <v>7649.6555024242516</v>
      </c>
      <c r="H73" s="81">
        <f>IF(LEFT(D73,4)*1&lt;LEFT('General inputs'!$I$16,4)*1,"",IF(LEFT(D73,4)*1&gt;LEFT('General inputs'!$I$16,4)+'General inputs'!$H$38-1,"",E73/(1+'General inputs'!$H$34)^C73))</f>
        <v>7649.6555024242516</v>
      </c>
      <c r="J73" s="109"/>
      <c r="K73" s="109"/>
      <c r="L73" s="81" t="str">
        <f>IF(LEFT(D73,4)*1&gt;LEFT('General inputs'!$I$18,4)*1,"",SUMIF('Post-1996 commissioned assets'!$F$22:$F$435,$D73,'Post-1996 commissioned assets'!$P$22:$P$435)*(1+$K$34)*(1+$K$35))</f>
        <v/>
      </c>
      <c r="M73" s="81" t="str">
        <f>IF(L73="","",L73/(1+'General inputs'!$H$32)^C73)</f>
        <v/>
      </c>
      <c r="N73" s="81">
        <f>IF(LEFT(D73,4)*1&lt;LEFT('General inputs'!$I$18,4)*1+1,"",SUMIF('Uncommissioned assets'!$F$22:$F$1478,$D73,'Uncommissioned assets'!$P$22:$P$1478))</f>
        <v>0</v>
      </c>
      <c r="O73" s="81">
        <f>IF(N73="","",N73/(1+'General inputs'!$H$32)^C73)</f>
        <v>0</v>
      </c>
      <c r="Q73" s="86">
        <f>'Reduction amount'!M45</f>
        <v>34231843.102903903</v>
      </c>
      <c r="R73" s="81">
        <f>IF(OR(LEFT(D73,4)*1&lt;LEFT('General inputs'!$I$16,4)*1,LEFT(D73,4)*1&gt;LEFT('General inputs'!$I$16,4)+'General inputs'!$H$38-1),"",Q73/(1+'General inputs'!$H$34)^C73)</f>
        <v>25665885.3660863</v>
      </c>
      <c r="T73" s="86">
        <f>'Reduction amount'!H45</f>
        <v>7381024.6034834143</v>
      </c>
      <c r="U73" s="81">
        <f>IF(OR(LEFT(D73,4)*1&lt;LEFT('General inputs'!$I$16,4)*1,LEFT(D73,4)*1&gt;LEFT('General inputs'!$I$16,4)+'General inputs'!$H$38-1),"",T73/(1+'General inputs'!$H$34)^C73)</f>
        <v>5534044.1584694451</v>
      </c>
      <c r="V73" s="54"/>
    </row>
    <row r="74" spans="2:22" x14ac:dyDescent="0.25">
      <c r="B74" s="53"/>
      <c r="C74" s="28">
        <f>IF(D74='General inputs'!$I$16,0,IF(D74&lt;'General inputs'!$I$16,C75-1,C73+1))</f>
        <v>8</v>
      </c>
      <c r="D74" s="28" t="str">
        <f t="shared" si="1"/>
        <v>2030-31</v>
      </c>
      <c r="E74" s="81">
        <f>IF(LEFT(D74,4)*1&gt;LEFT('General inputs'!$I$16,4)+'General inputs'!$H$38-1,"",'ET inputs'!D47)</f>
        <v>9502.7741749997622</v>
      </c>
      <c r="F74" s="81">
        <f>IF(LEFT(D74,4)*1&gt;LEFT('General inputs'!$I$16,4)+'General inputs'!$H$38-1,"",E74/(1+'General inputs'!$H$30)^C74)</f>
        <v>7501.5776853448051</v>
      </c>
      <c r="G74" s="81">
        <f>IF(LEFT(D74,4)*1&gt;LEFT('General inputs'!$I$16,4)+'General inputs'!$H$38-1,"",E74/(1+'General inputs'!$H$32)^C74)</f>
        <v>6837.6781875782071</v>
      </c>
      <c r="H74" s="81">
        <f>IF(LEFT(D74,4)*1&lt;LEFT('General inputs'!$I$16,4)*1,"",IF(LEFT(D74,4)*1&gt;LEFT('General inputs'!$I$16,4)+'General inputs'!$H$38-1,"",E74/(1+'General inputs'!$H$34)^C74))</f>
        <v>6837.6781875782071</v>
      </c>
      <c r="J74" s="109"/>
      <c r="K74" s="109"/>
      <c r="L74" s="81" t="str">
        <f>IF(LEFT(D74,4)*1&gt;LEFT('General inputs'!$I$18,4)*1,"",SUMIF('Post-1996 commissioned assets'!$F$22:$F$435,$D74,'Post-1996 commissioned assets'!$P$22:$P$435)*(1+$K$34)*(1+$K$35))</f>
        <v/>
      </c>
      <c r="M74" s="81" t="str">
        <f>IF(L74="","",L74/(1+'General inputs'!$H$32)^C74)</f>
        <v/>
      </c>
      <c r="N74" s="81">
        <f>IF(LEFT(D74,4)*1&lt;LEFT('General inputs'!$I$18,4)*1+1,"",SUMIF('Uncommissioned assets'!$F$22:$F$1478,$D74,'Uncommissioned assets'!$P$22:$P$1478))</f>
        <v>13700000</v>
      </c>
      <c r="O74" s="81">
        <f>IF(N74="","",N74/(1+'General inputs'!$H$32)^C74)</f>
        <v>9857773.0507653337</v>
      </c>
      <c r="Q74" s="86">
        <f>'Reduction amount'!M46</f>
        <v>38471671.15887142</v>
      </c>
      <c r="R74" s="81">
        <f>IF(OR(LEFT(D74,4)*1&lt;LEFT('General inputs'!$I$16,4)*1,LEFT(D74,4)*1&gt;LEFT('General inputs'!$I$16,4)+'General inputs'!$H$38-1),"",Q74/(1+'General inputs'!$H$34)^C74)</f>
        <v>27682117.019549534</v>
      </c>
      <c r="T74" s="86">
        <f>'Reduction amount'!H46</f>
        <v>8430425.0613661222</v>
      </c>
      <c r="U74" s="81">
        <f>IF(OR(LEFT(D74,4)*1&lt;LEFT('General inputs'!$I$16,4)*1,LEFT(D74,4)*1&gt;LEFT('General inputs'!$I$16,4)+'General inputs'!$H$38-1),"",T74/(1+'General inputs'!$H$34)^C74)</f>
        <v>6066074.2318563247</v>
      </c>
      <c r="V74" s="54"/>
    </row>
    <row r="75" spans="2:22" x14ac:dyDescent="0.25">
      <c r="B75" s="53"/>
      <c r="C75" s="28">
        <f>IF(D75='General inputs'!$I$16,0,IF(D75&lt;'General inputs'!$I$16,C76-1,C74+1))</f>
        <v>9</v>
      </c>
      <c r="D75" s="28" t="str">
        <f t="shared" si="1"/>
        <v>2031-32</v>
      </c>
      <c r="E75" s="81">
        <f>IF(LEFT(D75,4)*1&gt;LEFT('General inputs'!$I$16,4)+'General inputs'!$H$38-1,"",'ET inputs'!D48)</f>
        <v>7731.2417721271395</v>
      </c>
      <c r="F75" s="81">
        <f>IF(LEFT(D75,4)*1&gt;LEFT('General inputs'!$I$16,4)+'General inputs'!$H$38-1,"",E75/(1+'General inputs'!$H$30)^C75)</f>
        <v>5925.3530559522342</v>
      </c>
      <c r="G75" s="81">
        <f>IF(LEFT(D75,4)*1&gt;LEFT('General inputs'!$I$16,4)+'General inputs'!$H$38-1,"",E75/(1+'General inputs'!$H$32)^C75)</f>
        <v>5338.7524545880424</v>
      </c>
      <c r="H75" s="81">
        <f>IF(LEFT(D75,4)*1&lt;LEFT('General inputs'!$I$16,4)*1,"",IF(LEFT(D75,4)*1&gt;LEFT('General inputs'!$I$16,4)+'General inputs'!$H$38-1,"",E75/(1+'General inputs'!$H$34)^C75))</f>
        <v>5338.7524545880424</v>
      </c>
      <c r="J75" s="109"/>
      <c r="K75" s="109"/>
      <c r="L75" s="81" t="str">
        <f>IF(LEFT(D75,4)*1&gt;LEFT('General inputs'!$I$18,4)*1,"",SUMIF('Post-1996 commissioned assets'!$F$22:$F$435,$D75,'Post-1996 commissioned assets'!$P$22:$P$435)*(1+$K$34)*(1+$K$35))</f>
        <v/>
      </c>
      <c r="M75" s="81" t="str">
        <f>IF(L75="","",L75/(1+'General inputs'!$H$32)^C75)</f>
        <v/>
      </c>
      <c r="N75" s="81">
        <f>IF(LEFT(D75,4)*1&lt;LEFT('General inputs'!$I$18,4)*1+1,"",SUMIF('Uncommissioned assets'!$F$22:$F$1478,$D75,'Uncommissioned assets'!$P$22:$P$1478))</f>
        <v>2114610307.9429998</v>
      </c>
      <c r="O75" s="81">
        <f>IF(N75="","",N75/(1+'General inputs'!$H$32)^C75)</f>
        <v>1460228680.5631428</v>
      </c>
      <c r="Q75" s="86">
        <f>'Reduction amount'!M47</f>
        <v>41944139.915916808</v>
      </c>
      <c r="R75" s="81">
        <f>IF(OR(LEFT(D75,4)*1&lt;LEFT('General inputs'!$I$16,4)*1,LEFT(D75,4)*1&gt;LEFT('General inputs'!$I$16,4)+'General inputs'!$H$38-1),"",Q75/(1+'General inputs'!$H$34)^C75)</f>
        <v>28964219.013173379</v>
      </c>
      <c r="T75" s="86">
        <f>'Reduction amount'!H47</f>
        <v>9246524.0551295485</v>
      </c>
      <c r="U75" s="81">
        <f>IF(OR(LEFT(D75,4)*1&lt;LEFT('General inputs'!$I$16,4)*1,LEFT(D75,4)*1&gt;LEFT('General inputs'!$I$16,4)+'General inputs'!$H$38-1),"",T75/(1+'General inputs'!$H$34)^C75)</f>
        <v>6385119.551389765</v>
      </c>
      <c r="V75" s="54"/>
    </row>
    <row r="76" spans="2:22" x14ac:dyDescent="0.25">
      <c r="B76" s="53"/>
      <c r="C76" s="28">
        <f>IF(D76='General inputs'!$I$16,0,IF(D76&lt;'General inputs'!$I$16,C77-1,C75+1))</f>
        <v>10</v>
      </c>
      <c r="D76" s="28" t="str">
        <f t="shared" si="1"/>
        <v>2032-33</v>
      </c>
      <c r="E76" s="81">
        <f>IF(LEFT(D76,4)*1&gt;LEFT('General inputs'!$I$16,4)+'General inputs'!$H$38-1,"",'ET inputs'!D49)</f>
        <v>8471.5632229311395</v>
      </c>
      <c r="F76" s="81">
        <f>IF(LEFT(D76,4)*1&gt;LEFT('General inputs'!$I$16,4)+'General inputs'!$H$38-1,"",E76/(1+'General inputs'!$H$30)^C76)</f>
        <v>6303.6386438459504</v>
      </c>
      <c r="G76" s="81">
        <f>IF(LEFT(D76,4)*1&gt;LEFT('General inputs'!$I$16,4)+'General inputs'!$H$38-1,"",E76/(1+'General inputs'!$H$32)^C76)</f>
        <v>5614.1804388340079</v>
      </c>
      <c r="H76" s="81">
        <f>IF(LEFT(D76,4)*1&lt;LEFT('General inputs'!$I$16,4)*1,"",IF(LEFT(D76,4)*1&gt;LEFT('General inputs'!$I$16,4)+'General inputs'!$H$38-1,"",E76/(1+'General inputs'!$H$34)^C76))</f>
        <v>5614.1804388340079</v>
      </c>
      <c r="J76" s="109"/>
      <c r="K76" s="109"/>
      <c r="L76" s="81" t="str">
        <f>IF(LEFT(D76,4)*1&gt;LEFT('General inputs'!$I$18,4)*1,"",SUMIF('Post-1996 commissioned assets'!$F$22:$F$435,$D76,'Post-1996 commissioned assets'!$P$22:$P$435)*(1+$K$34)*(1+$K$35))</f>
        <v/>
      </c>
      <c r="M76" s="81" t="str">
        <f>IF(L76="","",L76/(1+'General inputs'!$H$32)^C76)</f>
        <v/>
      </c>
      <c r="N76" s="81">
        <f>IF(LEFT(D76,4)*1&lt;LEFT('General inputs'!$I$18,4)*1+1,"",SUMIF('Uncommissioned assets'!$F$22:$F$1478,$D76,'Uncommissioned assets'!$P$22:$P$1478))</f>
        <v>0</v>
      </c>
      <c r="O76" s="81">
        <f>IF(N76="","",N76/(1+'General inputs'!$H$32)^C76)</f>
        <v>0</v>
      </c>
      <c r="Q76" s="86">
        <f>'Reduction amount'!M48</f>
        <v>45790507.214884728</v>
      </c>
      <c r="R76" s="81">
        <f>IF(OR(LEFT(D76,4)*1&lt;LEFT('General inputs'!$I$16,4)*1,LEFT(D76,4)*1&gt;LEFT('General inputs'!$I$16,4)+'General inputs'!$H$38-1),"",Q76/(1+'General inputs'!$H$34)^C76)</f>
        <v>30345777.175365947</v>
      </c>
      <c r="T76" s="86">
        <f>'Reduction amount'!H48</f>
        <v>10132664.344681356</v>
      </c>
      <c r="U76" s="81">
        <f>IF(OR(LEFT(D76,4)*1&lt;LEFT('General inputs'!$I$16,4)*1,LEFT(D76,4)*1&gt;LEFT('General inputs'!$I$16,4)+'General inputs'!$H$38-1),"",T76/(1+'General inputs'!$H$34)^C76)</f>
        <v>6715006.9544659853</v>
      </c>
      <c r="V76" s="54"/>
    </row>
    <row r="77" spans="2:22" x14ac:dyDescent="0.25">
      <c r="B77" s="53"/>
      <c r="C77" s="28">
        <f>IF(D77='General inputs'!$I$16,0,IF(D77&lt;'General inputs'!$I$16,C78-1,C76+1))</f>
        <v>11</v>
      </c>
      <c r="D77" s="28" t="str">
        <f t="shared" si="1"/>
        <v>2033-34</v>
      </c>
      <c r="E77" s="81">
        <f>IF(LEFT(D77,4)*1&gt;LEFT('General inputs'!$I$16,4)+'General inputs'!$H$38-1,"",'ET inputs'!D50)</f>
        <v>7855.1879313363042</v>
      </c>
      <c r="F77" s="81">
        <f>IF(LEFT(D77,4)*1&gt;LEFT('General inputs'!$I$16,4)+'General inputs'!$H$38-1,"",E77/(1+'General inputs'!$H$30)^C77)</f>
        <v>5674.7548932791633</v>
      </c>
      <c r="G77" s="81">
        <f>IF(LEFT(D77,4)*1&gt;LEFT('General inputs'!$I$16,4)+'General inputs'!$H$38-1,"",E77/(1+'General inputs'!$H$32)^C77)</f>
        <v>4995.8762384919137</v>
      </c>
      <c r="H77" s="81">
        <f>IF(LEFT(D77,4)*1&lt;LEFT('General inputs'!$I$16,4)*1,"",IF(LEFT(D77,4)*1&gt;LEFT('General inputs'!$I$16,4)+'General inputs'!$H$38-1,"",E77/(1+'General inputs'!$H$34)^C77))</f>
        <v>4995.8762384919137</v>
      </c>
      <c r="J77" s="109"/>
      <c r="K77" s="109"/>
      <c r="L77" s="81" t="str">
        <f>IF(LEFT(D77,4)*1&gt;LEFT('General inputs'!$I$18,4)*1,"",SUMIF('Post-1996 commissioned assets'!$F$22:$F$435,$D77,'Post-1996 commissioned assets'!$P$22:$P$435)*(1+$K$34)*(1+$K$35))</f>
        <v/>
      </c>
      <c r="M77" s="81" t="str">
        <f>IF(L77="","",L77/(1+'General inputs'!$H$32)^C77)</f>
        <v/>
      </c>
      <c r="N77" s="81">
        <f>IF(LEFT(D77,4)*1&lt;LEFT('General inputs'!$I$18,4)*1+1,"",SUMIF('Uncommissioned assets'!$F$22:$F$1478,$D77,'Uncommissioned assets'!$P$22:$P$1478))</f>
        <v>0</v>
      </c>
      <c r="O77" s="81">
        <f>IF(N77="","",N77/(1+'General inputs'!$H$32)^C77)</f>
        <v>0</v>
      </c>
      <c r="Q77" s="86">
        <f>'Reduction amount'!M49</f>
        <v>49340375.977116093</v>
      </c>
      <c r="R77" s="81">
        <f>IF(OR(LEFT(D77,4)*1&lt;LEFT('General inputs'!$I$16,4)*1,LEFT(D77,4)*1&gt;LEFT('General inputs'!$I$16,4)+'General inputs'!$H$38-1),"",Q77/(1+'General inputs'!$H$34)^C77)</f>
        <v>31380332.857344873</v>
      </c>
      <c r="T77" s="86">
        <f>'Reduction amount'!H49</f>
        <v>10893767.346881187</v>
      </c>
      <c r="U77" s="81">
        <f>IF(OR(LEFT(D77,4)*1&lt;LEFT('General inputs'!$I$16,4)*1,LEFT(D77,4)*1&gt;LEFT('General inputs'!$I$16,4)+'General inputs'!$H$38-1),"",T77/(1+'General inputs'!$H$34)^C77)</f>
        <v>6928403.7392450217</v>
      </c>
      <c r="V77" s="54"/>
    </row>
    <row r="78" spans="2:22" x14ac:dyDescent="0.25">
      <c r="B78" s="53"/>
      <c r="C78" s="28">
        <f>IF(D78='General inputs'!$I$16,0,IF(D78&lt;'General inputs'!$I$16,C79-1,C77+1))</f>
        <v>12</v>
      </c>
      <c r="D78" s="28" t="str">
        <f t="shared" si="1"/>
        <v>2034-35</v>
      </c>
      <c r="E78" s="81">
        <f>IF(LEFT(D78,4)*1&gt;LEFT('General inputs'!$I$16,4)+'General inputs'!$H$38-1,"",'ET inputs'!D51)</f>
        <v>8289.4553463498996</v>
      </c>
      <c r="F78" s="81">
        <f>IF(LEFT(D78,4)*1&gt;LEFT('General inputs'!$I$16,4)+'General inputs'!$H$38-1,"",E78/(1+'General inputs'!$H$30)^C78)</f>
        <v>5814.0571976878937</v>
      </c>
      <c r="G78" s="81">
        <f>IF(LEFT(D78,4)*1&gt;LEFT('General inputs'!$I$16,4)+'General inputs'!$H$38-1,"",E78/(1+'General inputs'!$H$32)^C78)</f>
        <v>5059.5672045131669</v>
      </c>
      <c r="H78" s="81">
        <f>IF(LEFT(D78,4)*1&lt;LEFT('General inputs'!$I$16,4)*1,"",IF(LEFT(D78,4)*1&gt;LEFT('General inputs'!$I$16,4)+'General inputs'!$H$38-1,"",E78/(1+'General inputs'!$H$34)^C78))</f>
        <v>5059.5672045131669</v>
      </c>
      <c r="J78" s="109"/>
      <c r="K78" s="109"/>
      <c r="L78" s="81" t="str">
        <f>IF(LEFT(D78,4)*1&gt;LEFT('General inputs'!$I$18,4)*1,"",SUMIF('Post-1996 commissioned assets'!$F$22:$F$435,$D78,'Post-1996 commissioned assets'!$P$22:$P$435)*(1+$K$34)*(1+$K$35))</f>
        <v/>
      </c>
      <c r="M78" s="81" t="str">
        <f>IF(L78="","",L78/(1+'General inputs'!$H$32)^C78)</f>
        <v/>
      </c>
      <c r="N78" s="81">
        <f>IF(LEFT(D78,4)*1&lt;LEFT('General inputs'!$I$18,4)*1+1,"",SUMIF('Uncommissioned assets'!$F$22:$F$1478,$D78,'Uncommissioned assets'!$P$22:$P$1478))</f>
        <v>0</v>
      </c>
      <c r="O78" s="81">
        <f>IF(N78="","",N78/(1+'General inputs'!$H$32)^C78)</f>
        <v>0</v>
      </c>
      <c r="Q78" s="86">
        <f>'Reduction amount'!M50</f>
        <v>53099761.133953393</v>
      </c>
      <c r="R78" s="81">
        <f>IF(OR(LEFT(D78,4)*1&lt;LEFT('General inputs'!$I$16,4)*1,LEFT(D78,4)*1&gt;LEFT('General inputs'!$I$16,4)+'General inputs'!$H$38-1),"",Q78/(1+'General inputs'!$H$34)^C78)</f>
        <v>32410067.824194685</v>
      </c>
      <c r="T78" s="86">
        <f>'Reduction amount'!H50</f>
        <v>11684377.343052447</v>
      </c>
      <c r="U78" s="81">
        <f>IF(OR(LEFT(D78,4)*1&lt;LEFT('General inputs'!$I$16,4)*1,LEFT(D78,4)*1&gt;LEFT('General inputs'!$I$16,4)+'General inputs'!$H$38-1),"",T78/(1+'General inputs'!$H$34)^C78)</f>
        <v>7131698.0356370779</v>
      </c>
      <c r="V78" s="54"/>
    </row>
    <row r="79" spans="2:22" x14ac:dyDescent="0.25">
      <c r="B79" s="53"/>
      <c r="C79" s="28">
        <f>IF(D79='General inputs'!$I$16,0,IF(D79&lt;'General inputs'!$I$16,C80-1,C78+1))</f>
        <v>13</v>
      </c>
      <c r="D79" s="28" t="str">
        <f t="shared" si="1"/>
        <v>2035-36</v>
      </c>
      <c r="E79" s="81">
        <f>IF(LEFT(D79,4)*1&gt;LEFT('General inputs'!$I$16,4)+'General inputs'!$H$38-1,"",'ET inputs'!D52)</f>
        <v>8027.9893683265418</v>
      </c>
      <c r="F79" s="81">
        <f>IF(LEFT(D79,4)*1&gt;LEFT('General inputs'!$I$16,4)+'General inputs'!$H$38-1,"",E79/(1+'General inputs'!$H$30)^C79)</f>
        <v>5466.6701178129442</v>
      </c>
      <c r="G79" s="81">
        <f>IF(LEFT(D79,4)*1&gt;LEFT('General inputs'!$I$16,4)+'General inputs'!$H$38-1,"",E79/(1+'General inputs'!$H$32)^C79)</f>
        <v>4702.4744236932784</v>
      </c>
      <c r="H79" s="81">
        <f>IF(LEFT(D79,4)*1&lt;LEFT('General inputs'!$I$16,4)*1,"",IF(LEFT(D79,4)*1&gt;LEFT('General inputs'!$I$16,4)+'General inputs'!$H$38-1,"",E79/(1+'General inputs'!$H$34)^C79))</f>
        <v>4702.4744236932784</v>
      </c>
      <c r="J79" s="109"/>
      <c r="K79" s="109"/>
      <c r="L79" s="81" t="str">
        <f>IF(LEFT(D79,4)*1&gt;LEFT('General inputs'!$I$18,4)*1,"",SUMIF('Post-1996 commissioned assets'!$F$22:$F$435,$D79,'Post-1996 commissioned assets'!$P$22:$P$435)*(1+$K$34)*(1+$K$35))</f>
        <v/>
      </c>
      <c r="M79" s="81" t="str">
        <f>IF(L79="","",L79/(1+'General inputs'!$H$32)^C79)</f>
        <v/>
      </c>
      <c r="N79" s="81">
        <f>IF(LEFT(D79,4)*1&lt;LEFT('General inputs'!$I$18,4)*1+1,"",SUMIF('Uncommissioned assets'!$F$22:$F$1478,$D79,'Uncommissioned assets'!$P$22:$P$1478))</f>
        <v>0</v>
      </c>
      <c r="O79" s="81">
        <f>IF(N79="","",N79/(1+'General inputs'!$H$32)^C79)</f>
        <v>0</v>
      </c>
      <c r="Q79" s="86">
        <f>'Reduction amount'!M51</f>
        <v>56740226.867544755</v>
      </c>
      <c r="R79" s="81">
        <f>IF(OR(LEFT(D79,4)*1&lt;LEFT('General inputs'!$I$16,4)*1,LEFT(D79,4)*1&gt;LEFT('General inputs'!$I$16,4)+'General inputs'!$H$38-1),"",Q79/(1+'General inputs'!$H$34)^C79)</f>
        <v>33236150.846423294</v>
      </c>
      <c r="T79" s="86">
        <f>'Reduction amount'!H51</f>
        <v>12434347.436700856</v>
      </c>
      <c r="U79" s="81">
        <f>IF(OR(LEFT(D79,4)*1&lt;LEFT('General inputs'!$I$16,4)*1,LEFT(D79,4)*1&gt;LEFT('General inputs'!$I$16,4)+'General inputs'!$H$38-1),"",T79/(1+'General inputs'!$H$34)^C79)</f>
        <v>7283542.3807481397</v>
      </c>
      <c r="V79" s="54"/>
    </row>
    <row r="80" spans="2:22" x14ac:dyDescent="0.25">
      <c r="B80" s="53"/>
      <c r="C80" s="28">
        <f>IF(D80='General inputs'!$I$16,0,IF(D80&lt;'General inputs'!$I$16,C81-1,C79+1))</f>
        <v>14</v>
      </c>
      <c r="D80" s="28" t="str">
        <f t="shared" si="1"/>
        <v>2036-37</v>
      </c>
      <c r="E80" s="81">
        <f>IF(LEFT(D80,4)*1&gt;LEFT('General inputs'!$I$16,4)+'General inputs'!$H$38-1,"",'ET inputs'!D53)</f>
        <v>8712.7516135847109</v>
      </c>
      <c r="F80" s="81">
        <f>IF(LEFT(D80,4)*1&gt;LEFT('General inputs'!$I$16,4)+'General inputs'!$H$38-1,"",E80/(1+'General inputs'!$H$30)^C80)</f>
        <v>5760.1552294157582</v>
      </c>
      <c r="G80" s="81">
        <f>IF(LEFT(D80,4)*1&gt;LEFT('General inputs'!$I$16,4)+'General inputs'!$H$38-1,"",E80/(1+'General inputs'!$H$32)^C80)</f>
        <v>4897.8701562857668</v>
      </c>
      <c r="H80" s="81">
        <f>IF(LEFT(D80,4)*1&lt;LEFT('General inputs'!$I$16,4)*1,"",IF(LEFT(D80,4)*1&gt;LEFT('General inputs'!$I$16,4)+'General inputs'!$H$38-1,"",E80/(1+'General inputs'!$H$34)^C80))</f>
        <v>4897.8701562857668</v>
      </c>
      <c r="J80" s="109"/>
      <c r="K80" s="109"/>
      <c r="L80" s="81" t="str">
        <f>IF(LEFT(D80,4)*1&gt;LEFT('General inputs'!$I$18,4)*1,"",SUMIF('Post-1996 commissioned assets'!$F$22:$F$435,$D80,'Post-1996 commissioned assets'!$P$22:$P$435)*(1+$K$34)*(1+$K$35))</f>
        <v/>
      </c>
      <c r="M80" s="81" t="str">
        <f>IF(L80="","",L80/(1+'General inputs'!$H$32)^C80)</f>
        <v/>
      </c>
      <c r="N80" s="81">
        <f>IF(LEFT(D80,4)*1&lt;LEFT('General inputs'!$I$18,4)*1+1,"",SUMIF('Uncommissioned assets'!$F$22:$F$1478,$D80,'Uncommissioned assets'!$P$22:$P$1478))</f>
        <v>0</v>
      </c>
      <c r="O80" s="81">
        <f>IF(N80="","",N80/(1+'General inputs'!$H$32)^C80)</f>
        <v>0</v>
      </c>
      <c r="Q80" s="86">
        <f>'Reduction amount'!M52</f>
        <v>60704308.170843154</v>
      </c>
      <c r="R80" s="81">
        <f>IF(OR(LEFT(D80,4)*1&lt;LEFT('General inputs'!$I$16,4)*1,LEFT(D80,4)*1&gt;LEFT('General inputs'!$I$16,4)+'General inputs'!$H$38-1),"",Q80/(1+'General inputs'!$H$34)^C80)</f>
        <v>34124904.79865969</v>
      </c>
      <c r="T80" s="86">
        <f>'Reduction amount'!H52</f>
        <v>13254177.560448203</v>
      </c>
      <c r="U80" s="81">
        <f>IF(OR(LEFT(D80,4)*1&lt;LEFT('General inputs'!$I$16,4)*1,LEFT(D80,4)*1&gt;LEFT('General inputs'!$I$16,4)+'General inputs'!$H$38-1),"",T80/(1+'General inputs'!$H$34)^C80)</f>
        <v>7450831.1034845011</v>
      </c>
      <c r="V80" s="54"/>
    </row>
    <row r="81" spans="2:22" x14ac:dyDescent="0.25">
      <c r="B81" s="53"/>
      <c r="C81" s="28">
        <f>IF(D81='General inputs'!$I$16,0,IF(D81&lt;'General inputs'!$I$16,C82-1,C80+1))</f>
        <v>15</v>
      </c>
      <c r="D81" s="28" t="str">
        <f t="shared" si="1"/>
        <v>2037-38</v>
      </c>
      <c r="E81" s="81">
        <f>IF(LEFT(D81,4)*1&gt;LEFT('General inputs'!$I$16,4)+'General inputs'!$H$38-1,"",'ET inputs'!D54)</f>
        <v>8231.6460248482763</v>
      </c>
      <c r="F81" s="81">
        <f>IF(LEFT(D81,4)*1&gt;LEFT('General inputs'!$I$16,4)+'General inputs'!$H$38-1,"",E81/(1+'General inputs'!$H$30)^C81)</f>
        <v>5283.5803477895643</v>
      </c>
      <c r="G81" s="81">
        <f>IF(LEFT(D81,4)*1&gt;LEFT('General inputs'!$I$16,4)+'General inputs'!$H$38-1,"",E81/(1+'General inputs'!$H$32)^C81)</f>
        <v>4440.8990635795999</v>
      </c>
      <c r="H81" s="81">
        <f>IF(LEFT(D81,4)*1&lt;LEFT('General inputs'!$I$16,4)*1,"",IF(LEFT(D81,4)*1&gt;LEFT('General inputs'!$I$16,4)+'General inputs'!$H$38-1,"",E81/(1+'General inputs'!$H$34)^C81))</f>
        <v>4440.8990635795999</v>
      </c>
      <c r="J81" s="109"/>
      <c r="K81" s="109"/>
      <c r="L81" s="81" t="str">
        <f>IF(LEFT(D81,4)*1&gt;LEFT('General inputs'!$I$18,4)*1,"",SUMIF('Post-1996 commissioned assets'!$F$22:$F$435,$D81,'Post-1996 commissioned assets'!$P$22:$P$435)*(1+$K$34)*(1+$K$35))</f>
        <v/>
      </c>
      <c r="M81" s="81" t="str">
        <f>IF(L81="","",L81/(1+'General inputs'!$H$32)^C81)</f>
        <v/>
      </c>
      <c r="N81" s="81">
        <f>IF(LEFT(D81,4)*1&lt;LEFT('General inputs'!$I$18,4)*1+1,"",SUMIF('Uncommissioned assets'!$F$22:$F$1478,$D81,'Uncommissioned assets'!$P$22:$P$1478))</f>
        <v>0</v>
      </c>
      <c r="O81" s="81">
        <f>IF(N81="","",N81/(1+'General inputs'!$H$32)^C81)</f>
        <v>0</v>
      </c>
      <c r="Q81" s="86">
        <f>'Reduction amount'!M53</f>
        <v>64444003.937697962</v>
      </c>
      <c r="R81" s="81">
        <f>IF(OR(LEFT(D81,4)*1&lt;LEFT('General inputs'!$I$16,4)*1,LEFT(D81,4)*1&gt;LEFT('General inputs'!$I$16,4)+'General inputs'!$H$38-1),"",Q81/(1+'General inputs'!$H$34)^C81)</f>
        <v>34766961.052059807</v>
      </c>
      <c r="T81" s="86">
        <f>'Reduction amount'!H53</f>
        <v>14014945.553771917</v>
      </c>
      <c r="U81" s="81">
        <f>IF(OR(LEFT(D81,4)*1&lt;LEFT('General inputs'!$I$16,4)*1,LEFT(D81,4)*1&gt;LEFT('General inputs'!$I$16,4)+'General inputs'!$H$38-1),"",T81/(1+'General inputs'!$H$34)^C81)</f>
        <v>7560937.1926329834</v>
      </c>
      <c r="V81" s="54"/>
    </row>
    <row r="82" spans="2:22" x14ac:dyDescent="0.25">
      <c r="B82" s="53"/>
      <c r="C82" s="28">
        <f>IF(D82='General inputs'!$I$16,0,IF(D82&lt;'General inputs'!$I$16,C83-1,C81+1))</f>
        <v>16</v>
      </c>
      <c r="D82" s="28" t="str">
        <f t="shared" si="1"/>
        <v>2038-39</v>
      </c>
      <c r="E82" s="81">
        <f>IF(LEFT(D82,4)*1&gt;LEFT('General inputs'!$I$16,4)+'General inputs'!$H$38-1,"",'ET inputs'!D55)</f>
        <v>8819.1982326410562</v>
      </c>
      <c r="F82" s="81">
        <f>IF(LEFT(D82,4)*1&gt;LEFT('General inputs'!$I$16,4)+'General inputs'!$H$38-1,"",E82/(1+'General inputs'!$H$30)^C82)</f>
        <v>5495.8327690103688</v>
      </c>
      <c r="G82" s="81">
        <f>IF(LEFT(D82,4)*1&gt;LEFT('General inputs'!$I$16,4)+'General inputs'!$H$38-1,"",E82/(1+'General inputs'!$H$32)^C82)</f>
        <v>4566.1019195159361</v>
      </c>
      <c r="H82" s="81">
        <f>IF(LEFT(D82,4)*1&lt;LEFT('General inputs'!$I$16,4)*1,"",IF(LEFT(D82,4)*1&gt;LEFT('General inputs'!$I$16,4)+'General inputs'!$H$38-1,"",E82/(1+'General inputs'!$H$34)^C82))</f>
        <v>4566.1019195159361</v>
      </c>
      <c r="J82" s="109"/>
      <c r="K82" s="109"/>
      <c r="L82" s="81" t="str">
        <f>IF(LEFT(D82,4)*1&gt;LEFT('General inputs'!$I$18,4)*1,"",SUMIF('Post-1996 commissioned assets'!$F$22:$F$435,$D82,'Post-1996 commissioned assets'!$P$22:$P$435)*(1+$K$34)*(1+$K$35))</f>
        <v/>
      </c>
      <c r="M82" s="81" t="str">
        <f>IF(L82="","",L82/(1+'General inputs'!$H$32)^C82)</f>
        <v/>
      </c>
      <c r="N82" s="81">
        <f>IF(LEFT(D82,4)*1&lt;LEFT('General inputs'!$I$18,4)*1+1,"",SUMIF('Uncommissioned assets'!$F$22:$F$1478,$D82,'Uncommissioned assets'!$P$22:$P$1478))</f>
        <v>0</v>
      </c>
      <c r="O82" s="81">
        <f>IF(N82="","",N82/(1+'General inputs'!$H$32)^C82)</f>
        <v>0</v>
      </c>
      <c r="Q82" s="86">
        <f>'Reduction amount'!M54</f>
        <v>68461190.097877637</v>
      </c>
      <c r="R82" s="81">
        <f>IF(OR(LEFT(D82,4)*1&lt;LEFT('General inputs'!$I$16,4)*1,LEFT(D82,4)*1&gt;LEFT('General inputs'!$I$16,4)+'General inputs'!$H$38-1),"",Q82/(1+'General inputs'!$H$34)^C82)</f>
        <v>35445486.457180016</v>
      </c>
      <c r="T82" s="86">
        <f>'Reduction amount'!H54</f>
        <v>14819402.460804217</v>
      </c>
      <c r="U82" s="81">
        <f>IF(OR(LEFT(D82,4)*1&lt;LEFT('General inputs'!$I$16,4)*1,LEFT(D82,4)*1&gt;LEFT('General inputs'!$I$16,4)+'General inputs'!$H$38-1),"",T82/(1+'General inputs'!$H$34)^C82)</f>
        <v>7672681.8285944499</v>
      </c>
      <c r="V82" s="54"/>
    </row>
    <row r="83" spans="2:22" x14ac:dyDescent="0.25">
      <c r="B83" s="53"/>
      <c r="C83" s="28">
        <f>IF(D83='General inputs'!$I$16,0,IF(D83&lt;'General inputs'!$I$16,C84-1,C82+1))</f>
        <v>17</v>
      </c>
      <c r="D83" s="28" t="str">
        <f t="shared" si="1"/>
        <v>2039-40</v>
      </c>
      <c r="E83" s="81">
        <f>IF(LEFT(D83,4)*1&gt;LEFT('General inputs'!$I$16,4)+'General inputs'!$H$38-1,"",'ET inputs'!D56)</f>
        <v>8508.5794072950139</v>
      </c>
      <c r="F83" s="81">
        <f>IF(LEFT(D83,4)*1&gt;LEFT('General inputs'!$I$16,4)+'General inputs'!$H$38-1,"",E83/(1+'General inputs'!$H$30)^C83)</f>
        <v>5147.8304721896393</v>
      </c>
      <c r="G83" s="81">
        <f>IF(LEFT(D83,4)*1&gt;LEFT('General inputs'!$I$16,4)+'General inputs'!$H$38-1,"",E83/(1+'General inputs'!$H$32)^C83)</f>
        <v>4227.7162762613179</v>
      </c>
      <c r="H83" s="81">
        <f>IF(LEFT(D83,4)*1&lt;LEFT('General inputs'!$I$16,4)*1,"",IF(LEFT(D83,4)*1&gt;LEFT('General inputs'!$I$16,4)+'General inputs'!$H$38-1,"",E83/(1+'General inputs'!$H$34)^C83))</f>
        <v>4227.7162762613179</v>
      </c>
      <c r="J83" s="109"/>
      <c r="K83" s="109"/>
      <c r="L83" s="81" t="str">
        <f>IF(LEFT(D83,4)*1&gt;LEFT('General inputs'!$I$18,4)*1,"",SUMIF('Post-1996 commissioned assets'!$F$22:$F$435,$D83,'Post-1996 commissioned assets'!$P$22:$P$435)*(1+$K$34)*(1+$K$35))</f>
        <v/>
      </c>
      <c r="M83" s="81" t="str">
        <f>IF(L83="","",L83/(1+'General inputs'!$H$32)^C83)</f>
        <v/>
      </c>
      <c r="N83" s="81">
        <f>IF(LEFT(D83,4)*1&lt;LEFT('General inputs'!$I$18,4)*1+1,"",SUMIF('Uncommissioned assets'!$F$22:$F$1478,$D83,'Uncommissioned assets'!$P$22:$P$1478))</f>
        <v>0</v>
      </c>
      <c r="O83" s="81">
        <f>IF(N83="","",N83/(1+'General inputs'!$H$32)^C83)</f>
        <v>0</v>
      </c>
      <c r="Q83" s="86">
        <f>'Reduction amount'!M55</f>
        <v>72328123.722121224</v>
      </c>
      <c r="R83" s="81">
        <f>IF(OR(LEFT(D83,4)*1&lt;LEFT('General inputs'!$I$16,4)*1,LEFT(D83,4)*1&gt;LEFT('General inputs'!$I$16,4)+'General inputs'!$H$38-1),"",Q83/(1+'General inputs'!$H$34)^C83)</f>
        <v>35938171.491857357</v>
      </c>
      <c r="T83" s="86">
        <f>'Reduction amount'!H55</f>
        <v>15584788.311223969</v>
      </c>
      <c r="U83" s="81">
        <f>IF(OR(LEFT(D83,4)*1&lt;LEFT('General inputs'!$I$16,4)*1,LEFT(D83,4)*1&gt;LEFT('General inputs'!$I$16,4)+'General inputs'!$H$38-1),"",T83/(1+'General inputs'!$H$34)^C83)</f>
        <v>7743720.7848067041</v>
      </c>
      <c r="V83" s="54"/>
    </row>
    <row r="84" spans="2:22" x14ac:dyDescent="0.25">
      <c r="B84" s="53"/>
      <c r="C84" s="28">
        <f>IF(D84='General inputs'!$I$16,0,IF(D84&lt;'General inputs'!$I$16,C85-1,C83+1))</f>
        <v>18</v>
      </c>
      <c r="D84" s="28" t="str">
        <f t="shared" si="1"/>
        <v>2040-41</v>
      </c>
      <c r="E84" s="81">
        <f>IF(LEFT(D84,4)*1&gt;LEFT('General inputs'!$I$16,4)+'General inputs'!$H$38-1,"",'ET inputs'!D57)</f>
        <v>8811.5865645802533</v>
      </c>
      <c r="F84" s="81">
        <f>IF(LEFT(D84,4)*1&gt;LEFT('General inputs'!$I$16,4)+'General inputs'!$H$38-1,"",E84/(1+'General inputs'!$H$30)^C84)</f>
        <v>5175.8784325785264</v>
      </c>
      <c r="G84" s="81">
        <f>IF(LEFT(D84,4)*1&gt;LEFT('General inputs'!$I$16,4)+'General inputs'!$H$38-1,"",E84/(1+'General inputs'!$H$32)^C84)</f>
        <v>4201.7980068823772</v>
      </c>
      <c r="H84" s="81">
        <f>IF(LEFT(D84,4)*1&lt;LEFT('General inputs'!$I$16,4)*1,"",IF(LEFT(D84,4)*1&gt;LEFT('General inputs'!$I$16,4)+'General inputs'!$H$38-1,"",E84/(1+'General inputs'!$H$34)^C84))</f>
        <v>4201.7980068823772</v>
      </c>
      <c r="J84" s="109"/>
      <c r="K84" s="109"/>
      <c r="L84" s="81" t="str">
        <f>IF(LEFT(D84,4)*1&gt;LEFT('General inputs'!$I$18,4)*1,"",SUMIF('Post-1996 commissioned assets'!$F$22:$F$435,$D84,'Post-1996 commissioned assets'!$P$22:$P$435)*(1+$K$34)*(1+$K$35))</f>
        <v/>
      </c>
      <c r="M84" s="81" t="str">
        <f>IF(L84="","",L84/(1+'General inputs'!$H$32)^C84)</f>
        <v/>
      </c>
      <c r="N84" s="81">
        <f>IF(LEFT(D84,4)*1&lt;LEFT('General inputs'!$I$18,4)*1+1,"",SUMIF('Uncommissioned assets'!$F$22:$F$1478,$D84,'Uncommissioned assets'!$P$22:$P$1478))</f>
        <v>0</v>
      </c>
      <c r="O84" s="81">
        <f>IF(N84="","",N84/(1+'General inputs'!$H$32)^C84)</f>
        <v>0</v>
      </c>
      <c r="Q84" s="86">
        <f>'Reduction amount'!M56</f>
        <v>76339110.93359521</v>
      </c>
      <c r="R84" s="81">
        <f>IF(OR(LEFT(D84,4)*1&lt;LEFT('General inputs'!$I$16,4)*1,LEFT(D84,4)*1&gt;LEFT('General inputs'!$I$16,4)+'General inputs'!$H$38-1),"",Q84/(1+'General inputs'!$H$34)^C84)</f>
        <v>36402244.001927108</v>
      </c>
      <c r="T84" s="86">
        <f>'Reduction amount'!H56</f>
        <v>16375242.936919097</v>
      </c>
      <c r="U84" s="81">
        <f>IF(OR(LEFT(D84,4)*1&lt;LEFT('General inputs'!$I$16,4)*1,LEFT(D84,4)*1&gt;LEFT('General inputs'!$I$16,4)+'General inputs'!$H$38-1),"",T84/(1+'General inputs'!$H$34)^C84)</f>
        <v>7808521.4995375788</v>
      </c>
      <c r="V84" s="54"/>
    </row>
    <row r="85" spans="2:22" x14ac:dyDescent="0.25">
      <c r="B85" s="53"/>
      <c r="C85" s="28">
        <f>IF(D85='General inputs'!$I$16,0,IF(D85&lt;'General inputs'!$I$16,C86-1,C84+1))</f>
        <v>19</v>
      </c>
      <c r="D85" s="28" t="str">
        <f t="shared" si="1"/>
        <v>2041-42</v>
      </c>
      <c r="E85" s="81">
        <f>IF(LEFT(D85,4)*1&gt;LEFT('General inputs'!$I$16,4)+'General inputs'!$H$38-1,"",'ET inputs'!D58)</f>
        <v>8986.6916187661227</v>
      </c>
      <c r="F85" s="81">
        <f>IF(LEFT(D85,4)*1&gt;LEFT('General inputs'!$I$16,4)+'General inputs'!$H$38-1,"",E85/(1+'General inputs'!$H$30)^C85)</f>
        <v>5124.9846574501589</v>
      </c>
      <c r="G85" s="81">
        <f>IF(LEFT(D85,4)*1&gt;LEFT('General inputs'!$I$16,4)+'General inputs'!$H$38-1,"",E85/(1+'General inputs'!$H$32)^C85)</f>
        <v>4112.5688214425472</v>
      </c>
      <c r="H85" s="81">
        <f>IF(LEFT(D85,4)*1&lt;LEFT('General inputs'!$I$16,4)*1,"",IF(LEFT(D85,4)*1&gt;LEFT('General inputs'!$I$16,4)+'General inputs'!$H$38-1,"",E85/(1+'General inputs'!$H$34)^C85))</f>
        <v>4112.5688214425472</v>
      </c>
      <c r="J85" s="109"/>
      <c r="K85" s="109"/>
      <c r="L85" s="81" t="str">
        <f>IF(LEFT(D85,4)*1&gt;LEFT('General inputs'!$I$18,4)*1,"",SUMIF('Post-1996 commissioned assets'!$F$22:$F$435,$D85,'Post-1996 commissioned assets'!$P$22:$P$435)*(1+$K$34)*(1+$K$35))</f>
        <v/>
      </c>
      <c r="M85" s="81" t="str">
        <f>IF(L85="","",L85/(1+'General inputs'!$H$32)^C85)</f>
        <v/>
      </c>
      <c r="N85" s="81">
        <f>IF(LEFT(D85,4)*1&lt;LEFT('General inputs'!$I$18,4)*1+1,"",SUMIF('Uncommissioned assets'!$F$22:$F$1478,$D85,'Uncommissioned assets'!$P$22:$P$1478))</f>
        <v>0</v>
      </c>
      <c r="O85" s="81">
        <f>IF(N85="","",N85/(1+'General inputs'!$H$32)^C85)</f>
        <v>0</v>
      </c>
      <c r="Q85" s="86">
        <f>'Reduction amount'!M57</f>
        <v>80424915.183487043</v>
      </c>
      <c r="R85" s="81">
        <f>IF(OR(LEFT(D85,4)*1&lt;LEFT('General inputs'!$I$16,4)*1,LEFT(D85,4)*1&gt;LEFT('General inputs'!$I$16,4)+'General inputs'!$H$38-1),"",Q85/(1+'General inputs'!$H$34)^C85)</f>
        <v>36804756.709364273</v>
      </c>
      <c r="T85" s="86">
        <f>'Reduction amount'!H57</f>
        <v>17160043.654453818</v>
      </c>
      <c r="U85" s="81">
        <f>IF(OR(LEFT(D85,4)*1&lt;LEFT('General inputs'!$I$16,4)*1,LEFT(D85,4)*1&gt;LEFT('General inputs'!$I$16,4)+'General inputs'!$H$38-1),"",T85/(1+'General inputs'!$H$34)^C85)</f>
        <v>7852930.0327309268</v>
      </c>
      <c r="V85" s="54"/>
    </row>
    <row r="86" spans="2:22" x14ac:dyDescent="0.25">
      <c r="B86" s="53"/>
      <c r="C86" s="28">
        <f>IF(D86='General inputs'!$I$16,0,IF(D86&lt;'General inputs'!$I$16,C87-1,C85+1))</f>
        <v>20</v>
      </c>
      <c r="D86" s="28" t="str">
        <f t="shared" si="1"/>
        <v>2042-43</v>
      </c>
      <c r="E86" s="81">
        <f>IF(LEFT(D86,4)*1&gt;LEFT('General inputs'!$I$16,4)+'General inputs'!$H$38-1,"",'ET inputs'!D59)</f>
        <v>9087.7616540462514</v>
      </c>
      <c r="F86" s="81">
        <f>IF(LEFT(D86,4)*1&gt;LEFT('General inputs'!$I$16,4)+'General inputs'!$H$38-1,"",E86/(1+'General inputs'!$H$30)^C86)</f>
        <v>5031.6732876697133</v>
      </c>
      <c r="G86" s="81">
        <f>IF(LEFT(D86,4)*1&gt;LEFT('General inputs'!$I$16,4)+'General inputs'!$H$38-1,"",E86/(1+'General inputs'!$H$32)^C86)</f>
        <v>3991.1913430938148</v>
      </c>
      <c r="H86" s="81">
        <f>IF(LEFT(D86,4)*1&lt;LEFT('General inputs'!$I$16,4)*1,"",IF(LEFT(D86,4)*1&gt;LEFT('General inputs'!$I$16,4)+'General inputs'!$H$38-1,"",E86/(1+'General inputs'!$H$34)^C86))</f>
        <v>3991.1913430938148</v>
      </c>
      <c r="J86" s="109"/>
      <c r="K86" s="109"/>
      <c r="L86" s="81" t="str">
        <f>IF(LEFT(D86,4)*1&gt;LEFT('General inputs'!$I$18,4)*1,"",SUMIF('Post-1996 commissioned assets'!$F$22:$F$435,$D86,'Post-1996 commissioned assets'!$P$22:$P$435)*(1+$K$34)*(1+$K$35))</f>
        <v/>
      </c>
      <c r="M86" s="81" t="str">
        <f>IF(L86="","",L86/(1+'General inputs'!$H$32)^C86)</f>
        <v/>
      </c>
      <c r="N86" s="81">
        <f>IF(LEFT(D86,4)*1&lt;LEFT('General inputs'!$I$18,4)*1+1,"",SUMIF('Uncommissioned assets'!$F$22:$F$1478,$D86,'Uncommissioned assets'!$P$22:$P$1478))</f>
        <v>0</v>
      </c>
      <c r="O86" s="81">
        <f>IF(N86="","",N86/(1+'General inputs'!$H$32)^C86)</f>
        <v>0</v>
      </c>
      <c r="Q86" s="86">
        <f>'Reduction amount'!M58</f>
        <v>84554250.089306533</v>
      </c>
      <c r="R86" s="81">
        <f>IF(OR(LEFT(D86,4)*1&lt;LEFT('General inputs'!$I$16,4)*1,LEFT(D86,4)*1&gt;LEFT('General inputs'!$I$16,4)+'General inputs'!$H$38-1),"",Q86/(1+'General inputs'!$H$34)^C86)</f>
        <v>37134797.745050117</v>
      </c>
      <c r="T86" s="86">
        <f>'Reduction amount'!H58</f>
        <v>17941386.553881183</v>
      </c>
      <c r="U86" s="81">
        <f>IF(OR(LEFT(D86,4)*1&lt;LEFT('General inputs'!$I$16,4)*1,LEFT(D86,4)*1&gt;LEFT('General inputs'!$I$16,4)+'General inputs'!$H$38-1),"",T86/(1+'General inputs'!$H$34)^C86)</f>
        <v>7879553.7804479823</v>
      </c>
      <c r="V86" s="54"/>
    </row>
    <row r="87" spans="2:22" x14ac:dyDescent="0.25">
      <c r="B87" s="53"/>
      <c r="C87" s="28">
        <f>IF(D87='General inputs'!$I$16,0,IF(D87&lt;'General inputs'!$I$16,C88-1,C86+1))</f>
        <v>21</v>
      </c>
      <c r="D87" s="28" t="str">
        <f t="shared" si="1"/>
        <v>2043-44</v>
      </c>
      <c r="E87" s="81">
        <f>IF(LEFT(D87,4)*1&gt;LEFT('General inputs'!$I$16,4)+'General inputs'!$H$38-1,"",'ET inputs'!D60)</f>
        <v>9190.0507057462455</v>
      </c>
      <c r="F87" s="81">
        <f>IF(LEFT(D87,4)*1&gt;LEFT('General inputs'!$I$16,4)+'General inputs'!$H$38-1,"",E87/(1+'General inputs'!$H$30)^C87)</f>
        <v>4940.1051024414692</v>
      </c>
      <c r="G87" s="81">
        <f>IF(LEFT(D87,4)*1&gt;LEFT('General inputs'!$I$16,4)+'General inputs'!$H$38-1,"",E87/(1+'General inputs'!$H$32)^C87)</f>
        <v>3873.4308694850001</v>
      </c>
      <c r="H87" s="81">
        <f>IF(LEFT(D87,4)*1&lt;LEFT('General inputs'!$I$16,4)*1,"",IF(LEFT(D87,4)*1&gt;LEFT('General inputs'!$I$16,4)+'General inputs'!$H$38-1,"",E87/(1+'General inputs'!$H$34)^C87))</f>
        <v>3873.4308694850001</v>
      </c>
      <c r="J87" s="109"/>
      <c r="K87" s="109"/>
      <c r="L87" s="81" t="str">
        <f>IF(LEFT(D87,4)*1&gt;LEFT('General inputs'!$I$18,4)*1,"",SUMIF('Post-1996 commissioned assets'!$F$22:$F$435,$D87,'Post-1996 commissioned assets'!$P$22:$P$435)*(1+$K$34)*(1+$K$35))</f>
        <v/>
      </c>
      <c r="M87" s="81" t="str">
        <f>IF(L87="","",L87/(1+'General inputs'!$H$32)^C87)</f>
        <v/>
      </c>
      <c r="N87" s="81">
        <f>IF(LEFT(D87,4)*1&lt;LEFT('General inputs'!$I$18,4)*1+1,"",SUMIF('Uncommissioned assets'!$F$22:$F$1478,$D87,'Uncommissioned assets'!$P$22:$P$1478))</f>
        <v>0</v>
      </c>
      <c r="O87" s="81">
        <f>IF(N87="","",N87/(1+'General inputs'!$H$32)^C87)</f>
        <v>0</v>
      </c>
      <c r="Q87" s="86">
        <f>'Reduction amount'!M59</f>
        <v>88725845.907421589</v>
      </c>
      <c r="R87" s="81">
        <f>IF(OR(LEFT(D87,4)*1&lt;LEFT('General inputs'!$I$16,4)*1,LEFT(D87,4)*1&gt;LEFT('General inputs'!$I$16,4)+'General inputs'!$H$38-1),"",Q87/(1+'General inputs'!$H$34)^C87)</f>
        <v>37396249.646815129</v>
      </c>
      <c r="T87" s="86">
        <f>'Reduction amount'!H59</f>
        <v>18717216.959147487</v>
      </c>
      <c r="U87" s="81">
        <f>IF(OR(LEFT(D87,4)*1&lt;LEFT('General inputs'!$I$16,4)*1,LEFT(D87,4)*1&gt;LEFT('General inputs'!$I$16,4)+'General inputs'!$H$38-1),"",T87/(1+'General inputs'!$H$34)^C87)</f>
        <v>7888949.5043893717</v>
      </c>
      <c r="V87" s="54"/>
    </row>
    <row r="88" spans="2:22" x14ac:dyDescent="0.25">
      <c r="B88" s="53"/>
      <c r="C88" s="28">
        <f>IF(D88='General inputs'!$I$16,0,IF(D88&lt;'General inputs'!$I$16,C89-1,C87+1))</f>
        <v>22</v>
      </c>
      <c r="D88" s="28" t="str">
        <f t="shared" si="1"/>
        <v>2044-45</v>
      </c>
      <c r="E88" s="81">
        <f>IF(LEFT(D88,4)*1&gt;LEFT('General inputs'!$I$16,4)+'General inputs'!$H$38-1,"",'ET inputs'!D61)</f>
        <v>9293.5587738661015</v>
      </c>
      <c r="F88" s="81">
        <f>IF(LEFT(D88,4)*1&gt;LEFT('General inputs'!$I$16,4)+'General inputs'!$H$38-1,"",E88/(1+'General inputs'!$H$30)^C88)</f>
        <v>4850.2386305922746</v>
      </c>
      <c r="G88" s="81">
        <f>IF(LEFT(D88,4)*1&gt;LEFT('General inputs'!$I$16,4)+'General inputs'!$H$38-1,"",E88/(1+'General inputs'!$H$32)^C88)</f>
        <v>3759.1723066193008</v>
      </c>
      <c r="H88" s="81">
        <f>IF(LEFT(D88,4)*1&lt;LEFT('General inputs'!$I$16,4)*1,"",IF(LEFT(D88,4)*1&gt;LEFT('General inputs'!$I$16,4)+'General inputs'!$H$38-1,"",E88/(1+'General inputs'!$H$34)^C88))</f>
        <v>3759.1723066193008</v>
      </c>
      <c r="J88" s="109"/>
      <c r="K88" s="109"/>
      <c r="L88" s="81" t="str">
        <f>IF(LEFT(D88,4)*1&gt;LEFT('General inputs'!$I$18,4)*1,"",SUMIF('Post-1996 commissioned assets'!$F$22:$F$435,$D88,'Post-1996 commissioned assets'!$P$22:$P$435)*(1+$K$34)*(1+$K$35))</f>
        <v/>
      </c>
      <c r="M88" s="81" t="str">
        <f>IF(L88="","",L88/(1+'General inputs'!$H$32)^C88)</f>
        <v/>
      </c>
      <c r="N88" s="81">
        <f>IF(LEFT(D88,4)*1&lt;LEFT('General inputs'!$I$18,4)*1+1,"",SUMIF('Uncommissioned assets'!$F$22:$F$1478,$D88,'Uncommissioned assets'!$P$22:$P$1478))</f>
        <v>0</v>
      </c>
      <c r="O88" s="81">
        <f>IF(N88="","",N88/(1+'General inputs'!$H$32)^C88)</f>
        <v>0</v>
      </c>
      <c r="Q88" s="86">
        <f>'Reduction amount'!M60</f>
        <v>92951257.870244101</v>
      </c>
      <c r="R88" s="81">
        <f>IF(OR(LEFT(D88,4)*1&lt;LEFT('General inputs'!$I$16,4)*1,LEFT(D88,4)*1&gt;LEFT('General inputs'!$I$16,4)+'General inputs'!$H$38-1),"",Q88/(1+'General inputs'!$H$34)^C88)</f>
        <v>37598061.512650549</v>
      </c>
      <c r="T88" s="86">
        <f>'Reduction amount'!H60</f>
        <v>19497025.560938314</v>
      </c>
      <c r="U88" s="81">
        <f>IF(OR(LEFT(D88,4)*1&lt;LEFT('General inputs'!$I$16,4)*1,LEFT(D88,4)*1&gt;LEFT('General inputs'!$I$16,4)+'General inputs'!$H$38-1),"",T88/(1+'General inputs'!$H$34)^C88)</f>
        <v>7886395.3339629378</v>
      </c>
      <c r="V88" s="54"/>
    </row>
    <row r="89" spans="2:22" x14ac:dyDescent="0.25">
      <c r="B89" s="53"/>
      <c r="C89" s="28">
        <f>IF(D89='General inputs'!$I$16,0,IF(D89&lt;'General inputs'!$I$16,C90-1,C88+1))</f>
        <v>23</v>
      </c>
      <c r="D89" s="28" t="str">
        <f t="shared" si="1"/>
        <v>2045-46</v>
      </c>
      <c r="E89" s="81">
        <f>IF(LEFT(D89,4)*1&gt;LEFT('General inputs'!$I$16,4)+'General inputs'!$H$38-1,"",'ET inputs'!D62)</f>
        <v>9399.5048748256904</v>
      </c>
      <c r="F89" s="81">
        <f>IF(LEFT(D89,4)*1&gt;LEFT('General inputs'!$I$16,4)+'General inputs'!$H$38-1,"",E89/(1+'General inputs'!$H$30)^C89)</f>
        <v>4762.651559398867</v>
      </c>
      <c r="G89" s="81">
        <f>IF(LEFT(D89,4)*1&gt;LEFT('General inputs'!$I$16,4)+'General inputs'!$H$38-1,"",E89/(1+'General inputs'!$H$32)^C89)</f>
        <v>3648.7780049737344</v>
      </c>
      <c r="H89" s="81">
        <f>IF(LEFT(D89,4)*1&lt;LEFT('General inputs'!$I$16,4)*1,"",IF(LEFT(D89,4)*1&gt;LEFT('General inputs'!$I$16,4)+'General inputs'!$H$38-1,"",E89/(1+'General inputs'!$H$34)^C89))</f>
        <v>3648.7780049737344</v>
      </c>
      <c r="J89" s="109"/>
      <c r="K89" s="109"/>
      <c r="L89" s="81" t="str">
        <f>IF(LEFT(D89,4)*1&gt;LEFT('General inputs'!$I$18,4)*1,"",SUMIF('Post-1996 commissioned assets'!$F$22:$F$435,$D89,'Post-1996 commissioned assets'!$P$22:$P$435)*(1+$K$34)*(1+$K$35))</f>
        <v/>
      </c>
      <c r="M89" s="81" t="str">
        <f>IF(L89="","",L89/(1+'General inputs'!$H$32)^C89)</f>
        <v/>
      </c>
      <c r="N89" s="81">
        <f>IF(LEFT(D89,4)*1&lt;LEFT('General inputs'!$I$18,4)*1+1,"",SUMIF('Uncommissioned assets'!$F$22:$F$1478,$D89,'Uncommissioned assets'!$P$22:$P$1478))</f>
        <v>0</v>
      </c>
      <c r="O89" s="81">
        <f>IF(N89="","",N89/(1+'General inputs'!$H$32)^C89)</f>
        <v>0</v>
      </c>
      <c r="Q89" s="86">
        <f>'Reduction amount'!M61</f>
        <v>97218566.210413605</v>
      </c>
      <c r="R89" s="81">
        <f>IF(OR(LEFT(D89,4)*1&lt;LEFT('General inputs'!$I$16,4)*1,LEFT(D89,4)*1&gt;LEFT('General inputs'!$I$16,4)+'General inputs'!$H$38-1),"",Q89/(1+'General inputs'!$H$34)^C89)</f>
        <v>37739111.87744537</v>
      </c>
      <c r="T89" s="86">
        <f>'Reduction amount'!H61</f>
        <v>20268950.420513343</v>
      </c>
      <c r="U89" s="81">
        <f>IF(OR(LEFT(D89,4)*1&lt;LEFT('General inputs'!$I$16,4)*1,LEFT(D89,4)*1&gt;LEFT('General inputs'!$I$16,4)+'General inputs'!$H$38-1),"",T89/(1+'General inputs'!$H$34)^C89)</f>
        <v>7868169.8092787787</v>
      </c>
      <c r="V89" s="54"/>
    </row>
    <row r="90" spans="2:22" x14ac:dyDescent="0.25">
      <c r="B90" s="53"/>
      <c r="C90" s="28">
        <f>IF(D90='General inputs'!$I$16,0,IF(D90&lt;'General inputs'!$I$16,C91-1,C89+1))</f>
        <v>24</v>
      </c>
      <c r="D90" s="28" t="str">
        <f t="shared" si="1"/>
        <v>2046-47</v>
      </c>
      <c r="E90" s="81">
        <f>IF(LEFT(D90,4)*1&gt;LEFT('General inputs'!$I$16,4)+'General inputs'!$H$38-1,"",'ET inputs'!D63)</f>
        <v>9506.6699922051448</v>
      </c>
      <c r="F90" s="81">
        <f>IF(LEFT(D90,4)*1&gt;LEFT('General inputs'!$I$16,4)+'General inputs'!$H$38-1,"",E90/(1+'General inputs'!$H$30)^C90)</f>
        <v>4676.6516894121723</v>
      </c>
      <c r="G90" s="81">
        <f>IF(LEFT(D90,4)*1&gt;LEFT('General inputs'!$I$16,4)+'General inputs'!$H$38-1,"",E90/(1+'General inputs'!$H$32)^C90)</f>
        <v>3541.6298002284029</v>
      </c>
      <c r="H90" s="81">
        <f>IF(LEFT(D90,4)*1&lt;LEFT('General inputs'!$I$16,4)*1,"",IF(LEFT(D90,4)*1&gt;LEFT('General inputs'!$I$16,4)+'General inputs'!$H$38-1,"",E90/(1+'General inputs'!$H$34)^C90))</f>
        <v>3541.6298002284029</v>
      </c>
      <c r="J90" s="109"/>
      <c r="K90" s="109"/>
      <c r="L90" s="81" t="str">
        <f>IF(LEFT(D90,4)*1&gt;LEFT('General inputs'!$I$18,4)*1,"",SUMIF('Post-1996 commissioned assets'!$F$22:$F$435,$D90,'Post-1996 commissioned assets'!$P$22:$P$435)*(1+$K$34)*(1+$K$35))</f>
        <v/>
      </c>
      <c r="M90" s="81" t="str">
        <f>IF(L90="","",L90/(1+'General inputs'!$H$32)^C90)</f>
        <v/>
      </c>
      <c r="N90" s="81">
        <f>IF(LEFT(D90,4)*1&lt;LEFT('General inputs'!$I$18,4)*1+1,"",SUMIF('Uncommissioned assets'!$F$22:$F$1478,$D90,'Uncommissioned assets'!$P$22:$P$1478))</f>
        <v>0</v>
      </c>
      <c r="O90" s="81">
        <f>IF(N90="","",N90/(1+'General inputs'!$H$32)^C90)</f>
        <v>0</v>
      </c>
      <c r="Q90" s="86">
        <f>'Reduction amount'!M62</f>
        <v>101527067.13158268</v>
      </c>
      <c r="R90" s="81">
        <f>IF(OR(LEFT(D90,4)*1&lt;LEFT('General inputs'!$I$16,4)*1,LEFT(D90,4)*1&gt;LEFT('General inputs'!$I$16,4)+'General inputs'!$H$38-1),"",Q90/(1+'General inputs'!$H$34)^C90)</f>
        <v>37823053.369668663</v>
      </c>
      <c r="T90" s="86">
        <f>'Reduction amount'!H62</f>
        <v>21034490.478501972</v>
      </c>
      <c r="U90" s="81">
        <f>IF(OR(LEFT(D90,4)*1&lt;LEFT('General inputs'!$I$16,4)*1,LEFT(D90,4)*1&gt;LEFT('General inputs'!$I$16,4)+'General inputs'!$H$38-1),"",T90/(1+'General inputs'!$H$34)^C90)</f>
        <v>7836222.1863560425</v>
      </c>
      <c r="V90" s="54"/>
    </row>
    <row r="91" spans="2:22" x14ac:dyDescent="0.25">
      <c r="B91" s="53"/>
      <c r="C91" s="28">
        <f>IF(D91='General inputs'!$I$16,0,IF(D91&lt;'General inputs'!$I$16,C92-1,C90+1))</f>
        <v>25</v>
      </c>
      <c r="D91" s="28" t="str">
        <f t="shared" si="1"/>
        <v>2047-48</v>
      </c>
      <c r="E91" s="81">
        <f>IF(LEFT(D91,4)*1&gt;LEFT('General inputs'!$I$16,4)+'General inputs'!$H$38-1,"",'ET inputs'!D64)</f>
        <v>9615.0541260044629</v>
      </c>
      <c r="F91" s="81">
        <f>IF(LEFT(D91,4)*1&gt;LEFT('General inputs'!$I$16,4)+'General inputs'!$H$38-1,"",E91/(1+'General inputs'!$H$30)^C91)</f>
        <v>4592.203399332031</v>
      </c>
      <c r="G91" s="81">
        <f>IF(LEFT(D91,4)*1&gt;LEFT('General inputs'!$I$16,4)+'General inputs'!$H$38-1,"",E91/(1+'General inputs'!$H$32)^C91)</f>
        <v>3437.6270595066508</v>
      </c>
      <c r="H91" s="81">
        <f>IF(LEFT(D91,4)*1&lt;LEFT('General inputs'!$I$16,4)*1,"",IF(LEFT(D91,4)*1&gt;LEFT('General inputs'!$I$16,4)+'General inputs'!$H$38-1,"",E91/(1+'General inputs'!$H$34)^C91))</f>
        <v>3437.6270595066508</v>
      </c>
      <c r="J91" s="109"/>
      <c r="K91" s="109"/>
      <c r="L91" s="81" t="str">
        <f>IF(LEFT(D91,4)*1&gt;LEFT('General inputs'!$I$18,4)*1,"",SUMIF('Post-1996 commissioned assets'!$F$22:$F$435,$D91,'Post-1996 commissioned assets'!$P$22:$P$435)*(1+$K$34)*(1+$K$35))</f>
        <v/>
      </c>
      <c r="M91" s="81" t="str">
        <f>IF(L91="","",L91/(1+'General inputs'!$H$32)^C91)</f>
        <v/>
      </c>
      <c r="N91" s="81">
        <f>IF(LEFT(D91,4)*1&lt;LEFT('General inputs'!$I$18,4)*1+1,"",SUMIF('Uncommissioned assets'!$F$22:$F$1478,$D91,'Uncommissioned assets'!$P$22:$P$1478))</f>
        <v>0</v>
      </c>
      <c r="O91" s="81">
        <f>IF(N91="","",N91/(1+'General inputs'!$H$32)^C91)</f>
        <v>0</v>
      </c>
      <c r="Q91" s="86">
        <f>'Reduction amount'!M63</f>
        <v>105873056.66115531</v>
      </c>
      <c r="R91" s="81">
        <f>IF(OR(LEFT(D91,4)*1&lt;LEFT('General inputs'!$I$16,4)*1,LEFT(D91,4)*1&gt;LEFT('General inputs'!$I$16,4)+'General inputs'!$H$38-1),"",Q91/(1+'General inputs'!$H$34)^C91)</f>
        <v>37852317.800972037</v>
      </c>
      <c r="T91" s="86">
        <f>'Reduction amount'!H63</f>
        <v>21788863.452893082</v>
      </c>
      <c r="U91" s="81">
        <f>IF(OR(LEFT(D91,4)*1&lt;LEFT('General inputs'!$I$16,4)*1,LEFT(D91,4)*1&gt;LEFT('General inputs'!$I$16,4)+'General inputs'!$H$38-1),"",T91/(1+'General inputs'!$H$34)^C91)</f>
        <v>7790074.3583943099</v>
      </c>
      <c r="V91" s="54"/>
    </row>
    <row r="92" spans="2:22" x14ac:dyDescent="0.25">
      <c r="B92" s="53"/>
      <c r="C92" s="28">
        <f>IF(D92='General inputs'!$I$16,0,IF(D92&lt;'General inputs'!$I$16,C93-1,C91+1))</f>
        <v>26</v>
      </c>
      <c r="D92" s="28" t="str">
        <f t="shared" si="1"/>
        <v>2048-49</v>
      </c>
      <c r="E92" s="81">
        <f>IF(LEFT(D92,4)*1&gt;LEFT('General inputs'!$I$16,4)+'General inputs'!$H$38-1,"",'ET inputs'!D65)</f>
        <v>9725.876292643512</v>
      </c>
      <c r="F92" s="81">
        <f>IF(LEFT(D92,4)*1&gt;LEFT('General inputs'!$I$16,4)+'General inputs'!$H$38-1,"",E92/(1+'General inputs'!$H$30)^C92)</f>
        <v>4509.8375566179457</v>
      </c>
      <c r="G92" s="81">
        <f>IF(LEFT(D92,4)*1&gt;LEFT('General inputs'!$I$16,4)+'General inputs'!$H$38-1,"",E92/(1+'General inputs'!$H$32)^C92)</f>
        <v>3337.0909888101637</v>
      </c>
      <c r="H92" s="81">
        <f>IF(LEFT(D92,4)*1&lt;LEFT('General inputs'!$I$16,4)*1,"",IF(LEFT(D92,4)*1&gt;LEFT('General inputs'!$I$16,4)+'General inputs'!$H$38-1,"",E92/(1+'General inputs'!$H$34)^C92))</f>
        <v>3337.0909888101637</v>
      </c>
      <c r="J92" s="109"/>
      <c r="K92" s="109"/>
      <c r="L92" s="81" t="str">
        <f>IF(LEFT(D92,4)*1&gt;LEFT('General inputs'!$I$18,4)*1,"",SUMIF('Post-1996 commissioned assets'!$F$22:$F$435,$D92,'Post-1996 commissioned assets'!$P$22:$P$435)*(1+$K$34)*(1+$K$35))</f>
        <v/>
      </c>
      <c r="M92" s="81" t="str">
        <f>IF(L92="","",L92/(1+'General inputs'!$H$32)^C92)</f>
        <v/>
      </c>
      <c r="N92" s="81">
        <f>IF(LEFT(D92,4)*1&lt;LEFT('General inputs'!$I$18,4)*1+1,"",SUMIF('Uncommissioned assets'!$F$22:$F$1478,$D92,'Uncommissioned assets'!$P$22:$P$1478))</f>
        <v>0</v>
      </c>
      <c r="O92" s="81">
        <f>IF(N92="","",N92/(1+'General inputs'!$H$32)^C92)</f>
        <v>0</v>
      </c>
      <c r="Q92" s="86">
        <f>'Reduction amount'!M64</f>
        <v>110275761.883369</v>
      </c>
      <c r="R92" s="81">
        <f>IF(OR(LEFT(D92,4)*1&lt;LEFT('General inputs'!$I$16,4)*1,LEFT(D92,4)*1&gt;LEFT('General inputs'!$I$16,4)+'General inputs'!$H$38-1),"",Q92/(1+'General inputs'!$H$34)^C92)</f>
        <v>37837233.395978428</v>
      </c>
      <c r="T92" s="86">
        <f>'Reduction amount'!H64</f>
        <v>22546406.158846565</v>
      </c>
      <c r="U92" s="81">
        <f>IF(OR(LEFT(D92,4)*1&lt;LEFT('General inputs'!$I$16,4)*1,LEFT(D92,4)*1&gt;LEFT('General inputs'!$I$16,4)+'General inputs'!$H$38-1),"",T92/(1+'General inputs'!$H$34)^C92)</f>
        <v>7736003.0663407324</v>
      </c>
      <c r="V92" s="54"/>
    </row>
    <row r="93" spans="2:22" x14ac:dyDescent="0.25">
      <c r="B93" s="53"/>
      <c r="C93" s="28">
        <f>IF(D93='General inputs'!$I$16,0,IF(D93&lt;'General inputs'!$I$16,C94-1,C92+1))</f>
        <v>27</v>
      </c>
      <c r="D93" s="28" t="str">
        <f t="shared" si="1"/>
        <v>2049-50</v>
      </c>
      <c r="E93" s="81">
        <f>IF(LEFT(D93,4)*1&gt;LEFT('General inputs'!$I$16,4)+'General inputs'!$H$38-1,"",'ET inputs'!D66)</f>
        <v>9837.9174757024266</v>
      </c>
      <c r="F93" s="81">
        <f>IF(LEFT(D93,4)*1&gt;LEFT('General inputs'!$I$16,4)+'General inputs'!$H$38-1,"",E93/(1+'General inputs'!$H$30)^C93)</f>
        <v>4428.922779085764</v>
      </c>
      <c r="G93" s="81">
        <f>IF(LEFT(D93,4)*1&gt;LEFT('General inputs'!$I$16,4)+'General inputs'!$H$38-1,"",E93/(1+'General inputs'!$H$32)^C93)</f>
        <v>3239.4759732612183</v>
      </c>
      <c r="H93" s="81">
        <f>IF(LEFT(D93,4)*1&lt;LEFT('General inputs'!$I$16,4)*1,"",IF(LEFT(D93,4)*1&gt;LEFT('General inputs'!$I$16,4)+'General inputs'!$H$38-1,"",E93/(1+'General inputs'!$H$34)^C93))</f>
        <v>3239.4759732612183</v>
      </c>
      <c r="J93" s="109"/>
      <c r="K93" s="109"/>
      <c r="L93" s="81" t="str">
        <f>IF(LEFT(D93,4)*1&gt;LEFT('General inputs'!$I$18,4)*1,"",SUMIF('Post-1996 commissioned assets'!$F$22:$F$435,$D93,'Post-1996 commissioned assets'!$P$22:$P$435)*(1+$K$34)*(1+$K$35))</f>
        <v/>
      </c>
      <c r="M93" s="81" t="str">
        <f>IF(L93="","",L93/(1+'General inputs'!$H$32)^C93)</f>
        <v/>
      </c>
      <c r="N93" s="81">
        <f>IF(LEFT(D93,4)*1&lt;LEFT('General inputs'!$I$18,4)*1+1,"",SUMIF('Uncommissioned assets'!$F$22:$F$1478,$D93,'Uncommissioned assets'!$P$22:$P$1478))</f>
        <v>0</v>
      </c>
      <c r="O93" s="81">
        <f>IF(N93="","",N93/(1+'General inputs'!$H$32)^C93)</f>
        <v>0</v>
      </c>
      <c r="Q93" s="86">
        <f>'Reduction amount'!M65</f>
        <v>114727127.39923778</v>
      </c>
      <c r="R93" s="81">
        <f>IF(OR(LEFT(D93,4)*1&lt;LEFT('General inputs'!$I$16,4)*1,LEFT(D93,4)*1&gt;LEFT('General inputs'!$I$16,4)+'General inputs'!$H$38-1),"",Q93/(1+'General inputs'!$H$34)^C93)</f>
        <v>37777890.860440813</v>
      </c>
      <c r="T93" s="86">
        <f>'Reduction amount'!H65</f>
        <v>23300821.638491746</v>
      </c>
      <c r="U93" s="81">
        <f>IF(OR(LEFT(D93,4)*1&lt;LEFT('General inputs'!$I$16,4)*1,LEFT(D93,4)*1&gt;LEFT('General inputs'!$I$16,4)+'General inputs'!$H$38-1),"",T93/(1+'General inputs'!$H$34)^C93)</f>
        <v>7672604.6992734782</v>
      </c>
      <c r="V93" s="54"/>
    </row>
    <row r="94" spans="2:22" x14ac:dyDescent="0.25">
      <c r="B94" s="53"/>
      <c r="C94" s="28">
        <f>IF(D94='General inputs'!$I$16,0,IF(D94&lt;'General inputs'!$I$16,C95-1,C93+1))</f>
        <v>28</v>
      </c>
      <c r="D94" s="28" t="str">
        <f t="shared" si="1"/>
        <v>2050-51</v>
      </c>
      <c r="E94" s="81">
        <f>IF(LEFT(D94,4)*1&gt;LEFT('General inputs'!$I$16,4)+'General inputs'!$H$38-1,"",'ET inputs'!D67)</f>
        <v>9953.6157080209377</v>
      </c>
      <c r="F94" s="81">
        <f>IF(LEFT(D94,4)*1&gt;LEFT('General inputs'!$I$16,4)+'General inputs'!$H$38-1,"",E94/(1+'General inputs'!$H$30)^C94)</f>
        <v>4350.4940359679385</v>
      </c>
      <c r="G94" s="81">
        <f>IF(LEFT(D94,4)*1&gt;LEFT('General inputs'!$I$16,4)+'General inputs'!$H$38-1,"",E94/(1+'General inputs'!$H$32)^C94)</f>
        <v>3145.4641402497014</v>
      </c>
      <c r="H94" s="81">
        <f>IF(LEFT(D94,4)*1&lt;LEFT('General inputs'!$I$16,4)*1,"",IF(LEFT(D94,4)*1&gt;LEFT('General inputs'!$I$16,4)+'General inputs'!$H$38-1,"",E94/(1+'General inputs'!$H$34)^C94))</f>
        <v>3145.4641402497014</v>
      </c>
      <c r="J94" s="109"/>
      <c r="K94" s="109"/>
      <c r="L94" s="81" t="str">
        <f>IF(LEFT(D94,4)*1&gt;LEFT('General inputs'!$I$18,4)*1,"",SUMIF('Post-1996 commissioned assets'!$F$22:$F$435,$D94,'Post-1996 commissioned assets'!$P$22:$P$435)*(1+$K$34)*(1+$K$35))</f>
        <v/>
      </c>
      <c r="M94" s="81" t="str">
        <f>IF(L94="","",L94/(1+'General inputs'!$H$32)^C94)</f>
        <v/>
      </c>
      <c r="N94" s="81">
        <f>IF(LEFT(D94,4)*1&lt;LEFT('General inputs'!$I$18,4)*1+1,"",SUMIF('Uncommissioned assets'!$F$22:$F$1478,$D94,'Uncommissioned assets'!$P$22:$P$1478))</f>
        <v>0</v>
      </c>
      <c r="O94" s="81">
        <f>IF(N94="","",N94/(1+'General inputs'!$H$32)^C94)</f>
        <v>0</v>
      </c>
      <c r="Q94" s="86">
        <f>'Reduction amount'!M66</f>
        <v>119233387.64851855</v>
      </c>
      <c r="R94" s="81">
        <f>IF(OR(LEFT(D94,4)*1&lt;LEFT('General inputs'!$I$16,4)*1,LEFT(D94,4)*1&gt;LEFT('General inputs'!$I$16,4)+'General inputs'!$H$38-1),"",Q94/(1+'General inputs'!$H$34)^C94)</f>
        <v>37679206.850098118</v>
      </c>
      <c r="T94" s="86">
        <f>'Reduction amount'!H66</f>
        <v>24055956.527824409</v>
      </c>
      <c r="U94" s="81">
        <f>IF(OR(LEFT(D94,4)*1&lt;LEFT('General inputs'!$I$16,4)*1,LEFT(D94,4)*1&gt;LEFT('General inputs'!$I$16,4)+'General inputs'!$H$38-1),"",T94/(1+'General inputs'!$H$34)^C94)</f>
        <v>7601976.0896236356</v>
      </c>
      <c r="V94" s="54"/>
    </row>
    <row r="95" spans="2:22" x14ac:dyDescent="0.25">
      <c r="B95" s="53"/>
      <c r="C95" s="28">
        <f>IF(D95='General inputs'!$I$16,0,IF(D95&lt;'General inputs'!$I$16,C96-1,C94+1))</f>
        <v>29</v>
      </c>
      <c r="D95" s="28" t="str">
        <f t="shared" si="1"/>
        <v>2051-52</v>
      </c>
      <c r="E95" s="81">
        <f>IF(LEFT(D95,4)*1&gt;LEFT('General inputs'!$I$16,4)+'General inputs'!$H$38-1,"",'ET inputs'!D68)</f>
        <v>0</v>
      </c>
      <c r="F95" s="81">
        <f>IF(LEFT(D95,4)*1&gt;LEFT('General inputs'!$I$16,4)+'General inputs'!$H$38-1,"",E95/(1+'General inputs'!$H$30)^C95)</f>
        <v>0</v>
      </c>
      <c r="G95" s="81">
        <f>IF(LEFT(D95,4)*1&gt;LEFT('General inputs'!$I$16,4)+'General inputs'!$H$38-1,"",E95/(1+'General inputs'!$H$32)^C95)</f>
        <v>0</v>
      </c>
      <c r="H95" s="81">
        <f>IF(LEFT(D95,4)*1&lt;LEFT('General inputs'!$I$16,4)*1,"",IF(LEFT(D95,4)*1&gt;LEFT('General inputs'!$I$16,4)+'General inputs'!$H$38-1,"",E95/(1+'General inputs'!$H$34)^C95))</f>
        <v>0</v>
      </c>
      <c r="J95" s="109"/>
      <c r="K95" s="109"/>
      <c r="L95" s="81" t="str">
        <f>IF(LEFT(D95,4)*1&gt;LEFT('General inputs'!$I$18,4)*1,"",SUMIF('Post-1996 commissioned assets'!$F$22:$F$435,$D95,'Post-1996 commissioned assets'!$P$22:$P$435)*(1+$K$34)*(1+$K$35))</f>
        <v/>
      </c>
      <c r="M95" s="81" t="str">
        <f>IF(L95="","",L95/(1+'General inputs'!$H$32)^C95)</f>
        <v/>
      </c>
      <c r="N95" s="81">
        <f>IF(LEFT(D95,4)*1&lt;LEFT('General inputs'!$I$18,4)*1+1,"",SUMIF('Uncommissioned assets'!$F$22:$F$1478,$D95,'Uncommissioned assets'!$P$22:$P$1478))</f>
        <v>0</v>
      </c>
      <c r="O95" s="81">
        <f>IF(N95="","",N95/(1+'General inputs'!$H$32)^C95)</f>
        <v>0</v>
      </c>
      <c r="Q95" s="86">
        <f>'Reduction amount'!M67</f>
        <v>119233387.64851855</v>
      </c>
      <c r="R95" s="81">
        <f>IF(OR(LEFT(D95,4)*1&lt;LEFT('General inputs'!$I$16,4)*1,LEFT(D95,4)*1&gt;LEFT('General inputs'!$I$16,4)+'General inputs'!$H$38-1),"",Q95/(1+'General inputs'!$H$34)^C95)</f>
        <v>36160467.226581685</v>
      </c>
      <c r="T95" s="86">
        <f>'Reduction amount'!H67</f>
        <v>24054034.295115858</v>
      </c>
      <c r="U95" s="81">
        <f>IF(OR(LEFT(D95,4)*1&lt;LEFT('General inputs'!$I$16,4)*1,LEFT(D95,4)*1&gt;LEFT('General inputs'!$I$16,4)+'General inputs'!$H$38-1),"",T95/(1+'General inputs'!$H$34)^C95)</f>
        <v>7294979.5015441384</v>
      </c>
      <c r="V95" s="54"/>
    </row>
    <row r="96" spans="2:22" x14ac:dyDescent="0.25">
      <c r="B96" s="53"/>
      <c r="C96" s="28">
        <f>IF(D96='General inputs'!$I$16,0,IF(D96&lt;'General inputs'!$I$16,C97-1,C95+1))</f>
        <v>30</v>
      </c>
      <c r="D96" s="28" t="str">
        <f t="shared" si="1"/>
        <v>2052-53</v>
      </c>
      <c r="E96" s="81" t="str">
        <f>IF(LEFT(D96,4)*1&gt;LEFT('General inputs'!$I$16,4)+'General inputs'!$H$38-1,"",'ET inputs'!D69)</f>
        <v/>
      </c>
      <c r="F96" s="81" t="str">
        <f>IF(LEFT(D96,4)*1&gt;LEFT('General inputs'!$I$16,4)+'General inputs'!$H$38-1,"",E96/(1+'General inputs'!$H$30)^C96)</f>
        <v/>
      </c>
      <c r="G96" s="81" t="str">
        <f>IF(LEFT(D96,4)*1&gt;LEFT('General inputs'!$I$16,4)+'General inputs'!$H$38-1,"",E96/(1+'General inputs'!$H$32)^C96)</f>
        <v/>
      </c>
      <c r="H96" s="81" t="str">
        <f>IF(LEFT(D96,4)*1&lt;LEFT('General inputs'!$I$16,4)*1,"",IF(LEFT(D96,4)*1&gt;LEFT('General inputs'!$I$16,4)+'General inputs'!$H$38-1,"",E96/(1+'General inputs'!$H$34)^C96))</f>
        <v/>
      </c>
      <c r="J96" s="109"/>
      <c r="K96" s="109"/>
      <c r="L96" s="81" t="str">
        <f>IF(LEFT(D96,4)*1&gt;LEFT('General inputs'!$I$18,4)*1,"",SUMIF('Post-1996 commissioned assets'!$F$22:$F$435,$D96,'Post-1996 commissioned assets'!$P$22:$P$435)*(1+$K$34)*(1+$K$35))</f>
        <v/>
      </c>
      <c r="M96" s="81" t="str">
        <f>IF(L96="","",L96/(1+'General inputs'!$H$32)^C96)</f>
        <v/>
      </c>
      <c r="N96" s="81">
        <f>IF(LEFT(D96,4)*1&lt;LEFT('General inputs'!$I$18,4)*1+1,"",SUMIF('Uncommissioned assets'!$F$22:$F$1478,$D96,'Uncommissioned assets'!$P$22:$P$1478))</f>
        <v>0</v>
      </c>
      <c r="O96" s="81">
        <f>IF(N96="","",N96/(1+'General inputs'!$H$32)^C96)</f>
        <v>0</v>
      </c>
      <c r="Q96" s="38"/>
      <c r="R96" s="81" t="str">
        <f>IF(OR(LEFT(D96,4)*1&lt;LEFT('General inputs'!$I$16,4)*1,LEFT(D96,4)*1&gt;LEFT('General inputs'!$I$16,4)+'General inputs'!$H$38-1),"",Q96/(1+'General inputs'!$H$34)^C96)</f>
        <v/>
      </c>
      <c r="T96" s="38"/>
      <c r="U96" s="81" t="str">
        <f>IF(OR(LEFT(D96,4)*1&lt;LEFT('General inputs'!$I$16,4)*1,LEFT(D96,4)*1&gt;LEFT('General inputs'!$I$16,4)+'General inputs'!$H$38-1),"",T96/(1+'General inputs'!$H$34)^C96)</f>
        <v/>
      </c>
      <c r="V96" s="54"/>
    </row>
    <row r="97" spans="2:22" x14ac:dyDescent="0.25">
      <c r="B97" s="53"/>
      <c r="C97" s="28">
        <f>IF(D97='General inputs'!$I$16,0,IF(D97&lt;'General inputs'!$I$16,C98-1,C96+1))</f>
        <v>31</v>
      </c>
      <c r="D97" s="28" t="str">
        <f t="shared" si="1"/>
        <v>2053-54</v>
      </c>
      <c r="E97" s="81" t="str">
        <f>IF(LEFT(D97,4)*1&gt;LEFT('General inputs'!$I$16,4)+'General inputs'!$H$38-1,"",'ET inputs'!D70)</f>
        <v/>
      </c>
      <c r="F97" s="81" t="str">
        <f>IF(LEFT(D97,4)*1&gt;LEFT('General inputs'!$I$16,4)+'General inputs'!$H$38-1,"",E97/(1+'General inputs'!$H$30)^C97)</f>
        <v/>
      </c>
      <c r="G97" s="81" t="str">
        <f>IF(LEFT(D97,4)*1&gt;LEFT('General inputs'!$I$16,4)+'General inputs'!$H$38-1,"",E97/(1+'General inputs'!$H$32)^C97)</f>
        <v/>
      </c>
      <c r="H97" s="81" t="str">
        <f>IF(LEFT(D97,4)*1&lt;LEFT('General inputs'!$I$16,4)*1,"",IF(LEFT(D97,4)*1&gt;LEFT('General inputs'!$I$16,4)+'General inputs'!$H$38-1,"",E97/(1+'General inputs'!$H$34)^C97))</f>
        <v/>
      </c>
      <c r="J97" s="109"/>
      <c r="K97" s="109"/>
      <c r="L97" s="81" t="str">
        <f>IF(LEFT(D97,4)*1&gt;LEFT('General inputs'!$I$18,4)*1,"",SUMIF('Post-1996 commissioned assets'!$F$22:$F$435,$D97,'Post-1996 commissioned assets'!$P$22:$P$435)*(1+$K$34)*(1+$K$35))</f>
        <v/>
      </c>
      <c r="M97" s="81" t="str">
        <f>IF(L97="","",L97/(1+'General inputs'!$H$32)^C97)</f>
        <v/>
      </c>
      <c r="N97" s="81">
        <f>IF(LEFT(D97,4)*1&lt;LEFT('General inputs'!$I$18,4)*1+1,"",SUMIF('Uncommissioned assets'!$F$22:$F$1478,$D97,'Uncommissioned assets'!$P$22:$P$1478))</f>
        <v>0</v>
      </c>
      <c r="O97" s="81">
        <f>IF(N97="","",N97/(1+'General inputs'!$H$32)^C97)</f>
        <v>0</v>
      </c>
      <c r="Q97" s="38"/>
      <c r="R97" s="81" t="str">
        <f>IF(OR(LEFT(D97,4)*1&lt;LEFT('General inputs'!$I$16,4)*1,LEFT(D97,4)*1&gt;LEFT('General inputs'!$I$16,4)+'General inputs'!$H$38-1),"",Q97/(1+'General inputs'!$H$34)^C97)</f>
        <v/>
      </c>
      <c r="T97" s="38"/>
      <c r="U97" s="81" t="str">
        <f>IF(OR(LEFT(D97,4)*1&lt;LEFT('General inputs'!$I$16,4)*1,LEFT(D97,4)*1&gt;LEFT('General inputs'!$I$16,4)+'General inputs'!$H$38-1),"",T97/(1+'General inputs'!$H$34)^C97)</f>
        <v/>
      </c>
      <c r="V97" s="54"/>
    </row>
    <row r="98" spans="2:22" x14ac:dyDescent="0.25">
      <c r="B98" s="53"/>
      <c r="C98" s="28">
        <f>IF(D98='General inputs'!$I$16,0,IF(D98&lt;'General inputs'!$I$16,C99-1,C97+1))</f>
        <v>32</v>
      </c>
      <c r="D98" s="28" t="str">
        <f t="shared" si="1"/>
        <v>2054-55</v>
      </c>
      <c r="E98" s="81" t="str">
        <f>IF(LEFT(D98,4)*1&gt;LEFT('General inputs'!$I$16,4)+'General inputs'!$H$38-1,"",'ET inputs'!D71)</f>
        <v/>
      </c>
      <c r="F98" s="81" t="str">
        <f>IF(LEFT(D98,4)*1&gt;LEFT('General inputs'!$I$16,4)+'General inputs'!$H$38-1,"",E98/(1+'General inputs'!$H$30)^C98)</f>
        <v/>
      </c>
      <c r="G98" s="81" t="str">
        <f>IF(LEFT(D98,4)*1&gt;LEFT('General inputs'!$I$16,4)+'General inputs'!$H$38-1,"",E98/(1+'General inputs'!$H$32)^C98)</f>
        <v/>
      </c>
      <c r="H98" s="81" t="str">
        <f>IF(LEFT(D98,4)*1&lt;LEFT('General inputs'!$I$16,4)*1,"",IF(LEFT(D98,4)*1&gt;LEFT('General inputs'!$I$16,4)+'General inputs'!$H$38-1,"",E98/(1+'General inputs'!$H$34)^C98))</f>
        <v/>
      </c>
      <c r="J98" s="109"/>
      <c r="K98" s="109"/>
      <c r="L98" s="81" t="str">
        <f>IF(LEFT(D98,4)*1&gt;LEFT('General inputs'!$I$18,4)*1,"",SUMIF('Post-1996 commissioned assets'!$F$22:$F$435,$D98,'Post-1996 commissioned assets'!$P$22:$P$435)*(1+$K$34)*(1+$K$35))</f>
        <v/>
      </c>
      <c r="M98" s="81" t="str">
        <f>IF(L98="","",L98/(1+'General inputs'!$H$32)^C98)</f>
        <v/>
      </c>
      <c r="N98" s="81">
        <f>IF(LEFT(D98,4)*1&lt;LEFT('General inputs'!$I$18,4)*1+1,"",SUMIF('Uncommissioned assets'!$F$22:$F$1478,$D98,'Uncommissioned assets'!$P$22:$P$1478))</f>
        <v>0</v>
      </c>
      <c r="O98" s="81">
        <f>IF(N98="","",N98/(1+'General inputs'!$H$32)^C98)</f>
        <v>0</v>
      </c>
      <c r="Q98" s="38"/>
      <c r="R98" s="81" t="str">
        <f>IF(OR(LEFT(D98,4)*1&lt;LEFT('General inputs'!$I$16,4)*1,LEFT(D98,4)*1&gt;LEFT('General inputs'!$I$16,4)+'General inputs'!$H$38-1),"",Q98/(1+'General inputs'!$H$34)^C98)</f>
        <v/>
      </c>
      <c r="T98" s="38"/>
      <c r="U98" s="81" t="str">
        <f>IF(OR(LEFT(D98,4)*1&lt;LEFT('General inputs'!$I$16,4)*1,LEFT(D98,4)*1&gt;LEFT('General inputs'!$I$16,4)+'General inputs'!$H$38-1),"",T98/(1+'General inputs'!$H$34)^C98)</f>
        <v/>
      </c>
      <c r="V98" s="54"/>
    </row>
    <row r="99" spans="2:22" x14ac:dyDescent="0.25">
      <c r="B99" s="53"/>
      <c r="C99" s="28">
        <f>IF(D99='General inputs'!$I$16,0,IF(D99&lt;'General inputs'!$I$16,C100-1,C98+1))</f>
        <v>33</v>
      </c>
      <c r="D99" s="28" t="str">
        <f t="shared" si="1"/>
        <v>2055-56</v>
      </c>
      <c r="E99" s="81" t="str">
        <f>IF(LEFT(D99,4)*1&gt;LEFT('General inputs'!$I$16,4)+'General inputs'!$H$38-1,"",'ET inputs'!D72)</f>
        <v/>
      </c>
      <c r="F99" s="81" t="str">
        <f>IF(LEFT(D99,4)*1&gt;LEFT('General inputs'!$I$16,4)+'General inputs'!$H$38-1,"",E99/(1+'General inputs'!$H$30)^C99)</f>
        <v/>
      </c>
      <c r="G99" s="81" t="str">
        <f>IF(LEFT(D99,4)*1&gt;LEFT('General inputs'!$I$16,4)+'General inputs'!$H$38-1,"",E99/(1+'General inputs'!$H$32)^C99)</f>
        <v/>
      </c>
      <c r="H99" s="81" t="str">
        <f>IF(LEFT(D99,4)*1&lt;LEFT('General inputs'!$I$16,4)*1,"",IF(LEFT(D99,4)*1&gt;LEFT('General inputs'!$I$16,4)+'General inputs'!$H$38-1,"",E99/(1+'General inputs'!$H$34)^C99))</f>
        <v/>
      </c>
      <c r="J99" s="109"/>
      <c r="K99" s="109"/>
      <c r="L99" s="81" t="str">
        <f>IF(LEFT(D99,4)*1&gt;LEFT('General inputs'!$I$18,4)*1,"",SUMIF('Post-1996 commissioned assets'!$F$22:$F$435,$D99,'Post-1996 commissioned assets'!$P$22:$P$435)*(1+$K$34)*(1+$K$35))</f>
        <v/>
      </c>
      <c r="M99" s="81" t="str">
        <f>IF(L99="","",L99/(1+'General inputs'!$H$32)^C99)</f>
        <v/>
      </c>
      <c r="N99" s="81">
        <f>IF(LEFT(D99,4)*1&lt;LEFT('General inputs'!$I$18,4)*1+1,"",SUMIF('Uncommissioned assets'!$F$22:$F$1478,$D99,'Uncommissioned assets'!$P$22:$P$1478))</f>
        <v>0</v>
      </c>
      <c r="O99" s="81">
        <f>IF(N99="","",N99/(1+'General inputs'!$H$32)^C99)</f>
        <v>0</v>
      </c>
      <c r="Q99" s="38"/>
      <c r="R99" s="81" t="str">
        <f>IF(OR(LEFT(D99,4)*1&lt;LEFT('General inputs'!$I$16,4)*1,LEFT(D99,4)*1&gt;LEFT('General inputs'!$I$16,4)+'General inputs'!$H$38-1),"",Q99/(1+'General inputs'!$H$34)^C99)</f>
        <v/>
      </c>
      <c r="T99" s="38"/>
      <c r="U99" s="81" t="str">
        <f>IF(OR(LEFT(D99,4)*1&lt;LEFT('General inputs'!$I$16,4)*1,LEFT(D99,4)*1&gt;LEFT('General inputs'!$I$16,4)+'General inputs'!$H$38-1),"",T99/(1+'General inputs'!$H$34)^C99)</f>
        <v/>
      </c>
      <c r="V99" s="54"/>
    </row>
    <row r="100" spans="2:22" x14ac:dyDescent="0.25">
      <c r="B100" s="53"/>
      <c r="C100" s="28">
        <f>IF(D100='General inputs'!$I$16,0,IF(D100&lt;'General inputs'!$I$16,C101-1,C99+1))</f>
        <v>34</v>
      </c>
      <c r="D100" s="28" t="str">
        <f t="shared" ref="D100:D122" si="3">LEFT(D99,4)+1&amp;"-"&amp;RIGHT(D99,2)+1</f>
        <v>2056-57</v>
      </c>
      <c r="E100" s="81" t="str">
        <f>IF(LEFT(D100,4)*1&gt;LEFT('General inputs'!$I$16,4)+'General inputs'!$H$38-1,"",'ET inputs'!D73)</f>
        <v/>
      </c>
      <c r="F100" s="81" t="str">
        <f>IF(LEFT(D100,4)*1&gt;LEFT('General inputs'!$I$16,4)+'General inputs'!$H$38-1,"",E100/(1+'General inputs'!$H$30)^C100)</f>
        <v/>
      </c>
      <c r="G100" s="81" t="str">
        <f>IF(LEFT(D100,4)*1&gt;LEFT('General inputs'!$I$16,4)+'General inputs'!$H$38-1,"",E100/(1+'General inputs'!$H$32)^C100)</f>
        <v/>
      </c>
      <c r="H100" s="81" t="str">
        <f>IF(LEFT(D100,4)*1&lt;LEFT('General inputs'!$I$16,4)*1,"",IF(LEFT(D100,4)*1&gt;LEFT('General inputs'!$I$16,4)+'General inputs'!$H$38-1,"",E100/(1+'General inputs'!$H$34)^C100))</f>
        <v/>
      </c>
      <c r="J100" s="109"/>
      <c r="K100" s="109"/>
      <c r="L100" s="81" t="str">
        <f>IF(LEFT(D100,4)*1&gt;LEFT('General inputs'!$I$18,4)*1,"",SUMIF('Post-1996 commissioned assets'!$F$22:$F$435,$D100,'Post-1996 commissioned assets'!$P$22:$P$435)*(1+$K$34)*(1+$K$35))</f>
        <v/>
      </c>
      <c r="M100" s="81" t="str">
        <f>IF(L100="","",L100/(1+'General inputs'!$H$32)^C100)</f>
        <v/>
      </c>
      <c r="N100" s="81">
        <f>IF(LEFT(D100,4)*1&lt;LEFT('General inputs'!$I$18,4)*1+1,"",SUMIF('Uncommissioned assets'!$F$22:$F$1478,$D100,'Uncommissioned assets'!$P$22:$P$1478))</f>
        <v>0</v>
      </c>
      <c r="O100" s="81">
        <f>IF(N100="","",N100/(1+'General inputs'!$H$32)^C100)</f>
        <v>0</v>
      </c>
      <c r="Q100" s="38"/>
      <c r="R100" s="81" t="str">
        <f>IF(OR(LEFT(D100,4)*1&lt;LEFT('General inputs'!$I$16,4)*1,LEFT(D100,4)*1&gt;LEFT('General inputs'!$I$16,4)+'General inputs'!$H$38-1),"",Q100/(1+'General inputs'!$H$34)^C100)</f>
        <v/>
      </c>
      <c r="T100" s="38"/>
      <c r="U100" s="81" t="str">
        <f>IF(OR(LEFT(D100,4)*1&lt;LEFT('General inputs'!$I$16,4)*1,LEFT(D100,4)*1&gt;LEFT('General inputs'!$I$16,4)+'General inputs'!$H$38-1),"",T100/(1+'General inputs'!$H$34)^C100)</f>
        <v/>
      </c>
      <c r="V100" s="54"/>
    </row>
    <row r="101" spans="2:22" x14ac:dyDescent="0.25">
      <c r="B101" s="53"/>
      <c r="C101" s="28">
        <f>IF(D101='General inputs'!$I$16,0,IF(D101&lt;'General inputs'!$I$16,C102-1,C100+1))</f>
        <v>35</v>
      </c>
      <c r="D101" s="28" t="str">
        <f t="shared" si="3"/>
        <v>2057-58</v>
      </c>
      <c r="E101" s="81" t="str">
        <f>IF(LEFT(D101,4)*1&gt;LEFT('General inputs'!$I$16,4)+'General inputs'!$H$38-1,"",'ET inputs'!D74)</f>
        <v/>
      </c>
      <c r="F101" s="81" t="str">
        <f>IF(LEFT(D101,4)*1&gt;LEFT('General inputs'!$I$16,4)+'General inputs'!$H$38-1,"",E101/(1+'General inputs'!$H$30)^C101)</f>
        <v/>
      </c>
      <c r="G101" s="81" t="str">
        <f>IF(LEFT(D101,4)*1&gt;LEFT('General inputs'!$I$16,4)+'General inputs'!$H$38-1,"",E101/(1+'General inputs'!$H$32)^C101)</f>
        <v/>
      </c>
      <c r="H101" s="81" t="str">
        <f>IF(LEFT(D101,4)*1&lt;LEFT('General inputs'!$I$16,4)*1,"",IF(LEFT(D101,4)*1&gt;LEFT('General inputs'!$I$16,4)+'General inputs'!$H$38-1,"",E101/(1+'General inputs'!$H$34)^C101))</f>
        <v/>
      </c>
      <c r="J101" s="109"/>
      <c r="K101" s="109"/>
      <c r="L101" s="81" t="str">
        <f>IF(LEFT(D101,4)*1&gt;LEFT('General inputs'!$I$18,4)*1,"",SUMIF('Post-1996 commissioned assets'!$F$22:$F$435,$D101,'Post-1996 commissioned assets'!$P$22:$P$435)*(1+$K$34)*(1+$K$35))</f>
        <v/>
      </c>
      <c r="M101" s="81" t="str">
        <f>IF(L101="","",L101/(1+'General inputs'!$H$32)^C101)</f>
        <v/>
      </c>
      <c r="N101" s="81">
        <f>IF(LEFT(D101,4)*1&lt;LEFT('General inputs'!$I$18,4)*1+1,"",SUMIF('Uncommissioned assets'!$F$22:$F$1478,$D101,'Uncommissioned assets'!$P$22:$P$1478))</f>
        <v>0</v>
      </c>
      <c r="O101" s="81">
        <f>IF(N101="","",N101/(1+'General inputs'!$H$32)^C101)</f>
        <v>0</v>
      </c>
      <c r="Q101" s="38"/>
      <c r="R101" s="81" t="str">
        <f>IF(OR(LEFT(D101,4)*1&lt;LEFT('General inputs'!$I$16,4)*1,LEFT(D101,4)*1&gt;LEFT('General inputs'!$I$16,4)+'General inputs'!$H$38-1),"",Q101/(1+'General inputs'!$H$34)^C101)</f>
        <v/>
      </c>
      <c r="T101" s="38"/>
      <c r="U101" s="81" t="str">
        <f>IF(OR(LEFT(D101,4)*1&lt;LEFT('General inputs'!$I$16,4)*1,LEFT(D101,4)*1&gt;LEFT('General inputs'!$I$16,4)+'General inputs'!$H$38-1),"",T101/(1+'General inputs'!$H$34)^C101)</f>
        <v/>
      </c>
      <c r="V101" s="54"/>
    </row>
    <row r="102" spans="2:22" x14ac:dyDescent="0.25">
      <c r="B102" s="53"/>
      <c r="C102" s="28">
        <f>IF(D102='General inputs'!$I$16,0,IF(D102&lt;'General inputs'!$I$16,C103-1,C101+1))</f>
        <v>36</v>
      </c>
      <c r="D102" s="28" t="str">
        <f t="shared" si="3"/>
        <v>2058-59</v>
      </c>
      <c r="E102" s="81" t="str">
        <f>IF(LEFT(D102,4)*1&gt;LEFT('General inputs'!$I$16,4)+'General inputs'!$H$38-1,"",'ET inputs'!D75)</f>
        <v/>
      </c>
      <c r="F102" s="81" t="str">
        <f>IF(LEFT(D102,4)*1&gt;LEFT('General inputs'!$I$16,4)+'General inputs'!$H$38-1,"",E102/(1+'General inputs'!$H$30)^C102)</f>
        <v/>
      </c>
      <c r="G102" s="81" t="str">
        <f>IF(LEFT(D102,4)*1&gt;LEFT('General inputs'!$I$16,4)+'General inputs'!$H$38-1,"",E102/(1+'General inputs'!$H$32)^C102)</f>
        <v/>
      </c>
      <c r="H102" s="81" t="str">
        <f>IF(LEFT(D102,4)*1&lt;LEFT('General inputs'!$I$16,4)*1,"",IF(LEFT(D102,4)*1&gt;LEFT('General inputs'!$I$16,4)+'General inputs'!$H$38-1,"",E102/(1+'General inputs'!$H$34)^C102))</f>
        <v/>
      </c>
      <c r="J102" s="109"/>
      <c r="K102" s="109"/>
      <c r="L102" s="81" t="str">
        <f>IF(LEFT(D102,4)*1&gt;LEFT('General inputs'!$I$18,4)*1,"",SUMIF('Post-1996 commissioned assets'!$F$22:$F$435,$D102,'Post-1996 commissioned assets'!$P$22:$P$435)*(1+$K$34)*(1+$K$35))</f>
        <v/>
      </c>
      <c r="M102" s="81" t="str">
        <f>IF(L102="","",L102/(1+'General inputs'!$H$32)^C102)</f>
        <v/>
      </c>
      <c r="N102" s="81">
        <f>IF(LEFT(D102,4)*1&lt;LEFT('General inputs'!$I$18,4)*1+1,"",SUMIF('Uncommissioned assets'!$F$22:$F$1478,$D102,'Uncommissioned assets'!$P$22:$P$1478))</f>
        <v>0</v>
      </c>
      <c r="O102" s="81">
        <f>IF(N102="","",N102/(1+'General inputs'!$H$32)^C102)</f>
        <v>0</v>
      </c>
      <c r="Q102" s="38"/>
      <c r="R102" s="81" t="str">
        <f>IF(OR(LEFT(D102,4)*1&lt;LEFT('General inputs'!$I$16,4)*1,LEFT(D102,4)*1&gt;LEFT('General inputs'!$I$16,4)+'General inputs'!$H$38-1),"",Q102/(1+'General inputs'!$H$34)^C102)</f>
        <v/>
      </c>
      <c r="T102" s="38"/>
      <c r="U102" s="81" t="str">
        <f>IF(OR(LEFT(D102,4)*1&lt;LEFT('General inputs'!$I$16,4)*1,LEFT(D102,4)*1&gt;LEFT('General inputs'!$I$16,4)+'General inputs'!$H$38-1),"",T102/(1+'General inputs'!$H$34)^C102)</f>
        <v/>
      </c>
      <c r="V102" s="54"/>
    </row>
    <row r="103" spans="2:22" x14ac:dyDescent="0.25">
      <c r="B103" s="53"/>
      <c r="C103" s="28">
        <f>IF(D103='General inputs'!$I$16,0,IF(D103&lt;'General inputs'!$I$16,C104-1,C102+1))</f>
        <v>37</v>
      </c>
      <c r="D103" s="28" t="str">
        <f t="shared" si="3"/>
        <v>2059-60</v>
      </c>
      <c r="E103" s="81" t="str">
        <f>IF(LEFT(D103,4)*1&gt;LEFT('General inputs'!$I$16,4)+'General inputs'!$H$38-1,"",'ET inputs'!D76)</f>
        <v/>
      </c>
      <c r="F103" s="81" t="str">
        <f>IF(LEFT(D103,4)*1&gt;LEFT('General inputs'!$I$16,4)+'General inputs'!$H$38-1,"",E103/(1+'General inputs'!$H$30)^C103)</f>
        <v/>
      </c>
      <c r="G103" s="81" t="str">
        <f>IF(LEFT(D103,4)*1&gt;LEFT('General inputs'!$I$16,4)+'General inputs'!$H$38-1,"",E103/(1+'General inputs'!$H$32)^C103)</f>
        <v/>
      </c>
      <c r="H103" s="81" t="str">
        <f>IF(LEFT(D103,4)*1&lt;LEFT('General inputs'!$I$16,4)*1,"",IF(LEFT(D103,4)*1&gt;LEFT('General inputs'!$I$16,4)+'General inputs'!$H$38-1,"",E103/(1+'General inputs'!$H$34)^C103))</f>
        <v/>
      </c>
      <c r="J103" s="109"/>
      <c r="K103" s="109"/>
      <c r="L103" s="81" t="str">
        <f>IF(LEFT(D103,4)*1&gt;LEFT('General inputs'!$I$18,4)*1,"",SUMIF('Post-1996 commissioned assets'!$F$22:$F$435,$D103,'Post-1996 commissioned assets'!$P$22:$P$435)*(1+$K$34)*(1+$K$35))</f>
        <v/>
      </c>
      <c r="M103" s="81" t="str">
        <f>IF(L103="","",L103/(1+'General inputs'!$H$32)^C103)</f>
        <v/>
      </c>
      <c r="N103" s="81">
        <f>IF(LEFT(D103,4)*1&lt;LEFT('General inputs'!$I$18,4)*1+1,"",SUMIF('Uncommissioned assets'!$F$22:$F$1478,$D103,'Uncommissioned assets'!$P$22:$P$1478))</f>
        <v>0</v>
      </c>
      <c r="O103" s="81">
        <f>IF(N103="","",N103/(1+'General inputs'!$H$32)^C103)</f>
        <v>0</v>
      </c>
      <c r="Q103" s="38"/>
      <c r="R103" s="81" t="str">
        <f>IF(OR(LEFT(D103,4)*1&lt;LEFT('General inputs'!$I$16,4)*1,LEFT(D103,4)*1&gt;LEFT('General inputs'!$I$16,4)+'General inputs'!$H$38-1),"",Q103/(1+'General inputs'!$H$34)^C103)</f>
        <v/>
      </c>
      <c r="T103" s="38"/>
      <c r="U103" s="81" t="str">
        <f>IF(OR(LEFT(D103,4)*1&lt;LEFT('General inputs'!$I$16,4)*1,LEFT(D103,4)*1&gt;LEFT('General inputs'!$I$16,4)+'General inputs'!$H$38-1),"",T103/(1+'General inputs'!$H$34)^C103)</f>
        <v/>
      </c>
      <c r="V103" s="54"/>
    </row>
    <row r="104" spans="2:22" x14ac:dyDescent="0.25">
      <c r="B104" s="53"/>
      <c r="C104" s="28">
        <f>IF(D104='General inputs'!$I$16,0,IF(D104&lt;'General inputs'!$I$16,C105-1,C103+1))</f>
        <v>38</v>
      </c>
      <c r="D104" s="28" t="str">
        <f t="shared" si="3"/>
        <v>2060-61</v>
      </c>
      <c r="E104" s="81" t="str">
        <f>IF(LEFT(D104,4)*1&gt;LEFT('General inputs'!$I$16,4)+'General inputs'!$H$38-1,"",'ET inputs'!D77)</f>
        <v/>
      </c>
      <c r="F104" s="81" t="str">
        <f>IF(LEFT(D104,4)*1&gt;LEFT('General inputs'!$I$16,4)+'General inputs'!$H$38-1,"",E104/(1+'General inputs'!$H$30)^C104)</f>
        <v/>
      </c>
      <c r="G104" s="81" t="str">
        <f>IF(LEFT(D104,4)*1&gt;LEFT('General inputs'!$I$16,4)+'General inputs'!$H$38-1,"",E104/(1+'General inputs'!$H$32)^C104)</f>
        <v/>
      </c>
      <c r="H104" s="81" t="str">
        <f>IF(LEFT(D104,4)*1&lt;LEFT('General inputs'!$I$16,4)*1,"",IF(LEFT(D104,4)*1&gt;LEFT('General inputs'!$I$16,4)+'General inputs'!$H$38-1,"",E104/(1+'General inputs'!$H$34)^C104))</f>
        <v/>
      </c>
      <c r="J104" s="109"/>
      <c r="K104" s="109"/>
      <c r="L104" s="81" t="str">
        <f>IF(LEFT(D104,4)*1&gt;LEFT('General inputs'!$I$18,4)*1,"",SUMIF('Post-1996 commissioned assets'!$F$22:$F$435,$D104,'Post-1996 commissioned assets'!$P$22:$P$435)*(1+$K$34)*(1+$K$35))</f>
        <v/>
      </c>
      <c r="M104" s="81" t="str">
        <f>IF(L104="","",L104/(1+'General inputs'!$H$32)^C104)</f>
        <v/>
      </c>
      <c r="N104" s="81">
        <f>IF(LEFT(D104,4)*1&lt;LEFT('General inputs'!$I$18,4)*1+1,"",SUMIF('Uncommissioned assets'!$F$22:$F$1478,$D104,'Uncommissioned assets'!$P$22:$P$1478))</f>
        <v>0</v>
      </c>
      <c r="O104" s="81">
        <f>IF(N104="","",N104/(1+'General inputs'!$H$32)^C104)</f>
        <v>0</v>
      </c>
      <c r="Q104" s="38"/>
      <c r="R104" s="81" t="str">
        <f>IF(OR(LEFT(D104,4)*1&lt;LEFT('General inputs'!$I$16,4)*1,LEFT(D104,4)*1&gt;LEFT('General inputs'!$I$16,4)+'General inputs'!$H$38-1),"",Q104/(1+'General inputs'!$H$34)^C104)</f>
        <v/>
      </c>
      <c r="T104" s="38"/>
      <c r="U104" s="81" t="str">
        <f>IF(OR(LEFT(D104,4)*1&lt;LEFT('General inputs'!$I$16,4)*1,LEFT(D104,4)*1&gt;LEFT('General inputs'!$I$16,4)+'General inputs'!$H$38-1),"",T104/(1+'General inputs'!$H$34)^C104)</f>
        <v/>
      </c>
      <c r="V104" s="54"/>
    </row>
    <row r="105" spans="2:22" x14ac:dyDescent="0.25">
      <c r="B105" s="53"/>
      <c r="C105" s="28">
        <f>IF(D105='General inputs'!$I$16,0,IF(D105&lt;'General inputs'!$I$16,C106-1,C104+1))</f>
        <v>39</v>
      </c>
      <c r="D105" s="28" t="str">
        <f t="shared" si="3"/>
        <v>2061-62</v>
      </c>
      <c r="E105" s="81" t="str">
        <f>IF(LEFT(D105,4)*1&gt;LEFT('General inputs'!$I$16,4)+'General inputs'!$H$38-1,"",'ET inputs'!D78)</f>
        <v/>
      </c>
      <c r="F105" s="81" t="str">
        <f>IF(LEFT(D105,4)*1&gt;LEFT('General inputs'!$I$16,4)+'General inputs'!$H$38-1,"",E105/(1+'General inputs'!$H$30)^C105)</f>
        <v/>
      </c>
      <c r="G105" s="81" t="str">
        <f>IF(LEFT(D105,4)*1&gt;LEFT('General inputs'!$I$16,4)+'General inputs'!$H$38-1,"",E105/(1+'General inputs'!$H$32)^C105)</f>
        <v/>
      </c>
      <c r="H105" s="81" t="str">
        <f>IF(LEFT(D105,4)*1&lt;LEFT('General inputs'!$I$16,4)*1,"",IF(LEFT(D105,4)*1&gt;LEFT('General inputs'!$I$16,4)+'General inputs'!$H$38-1,"",E105/(1+'General inputs'!$H$34)^C105))</f>
        <v/>
      </c>
      <c r="J105" s="109"/>
      <c r="K105" s="109"/>
      <c r="L105" s="81" t="str">
        <f>IF(LEFT(D105,4)*1&gt;LEFT('General inputs'!$I$18,4)*1,"",SUMIF('Post-1996 commissioned assets'!$F$22:$F$435,$D105,'Post-1996 commissioned assets'!$P$22:$P$435)*(1+$K$34)*(1+$K$35))</f>
        <v/>
      </c>
      <c r="M105" s="81" t="str">
        <f>IF(L105="","",L105/(1+'General inputs'!$H$32)^C105)</f>
        <v/>
      </c>
      <c r="N105" s="81">
        <f>IF(LEFT(D105,4)*1&lt;LEFT('General inputs'!$I$18,4)*1+1,"",SUMIF('Uncommissioned assets'!$F$22:$F$1478,$D105,'Uncommissioned assets'!$P$22:$P$1478))</f>
        <v>0</v>
      </c>
      <c r="O105" s="81">
        <f>IF(N105="","",N105/(1+'General inputs'!$H$32)^C105)</f>
        <v>0</v>
      </c>
      <c r="Q105" s="38"/>
      <c r="R105" s="81" t="str">
        <f>IF(OR(LEFT(D105,4)*1&lt;LEFT('General inputs'!$I$16,4)*1,LEFT(D105,4)*1&gt;LEFT('General inputs'!$I$16,4)+'General inputs'!$H$38-1),"",Q105/(1+'General inputs'!$H$34)^C105)</f>
        <v/>
      </c>
      <c r="T105" s="38"/>
      <c r="U105" s="81" t="str">
        <f>IF(OR(LEFT(D105,4)*1&lt;LEFT('General inputs'!$I$16,4)*1,LEFT(D105,4)*1&gt;LEFT('General inputs'!$I$16,4)+'General inputs'!$H$38-1),"",T105/(1+'General inputs'!$H$34)^C105)</f>
        <v/>
      </c>
      <c r="V105" s="54"/>
    </row>
    <row r="106" spans="2:22" x14ac:dyDescent="0.25">
      <c r="B106" s="53"/>
      <c r="C106" s="28">
        <f>IF(D106='General inputs'!$I$16,0,IF(D106&lt;'General inputs'!$I$16,C107-1,C105+1))</f>
        <v>40</v>
      </c>
      <c r="D106" s="28" t="str">
        <f t="shared" si="3"/>
        <v>2062-63</v>
      </c>
      <c r="E106" s="81" t="str">
        <f>IF(LEFT(D106,4)*1&gt;LEFT('General inputs'!$I$16,4)+'General inputs'!$H$38-1,"",'ET inputs'!D79)</f>
        <v/>
      </c>
      <c r="F106" s="81" t="str">
        <f>IF(LEFT(D106,4)*1&gt;LEFT('General inputs'!$I$16,4)+'General inputs'!$H$38-1,"",E106/(1+'General inputs'!$H$30)^C106)</f>
        <v/>
      </c>
      <c r="G106" s="81" t="str">
        <f>IF(LEFT(D106,4)*1&gt;LEFT('General inputs'!$I$16,4)+'General inputs'!$H$38-1,"",E106/(1+'General inputs'!$H$32)^C106)</f>
        <v/>
      </c>
      <c r="H106" s="81" t="str">
        <f>IF(LEFT(D106,4)*1&lt;LEFT('General inputs'!$I$16,4)*1,"",IF(LEFT(D106,4)*1&gt;LEFT('General inputs'!$I$16,4)+'General inputs'!$H$38-1,"",E106/(1+'General inputs'!$H$34)^C106))</f>
        <v/>
      </c>
      <c r="J106" s="109"/>
      <c r="K106" s="109"/>
      <c r="L106" s="81" t="str">
        <f>IF(LEFT(D106,4)*1&gt;LEFT('General inputs'!$I$18,4)*1,"",SUMIF('Post-1996 commissioned assets'!$F$22:$F$435,$D106,'Post-1996 commissioned assets'!$P$22:$P$435)*(1+$K$34)*(1+$K$35))</f>
        <v/>
      </c>
      <c r="M106" s="81" t="str">
        <f>IF(L106="","",L106/(1+'General inputs'!$H$32)^C106)</f>
        <v/>
      </c>
      <c r="N106" s="81">
        <f>IF(LEFT(D106,4)*1&lt;LEFT('General inputs'!$I$18,4)*1+1,"",SUMIF('Uncommissioned assets'!$F$22:$F$1478,$D106,'Uncommissioned assets'!$P$22:$P$1478))</f>
        <v>0</v>
      </c>
      <c r="O106" s="81">
        <f>IF(N106="","",N106/(1+'General inputs'!$H$32)^C106)</f>
        <v>0</v>
      </c>
      <c r="Q106" s="38"/>
      <c r="R106" s="81" t="str">
        <f>IF(OR(LEFT(D106,4)*1&lt;LEFT('General inputs'!$I$16,4)*1,LEFT(D106,4)*1&gt;LEFT('General inputs'!$I$16,4)+'General inputs'!$H$38-1),"",Q106/(1+'General inputs'!$H$34)^C106)</f>
        <v/>
      </c>
      <c r="T106" s="38"/>
      <c r="U106" s="81" t="str">
        <f>IF(OR(LEFT(D106,4)*1&lt;LEFT('General inputs'!$I$16,4)*1,LEFT(D106,4)*1&gt;LEFT('General inputs'!$I$16,4)+'General inputs'!$H$38-1),"",T106/(1+'General inputs'!$H$34)^C106)</f>
        <v/>
      </c>
      <c r="V106" s="54"/>
    </row>
    <row r="107" spans="2:22" x14ac:dyDescent="0.25">
      <c r="B107" s="53"/>
      <c r="C107" s="28">
        <f>IF(D107='General inputs'!$I$16,0,IF(D107&lt;'General inputs'!$I$16,C108-1,C106+1))</f>
        <v>41</v>
      </c>
      <c r="D107" s="28" t="str">
        <f t="shared" si="3"/>
        <v>2063-64</v>
      </c>
      <c r="E107" s="81" t="str">
        <f>IF(LEFT(D107,4)*1&gt;LEFT('General inputs'!$I$16,4)+'General inputs'!$H$38-1,"",'ET inputs'!D80)</f>
        <v/>
      </c>
      <c r="F107" s="81" t="str">
        <f>IF(LEFT(D107,4)*1&gt;LEFT('General inputs'!$I$16,4)+'General inputs'!$H$38-1,"",E107/(1+'General inputs'!$H$30)^C107)</f>
        <v/>
      </c>
      <c r="G107" s="81" t="str">
        <f>IF(LEFT(D107,4)*1&gt;LEFT('General inputs'!$I$16,4)+'General inputs'!$H$38-1,"",E107/(1+'General inputs'!$H$32)^C107)</f>
        <v/>
      </c>
      <c r="H107" s="81" t="str">
        <f>IF(LEFT(D107,4)*1&lt;LEFT('General inputs'!$I$16,4)*1,"",IF(LEFT(D107,4)*1&gt;LEFT('General inputs'!$I$16,4)+'General inputs'!$H$38-1,"",E107/(1+'General inputs'!$H$34)^C107))</f>
        <v/>
      </c>
      <c r="J107" s="109"/>
      <c r="K107" s="109"/>
      <c r="L107" s="81" t="str">
        <f>IF(LEFT(D107,4)*1&gt;LEFT('General inputs'!$I$18,4)*1,"",SUMIF('Post-1996 commissioned assets'!$F$22:$F$435,$D107,'Post-1996 commissioned assets'!$P$22:$P$435)*(1+$K$34)*(1+$K$35))</f>
        <v/>
      </c>
      <c r="M107" s="81" t="str">
        <f>IF(L107="","",L107/(1+'General inputs'!$H$32)^C107)</f>
        <v/>
      </c>
      <c r="N107" s="81">
        <f>IF(LEFT(D107,4)*1&lt;LEFT('General inputs'!$I$18,4)*1+1,"",SUMIF('Uncommissioned assets'!$F$22:$F$1478,$D107,'Uncommissioned assets'!$P$22:$P$1478))</f>
        <v>0</v>
      </c>
      <c r="O107" s="81">
        <f>IF(N107="","",N107/(1+'General inputs'!$H$32)^C107)</f>
        <v>0</v>
      </c>
      <c r="Q107" s="38"/>
      <c r="R107" s="81" t="str">
        <f>IF(OR(LEFT(D107,4)*1&lt;LEFT('General inputs'!$I$16,4)*1,LEFT(D107,4)*1&gt;LEFT('General inputs'!$I$16,4)+'General inputs'!$H$38-1),"",Q107/(1+'General inputs'!$H$34)^C107)</f>
        <v/>
      </c>
      <c r="T107" s="38"/>
      <c r="U107" s="81" t="str">
        <f>IF(OR(LEFT(D107,4)*1&lt;LEFT('General inputs'!$I$16,4)*1,LEFT(D107,4)*1&gt;LEFT('General inputs'!$I$16,4)+'General inputs'!$H$38-1),"",T107/(1+'General inputs'!$H$34)^C107)</f>
        <v/>
      </c>
      <c r="V107" s="54"/>
    </row>
    <row r="108" spans="2:22" x14ac:dyDescent="0.25">
      <c r="B108" s="53"/>
      <c r="C108" s="28">
        <f>IF(D108='General inputs'!$I$16,0,IF(D108&lt;'General inputs'!$I$16,C109-1,C107+1))</f>
        <v>42</v>
      </c>
      <c r="D108" s="28" t="str">
        <f t="shared" si="3"/>
        <v>2064-65</v>
      </c>
      <c r="E108" s="81" t="str">
        <f>IF(LEFT(D108,4)*1&gt;LEFT('General inputs'!$I$16,4)+'General inputs'!$H$38-1,"",'ET inputs'!D81)</f>
        <v/>
      </c>
      <c r="F108" s="81" t="str">
        <f>IF(LEFT(D108,4)*1&gt;LEFT('General inputs'!$I$16,4)+'General inputs'!$H$38-1,"",E108/(1+'General inputs'!$H$30)^C108)</f>
        <v/>
      </c>
      <c r="G108" s="81" t="str">
        <f>IF(LEFT(D108,4)*1&gt;LEFT('General inputs'!$I$16,4)+'General inputs'!$H$38-1,"",E108/(1+'General inputs'!$H$32)^C108)</f>
        <v/>
      </c>
      <c r="H108" s="81" t="str">
        <f>IF(LEFT(D108,4)*1&lt;LEFT('General inputs'!$I$16,4)*1,"",IF(LEFT(D108,4)*1&gt;LEFT('General inputs'!$I$16,4)+'General inputs'!$H$38-1,"",E108/(1+'General inputs'!$H$34)^C108))</f>
        <v/>
      </c>
      <c r="J108" s="109"/>
      <c r="K108" s="109"/>
      <c r="L108" s="81" t="str">
        <f>IF(LEFT(D108,4)*1&gt;LEFT('General inputs'!$I$18,4)*1,"",SUMIF('Post-1996 commissioned assets'!$F$22:$F$435,$D108,'Post-1996 commissioned assets'!$P$22:$P$435)*(1+$K$34)*(1+$K$35))</f>
        <v/>
      </c>
      <c r="M108" s="81" t="str">
        <f>IF(L108="","",L108/(1+'General inputs'!$H$32)^C108)</f>
        <v/>
      </c>
      <c r="N108" s="81">
        <f>IF(LEFT(D108,4)*1&lt;LEFT('General inputs'!$I$18,4)*1+1,"",SUMIF('Uncommissioned assets'!$F$22:$F$1478,$D108,'Uncommissioned assets'!$P$22:$P$1478))</f>
        <v>0</v>
      </c>
      <c r="O108" s="81">
        <f>IF(N108="","",N108/(1+'General inputs'!$H$32)^C108)</f>
        <v>0</v>
      </c>
      <c r="Q108" s="38"/>
      <c r="R108" s="81" t="str">
        <f>IF(OR(LEFT(D108,4)*1&lt;LEFT('General inputs'!$I$16,4)*1,LEFT(D108,4)*1&gt;LEFT('General inputs'!$I$16,4)+'General inputs'!$H$38-1),"",Q108/(1+'General inputs'!$H$34)^C108)</f>
        <v/>
      </c>
      <c r="T108" s="38"/>
      <c r="U108" s="81" t="str">
        <f>IF(OR(LEFT(D108,4)*1&lt;LEFT('General inputs'!$I$16,4)*1,LEFT(D108,4)*1&gt;LEFT('General inputs'!$I$16,4)+'General inputs'!$H$38-1),"",T108/(1+'General inputs'!$H$34)^C108)</f>
        <v/>
      </c>
      <c r="V108" s="54"/>
    </row>
    <row r="109" spans="2:22" x14ac:dyDescent="0.25">
      <c r="B109" s="53"/>
      <c r="C109" s="28">
        <f>IF(D109='General inputs'!$I$16,0,IF(D109&lt;'General inputs'!$I$16,C110-1,C108+1))</f>
        <v>43</v>
      </c>
      <c r="D109" s="28" t="str">
        <f t="shared" si="3"/>
        <v>2065-66</v>
      </c>
      <c r="E109" s="81" t="str">
        <f>IF(LEFT(D109,4)*1&gt;LEFT('General inputs'!$I$16,4)+'General inputs'!$H$38-1,"",'ET inputs'!D82)</f>
        <v/>
      </c>
      <c r="F109" s="81" t="str">
        <f>IF(LEFT(D109,4)*1&gt;LEFT('General inputs'!$I$16,4)+'General inputs'!$H$38-1,"",E109/(1+'General inputs'!$H$30)^C109)</f>
        <v/>
      </c>
      <c r="G109" s="81" t="str">
        <f>IF(LEFT(D109,4)*1&gt;LEFT('General inputs'!$I$16,4)+'General inputs'!$H$38-1,"",E109/(1+'General inputs'!$H$32)^C109)</f>
        <v/>
      </c>
      <c r="H109" s="81" t="str">
        <f>IF(LEFT(D109,4)*1&lt;LEFT('General inputs'!$I$16,4)*1,"",IF(LEFT(D109,4)*1&gt;LEFT('General inputs'!$I$16,4)+'General inputs'!$H$38-1,"",E109/(1+'General inputs'!$H$34)^C109))</f>
        <v/>
      </c>
      <c r="J109" s="109"/>
      <c r="K109" s="109"/>
      <c r="L109" s="81" t="str">
        <f>IF(LEFT(D109,4)*1&gt;LEFT('General inputs'!$I$18,4)*1,"",SUMIF('Post-1996 commissioned assets'!$F$22:$F$435,$D109,'Post-1996 commissioned assets'!$P$22:$P$435)*(1+$K$34)*(1+$K$35))</f>
        <v/>
      </c>
      <c r="M109" s="81" t="str">
        <f>IF(L109="","",L109/(1+'General inputs'!$H$32)^C109)</f>
        <v/>
      </c>
      <c r="N109" s="81">
        <f>IF(LEFT(D109,4)*1&lt;LEFT('General inputs'!$I$18,4)*1+1,"",SUMIF('Uncommissioned assets'!$F$22:$F$1478,$D109,'Uncommissioned assets'!$P$22:$P$1478))</f>
        <v>0</v>
      </c>
      <c r="O109" s="81">
        <f>IF(N109="","",N109/(1+'General inputs'!$H$32)^C109)</f>
        <v>0</v>
      </c>
      <c r="Q109" s="38"/>
      <c r="R109" s="81" t="str">
        <f>IF(OR(LEFT(D109,4)*1&lt;LEFT('General inputs'!$I$16,4)*1,LEFT(D109,4)*1&gt;LEFT('General inputs'!$I$16,4)+'General inputs'!$H$38-1),"",Q109/(1+'General inputs'!$H$34)^C109)</f>
        <v/>
      </c>
      <c r="T109" s="38"/>
      <c r="U109" s="81" t="str">
        <f>IF(OR(LEFT(D109,4)*1&lt;LEFT('General inputs'!$I$16,4)*1,LEFT(D109,4)*1&gt;LEFT('General inputs'!$I$16,4)+'General inputs'!$H$38-1),"",T109/(1+'General inputs'!$H$34)^C109)</f>
        <v/>
      </c>
      <c r="V109" s="54"/>
    </row>
    <row r="110" spans="2:22" x14ac:dyDescent="0.25">
      <c r="B110" s="53"/>
      <c r="C110" s="28">
        <f>IF(D110='General inputs'!$I$16,0,IF(D110&lt;'General inputs'!$I$16,C111-1,C109+1))</f>
        <v>44</v>
      </c>
      <c r="D110" s="28" t="str">
        <f t="shared" si="3"/>
        <v>2066-67</v>
      </c>
      <c r="E110" s="81" t="str">
        <f>IF(LEFT(D110,4)*1&gt;LEFT('General inputs'!$I$16,4)+'General inputs'!$H$38-1,"",'ET inputs'!D83)</f>
        <v/>
      </c>
      <c r="F110" s="81" t="str">
        <f>IF(LEFT(D110,4)*1&gt;LEFT('General inputs'!$I$16,4)+'General inputs'!$H$38-1,"",E110/(1+'General inputs'!$H$30)^C110)</f>
        <v/>
      </c>
      <c r="G110" s="81" t="str">
        <f>IF(LEFT(D110,4)*1&gt;LEFT('General inputs'!$I$16,4)+'General inputs'!$H$38-1,"",E110/(1+'General inputs'!$H$32)^C110)</f>
        <v/>
      </c>
      <c r="H110" s="81" t="str">
        <f>IF(LEFT(D110,4)*1&lt;LEFT('General inputs'!$I$16,4)*1,"",IF(LEFT(D110,4)*1&gt;LEFT('General inputs'!$I$16,4)+'General inputs'!$H$38-1,"",E110/(1+'General inputs'!$H$34)^C110))</f>
        <v/>
      </c>
      <c r="J110" s="109"/>
      <c r="K110" s="109"/>
      <c r="L110" s="81" t="str">
        <f>IF(LEFT(D110,4)*1&gt;LEFT('General inputs'!$I$18,4)*1,"",SUMIF('Post-1996 commissioned assets'!$F$22:$F$435,$D110,'Post-1996 commissioned assets'!$P$22:$P$435)*(1+$K$34)*(1+$K$35))</f>
        <v/>
      </c>
      <c r="M110" s="81" t="str">
        <f>IF(L110="","",L110/(1+'General inputs'!$H$32)^C110)</f>
        <v/>
      </c>
      <c r="N110" s="81">
        <f>IF(LEFT(D110,4)*1&lt;LEFT('General inputs'!$I$18,4)*1+1,"",SUMIF('Uncommissioned assets'!$F$22:$F$1478,$D110,'Uncommissioned assets'!$P$22:$P$1478))</f>
        <v>0</v>
      </c>
      <c r="O110" s="81">
        <f>IF(N110="","",N110/(1+'General inputs'!$H$32)^C110)</f>
        <v>0</v>
      </c>
      <c r="Q110" s="38"/>
      <c r="R110" s="81" t="str">
        <f>IF(OR(LEFT(D110,4)*1&lt;LEFT('General inputs'!$I$16,4)*1,LEFT(D110,4)*1&gt;LEFT('General inputs'!$I$16,4)+'General inputs'!$H$38-1),"",Q110/(1+'General inputs'!$H$34)^C110)</f>
        <v/>
      </c>
      <c r="T110" s="38"/>
      <c r="U110" s="81" t="str">
        <f>IF(OR(LEFT(D110,4)*1&lt;LEFT('General inputs'!$I$16,4)*1,LEFT(D110,4)*1&gt;LEFT('General inputs'!$I$16,4)+'General inputs'!$H$38-1),"",T110/(1+'General inputs'!$H$34)^C110)</f>
        <v/>
      </c>
      <c r="V110" s="54"/>
    </row>
    <row r="111" spans="2:22" x14ac:dyDescent="0.25">
      <c r="B111" s="53"/>
      <c r="C111" s="28">
        <f>IF(D111='General inputs'!$I$16,0,IF(D111&lt;'General inputs'!$I$16,C112-1,C110+1))</f>
        <v>45</v>
      </c>
      <c r="D111" s="28" t="str">
        <f t="shared" si="3"/>
        <v>2067-68</v>
      </c>
      <c r="E111" s="81" t="str">
        <f>IF(LEFT(D111,4)*1&gt;LEFT('General inputs'!$I$16,4)+'General inputs'!$H$38-1,"",'ET inputs'!D84)</f>
        <v/>
      </c>
      <c r="F111" s="81" t="str">
        <f>IF(LEFT(D111,4)*1&gt;LEFT('General inputs'!$I$16,4)+'General inputs'!$H$38-1,"",E111/(1+'General inputs'!$H$30)^C111)</f>
        <v/>
      </c>
      <c r="G111" s="81" t="str">
        <f>IF(LEFT(D111,4)*1&gt;LEFT('General inputs'!$I$16,4)+'General inputs'!$H$38-1,"",E111/(1+'General inputs'!$H$32)^C111)</f>
        <v/>
      </c>
      <c r="H111" s="81" t="str">
        <f>IF(LEFT(D111,4)*1&lt;LEFT('General inputs'!$I$16,4)*1,"",IF(LEFT(D111,4)*1&gt;LEFT('General inputs'!$I$16,4)+'General inputs'!$H$38-1,"",E111/(1+'General inputs'!$H$34)^C111))</f>
        <v/>
      </c>
      <c r="J111" s="109"/>
      <c r="K111" s="109"/>
      <c r="L111" s="81" t="str">
        <f>IF(LEFT(D111,4)*1&gt;LEFT('General inputs'!$I$18,4)*1,"",SUMIF('Post-1996 commissioned assets'!$F$22:$F$435,$D111,'Post-1996 commissioned assets'!$P$22:$P$435)*(1+$K$34)*(1+$K$35))</f>
        <v/>
      </c>
      <c r="M111" s="81" t="str">
        <f>IF(L111="","",L111/(1+'General inputs'!$H$32)^C111)</f>
        <v/>
      </c>
      <c r="N111" s="81">
        <f>IF(LEFT(D111,4)*1&lt;LEFT('General inputs'!$I$18,4)*1+1,"",SUMIF('Uncommissioned assets'!$F$22:$F$1478,$D111,'Uncommissioned assets'!$P$22:$P$1478))</f>
        <v>0</v>
      </c>
      <c r="O111" s="81">
        <f>IF(N111="","",N111/(1+'General inputs'!$H$32)^C111)</f>
        <v>0</v>
      </c>
      <c r="Q111" s="38"/>
      <c r="R111" s="81" t="str">
        <f>IF(OR(LEFT(D111,4)*1&lt;LEFT('General inputs'!$I$16,4)*1,LEFT(D111,4)*1&gt;LEFT('General inputs'!$I$16,4)+'General inputs'!$H$38-1),"",Q111/(1+'General inputs'!$H$34)^C111)</f>
        <v/>
      </c>
      <c r="T111" s="38"/>
      <c r="U111" s="81" t="str">
        <f>IF(OR(LEFT(D111,4)*1&lt;LEFT('General inputs'!$I$16,4)*1,LEFT(D111,4)*1&gt;LEFT('General inputs'!$I$16,4)+'General inputs'!$H$38-1),"",T111/(1+'General inputs'!$H$34)^C111)</f>
        <v/>
      </c>
      <c r="V111" s="54"/>
    </row>
    <row r="112" spans="2:22" x14ac:dyDescent="0.25">
      <c r="B112" s="53"/>
      <c r="C112" s="28">
        <f>IF(D112='General inputs'!$I$16,0,IF(D112&lt;'General inputs'!$I$16,C113-1,C111+1))</f>
        <v>46</v>
      </c>
      <c r="D112" s="28" t="str">
        <f t="shared" si="3"/>
        <v>2068-69</v>
      </c>
      <c r="E112" s="81" t="str">
        <f>IF(LEFT(D112,4)*1&gt;LEFT('General inputs'!$I$16,4)+'General inputs'!$H$38-1,"",'ET inputs'!D85)</f>
        <v/>
      </c>
      <c r="F112" s="81" t="str">
        <f>IF(LEFT(D112,4)*1&gt;LEFT('General inputs'!$I$16,4)+'General inputs'!$H$38-1,"",E112/(1+'General inputs'!$H$30)^C112)</f>
        <v/>
      </c>
      <c r="G112" s="81" t="str">
        <f>IF(LEFT(D112,4)*1&gt;LEFT('General inputs'!$I$16,4)+'General inputs'!$H$38-1,"",E112/(1+'General inputs'!$H$32)^C112)</f>
        <v/>
      </c>
      <c r="H112" s="81" t="str">
        <f>IF(LEFT(D112,4)*1&lt;LEFT('General inputs'!$I$16,4)*1,"",IF(LEFT(D112,4)*1&gt;LEFT('General inputs'!$I$16,4)+'General inputs'!$H$38-1,"",E112/(1+'General inputs'!$H$34)^C112))</f>
        <v/>
      </c>
      <c r="J112" s="109"/>
      <c r="K112" s="109"/>
      <c r="L112" s="81" t="str">
        <f>IF(LEFT(D112,4)*1&gt;LEFT('General inputs'!$I$18,4)*1,"",SUMIF('Post-1996 commissioned assets'!$F$22:$F$435,$D112,'Post-1996 commissioned assets'!$P$22:$P$435)*(1+$K$34)*(1+$K$35))</f>
        <v/>
      </c>
      <c r="M112" s="81" t="str">
        <f>IF(L112="","",L112/(1+'General inputs'!$H$32)^C112)</f>
        <v/>
      </c>
      <c r="N112" s="81">
        <f>IF(LEFT(D112,4)*1&lt;LEFT('General inputs'!$I$18,4)*1+1,"",SUMIF('Uncommissioned assets'!$F$22:$F$1478,$D112,'Uncommissioned assets'!$P$22:$P$1478))</f>
        <v>0</v>
      </c>
      <c r="O112" s="81">
        <f>IF(N112="","",N112/(1+'General inputs'!$H$32)^C112)</f>
        <v>0</v>
      </c>
      <c r="Q112" s="38"/>
      <c r="R112" s="81" t="str">
        <f>IF(OR(LEFT(D112,4)*1&lt;LEFT('General inputs'!$I$16,4)*1,LEFT(D112,4)*1&gt;LEFT('General inputs'!$I$16,4)+'General inputs'!$H$38-1),"",Q112/(1+'General inputs'!$H$34)^C112)</f>
        <v/>
      </c>
      <c r="T112" s="38"/>
      <c r="U112" s="81" t="str">
        <f>IF(OR(LEFT(D112,4)*1&lt;LEFT('General inputs'!$I$16,4)*1,LEFT(D112,4)*1&gt;LEFT('General inputs'!$I$16,4)+'General inputs'!$H$38-1),"",T112/(1+'General inputs'!$H$34)^C112)</f>
        <v/>
      </c>
      <c r="V112" s="54"/>
    </row>
    <row r="113" spans="2:22" x14ac:dyDescent="0.25">
      <c r="B113" s="53"/>
      <c r="C113" s="28">
        <f>IF(D113='General inputs'!$I$16,0,IF(D113&lt;'General inputs'!$I$16,C114-1,C112+1))</f>
        <v>47</v>
      </c>
      <c r="D113" s="28" t="str">
        <f t="shared" si="3"/>
        <v>2069-70</v>
      </c>
      <c r="E113" s="81" t="str">
        <f>IF(LEFT(D113,4)*1&gt;LEFT('General inputs'!$I$16,4)+'General inputs'!$H$38-1,"",'ET inputs'!D86)</f>
        <v/>
      </c>
      <c r="F113" s="81" t="str">
        <f>IF(LEFT(D113,4)*1&gt;LEFT('General inputs'!$I$16,4)+'General inputs'!$H$38-1,"",E113/(1+'General inputs'!$H$30)^C113)</f>
        <v/>
      </c>
      <c r="G113" s="81" t="str">
        <f>IF(LEFT(D113,4)*1&gt;LEFT('General inputs'!$I$16,4)+'General inputs'!$H$38-1,"",E113/(1+'General inputs'!$H$32)^C113)</f>
        <v/>
      </c>
      <c r="H113" s="81" t="str">
        <f>IF(LEFT(D113,4)*1&lt;LEFT('General inputs'!$I$16,4)*1,"",IF(LEFT(D113,4)*1&gt;LEFT('General inputs'!$I$16,4)+'General inputs'!$H$38-1,"",E113/(1+'General inputs'!$H$34)^C113))</f>
        <v/>
      </c>
      <c r="J113" s="109"/>
      <c r="K113" s="109"/>
      <c r="L113" s="81" t="str">
        <f>IF(LEFT(D113,4)*1&gt;LEFT('General inputs'!$I$18,4)*1,"",SUMIF('Post-1996 commissioned assets'!$F$22:$F$435,$D113,'Post-1996 commissioned assets'!$P$22:$P$435)*(1+$K$34)*(1+$K$35))</f>
        <v/>
      </c>
      <c r="M113" s="81" t="str">
        <f>IF(L113="","",L113/(1+'General inputs'!$H$32)^C113)</f>
        <v/>
      </c>
      <c r="N113" s="81">
        <f>IF(LEFT(D113,4)*1&lt;LEFT('General inputs'!$I$18,4)*1+1,"",SUMIF('Uncommissioned assets'!$F$22:$F$1478,$D113,'Uncommissioned assets'!$P$22:$P$1478))</f>
        <v>0</v>
      </c>
      <c r="O113" s="81">
        <f>IF(N113="","",N113/(1+'General inputs'!$H$32)^C113)</f>
        <v>0</v>
      </c>
      <c r="Q113" s="38"/>
      <c r="R113" s="81" t="str">
        <f>IF(OR(LEFT(D113,4)*1&lt;LEFT('General inputs'!$I$16,4)*1,LEFT(D113,4)*1&gt;LEFT('General inputs'!$I$16,4)+'General inputs'!$H$38-1),"",Q113/(1+'General inputs'!$H$34)^C113)</f>
        <v/>
      </c>
      <c r="T113" s="38"/>
      <c r="U113" s="81" t="str">
        <f>IF(OR(LEFT(D113,4)*1&lt;LEFT('General inputs'!$I$16,4)*1,LEFT(D113,4)*1&gt;LEFT('General inputs'!$I$16,4)+'General inputs'!$H$38-1),"",T113/(1+'General inputs'!$H$34)^C113)</f>
        <v/>
      </c>
      <c r="V113" s="54"/>
    </row>
    <row r="114" spans="2:22" x14ac:dyDescent="0.25">
      <c r="B114" s="53"/>
      <c r="C114" s="28">
        <f>IF(D114='General inputs'!$I$16,0,IF(D114&lt;'General inputs'!$I$16,C115-1,C113+1))</f>
        <v>48</v>
      </c>
      <c r="D114" s="28" t="str">
        <f t="shared" si="3"/>
        <v>2070-71</v>
      </c>
      <c r="E114" s="81" t="str">
        <f>IF(LEFT(D114,4)*1&gt;LEFT('General inputs'!$I$16,4)+'General inputs'!$H$38-1,"",'ET inputs'!D87)</f>
        <v/>
      </c>
      <c r="F114" s="81" t="str">
        <f>IF(LEFT(D114,4)*1&gt;LEFT('General inputs'!$I$16,4)+'General inputs'!$H$38-1,"",E114/(1+'General inputs'!$H$30)^C114)</f>
        <v/>
      </c>
      <c r="G114" s="81" t="str">
        <f>IF(LEFT(D114,4)*1&gt;LEFT('General inputs'!$I$16,4)+'General inputs'!$H$38-1,"",E114/(1+'General inputs'!$H$32)^C114)</f>
        <v/>
      </c>
      <c r="H114" s="81" t="str">
        <f>IF(LEFT(D114,4)*1&lt;LEFT('General inputs'!$I$16,4)*1,"",IF(LEFT(D114,4)*1&gt;LEFT('General inputs'!$I$16,4)+'General inputs'!$H$38-1,"",E114/(1+'General inputs'!$H$34)^C114))</f>
        <v/>
      </c>
      <c r="J114" s="109"/>
      <c r="K114" s="109"/>
      <c r="L114" s="81" t="str">
        <f>IF(LEFT(D114,4)*1&gt;LEFT('General inputs'!$I$18,4)*1,"",SUMIF('Post-1996 commissioned assets'!$F$22:$F$435,$D114,'Post-1996 commissioned assets'!$P$22:$P$435)*(1+$K$34)*(1+$K$35))</f>
        <v/>
      </c>
      <c r="M114" s="81" t="str">
        <f>IF(L114="","",L114/(1+'General inputs'!$H$32)^C114)</f>
        <v/>
      </c>
      <c r="N114" s="81">
        <f>IF(LEFT(D114,4)*1&lt;LEFT('General inputs'!$I$18,4)*1+1,"",SUMIF('Uncommissioned assets'!$F$22:$F$1478,$D114,'Uncommissioned assets'!$P$22:$P$1478))</f>
        <v>0</v>
      </c>
      <c r="O114" s="81">
        <f>IF(N114="","",N114/(1+'General inputs'!$H$32)^C114)</f>
        <v>0</v>
      </c>
      <c r="Q114" s="38"/>
      <c r="R114" s="81" t="str">
        <f>IF(OR(LEFT(D114,4)*1&lt;LEFT('General inputs'!$I$16,4)*1,LEFT(D114,4)*1&gt;LEFT('General inputs'!$I$16,4)+'General inputs'!$H$38-1),"",Q114/(1+'General inputs'!$H$34)^C114)</f>
        <v/>
      </c>
      <c r="T114" s="38"/>
      <c r="U114" s="81" t="str">
        <f>IF(OR(LEFT(D114,4)*1&lt;LEFT('General inputs'!$I$16,4)*1,LEFT(D114,4)*1&gt;LEFT('General inputs'!$I$16,4)+'General inputs'!$H$38-1),"",T114/(1+'General inputs'!$H$34)^C114)</f>
        <v/>
      </c>
      <c r="V114" s="54"/>
    </row>
    <row r="115" spans="2:22" x14ac:dyDescent="0.25">
      <c r="B115" s="53"/>
      <c r="C115" s="28">
        <f>IF(D115='General inputs'!$I$16,0,IF(D115&lt;'General inputs'!$I$16,C116-1,C114+1))</f>
        <v>49</v>
      </c>
      <c r="D115" s="28" t="str">
        <f t="shared" si="3"/>
        <v>2071-72</v>
      </c>
      <c r="E115" s="81" t="str">
        <f>IF(LEFT(D115,4)*1&gt;LEFT('General inputs'!$I$16,4)+'General inputs'!$H$38-1,"",'ET inputs'!D88)</f>
        <v/>
      </c>
      <c r="F115" s="81" t="str">
        <f>IF(LEFT(D115,4)*1&gt;LEFT('General inputs'!$I$16,4)+'General inputs'!$H$38-1,"",E115/(1+'General inputs'!$H$30)^C115)</f>
        <v/>
      </c>
      <c r="G115" s="81" t="str">
        <f>IF(LEFT(D115,4)*1&gt;LEFT('General inputs'!$I$16,4)+'General inputs'!$H$38-1,"",E115/(1+'General inputs'!$H$32)^C115)</f>
        <v/>
      </c>
      <c r="H115" s="81" t="str">
        <f>IF(LEFT(D115,4)*1&lt;LEFT('General inputs'!$I$16,4)*1,"",IF(LEFT(D115,4)*1&gt;LEFT('General inputs'!$I$16,4)+'General inputs'!$H$38-1,"",E115/(1+'General inputs'!$H$34)^C115))</f>
        <v/>
      </c>
      <c r="J115" s="109"/>
      <c r="K115" s="109"/>
      <c r="L115" s="81" t="str">
        <f>IF(LEFT(D115,4)*1&gt;LEFT('General inputs'!$I$18,4)*1,"",SUMIF('Post-1996 commissioned assets'!$F$22:$F$435,$D115,'Post-1996 commissioned assets'!$P$22:$P$435)*(1+$K$34)*(1+$K$35))</f>
        <v/>
      </c>
      <c r="M115" s="81" t="str">
        <f>IF(L115="","",L115/(1+'General inputs'!$H$32)^C115)</f>
        <v/>
      </c>
      <c r="N115" s="81">
        <f>IF(LEFT(D115,4)*1&lt;LEFT('General inputs'!$I$18,4)*1+1,"",SUMIF('Uncommissioned assets'!$F$22:$F$1478,$D115,'Uncommissioned assets'!$P$22:$P$1478))</f>
        <v>0</v>
      </c>
      <c r="O115" s="81">
        <f>IF(N115="","",N115/(1+'General inputs'!$H$32)^C115)</f>
        <v>0</v>
      </c>
      <c r="Q115" s="38"/>
      <c r="R115" s="81" t="str">
        <f>IF(OR(LEFT(D115,4)*1&lt;LEFT('General inputs'!$I$16,4)*1,LEFT(D115,4)*1&gt;LEFT('General inputs'!$I$16,4)+'General inputs'!$H$38-1),"",Q115/(1+'General inputs'!$H$34)^C115)</f>
        <v/>
      </c>
      <c r="T115" s="38"/>
      <c r="U115" s="81" t="str">
        <f>IF(OR(LEFT(D115,4)*1&lt;LEFT('General inputs'!$I$16,4)*1,LEFT(D115,4)*1&gt;LEFT('General inputs'!$I$16,4)+'General inputs'!$H$38-1),"",T115/(1+'General inputs'!$H$34)^C115)</f>
        <v/>
      </c>
      <c r="V115" s="54"/>
    </row>
    <row r="116" spans="2:22" x14ac:dyDescent="0.25">
      <c r="B116" s="53"/>
      <c r="C116" s="28">
        <f>IF(D116='General inputs'!$I$16,0,IF(D116&lt;'General inputs'!$I$16,C117-1,C115+1))</f>
        <v>50</v>
      </c>
      <c r="D116" s="28" t="str">
        <f t="shared" si="3"/>
        <v>2072-73</v>
      </c>
      <c r="E116" s="81" t="str">
        <f>IF(LEFT(D116,4)*1&gt;LEFT('General inputs'!$I$16,4)+'General inputs'!$H$38-1,"",'ET inputs'!D89)</f>
        <v/>
      </c>
      <c r="F116" s="81" t="str">
        <f>IF(LEFT(D116,4)*1&gt;LEFT('General inputs'!$I$16,4)+'General inputs'!$H$38-1,"",E116/(1+'General inputs'!$H$30)^C116)</f>
        <v/>
      </c>
      <c r="G116" s="81" t="str">
        <f>IF(LEFT(D116,4)*1&gt;LEFT('General inputs'!$I$16,4)+'General inputs'!$H$38-1,"",E116/(1+'General inputs'!$H$32)^C116)</f>
        <v/>
      </c>
      <c r="H116" s="81" t="str">
        <f>IF(LEFT(D116,4)*1&lt;LEFT('General inputs'!$I$16,4)*1,"",IF(LEFT(D116,4)*1&gt;LEFT('General inputs'!$I$16,4)+'General inputs'!$H$38-1,"",E116/(1+'General inputs'!$H$34)^C116))</f>
        <v/>
      </c>
      <c r="J116" s="109"/>
      <c r="K116" s="109"/>
      <c r="L116" s="81" t="str">
        <f>IF(LEFT(D116,4)*1&gt;LEFT('General inputs'!$I$18,4)*1,"",SUMIF('Post-1996 commissioned assets'!$F$22:$F$435,$D116,'Post-1996 commissioned assets'!$P$22:$P$435)*(1+$K$34)*(1+$K$35))</f>
        <v/>
      </c>
      <c r="M116" s="81" t="str">
        <f>IF(L116="","",L116/(1+'General inputs'!$H$32)^C116)</f>
        <v/>
      </c>
      <c r="N116" s="81">
        <f>IF(LEFT(D116,4)*1&lt;LEFT('General inputs'!$I$18,4)*1+1,"",SUMIF('Uncommissioned assets'!$F$22:$F$1478,$D116,'Uncommissioned assets'!$P$22:$P$1478))</f>
        <v>0</v>
      </c>
      <c r="O116" s="81">
        <f>IF(N116="","",N116/(1+'General inputs'!$H$32)^C116)</f>
        <v>0</v>
      </c>
      <c r="Q116" s="38"/>
      <c r="R116" s="81" t="str">
        <f>IF(OR(LEFT(D116,4)*1&lt;LEFT('General inputs'!$I$16,4)*1,LEFT(D116,4)*1&gt;LEFT('General inputs'!$I$16,4)+'General inputs'!$H$38-1),"",Q116/(1+'General inputs'!$H$34)^C116)</f>
        <v/>
      </c>
      <c r="T116" s="38"/>
      <c r="U116" s="81" t="str">
        <f>IF(OR(LEFT(D116,4)*1&lt;LEFT('General inputs'!$I$16,4)*1,LEFT(D116,4)*1&gt;LEFT('General inputs'!$I$16,4)+'General inputs'!$H$38-1),"",T116/(1+'General inputs'!$H$34)^C116)</f>
        <v/>
      </c>
      <c r="V116" s="54"/>
    </row>
    <row r="117" spans="2:22" x14ac:dyDescent="0.25">
      <c r="B117" s="53"/>
      <c r="C117" s="28">
        <f>IF(D117='General inputs'!$I$16,0,IF(D117&lt;'General inputs'!$I$16,C118-1,C116+1))</f>
        <v>51</v>
      </c>
      <c r="D117" s="28" t="str">
        <f t="shared" si="3"/>
        <v>2073-74</v>
      </c>
      <c r="E117" s="81" t="str">
        <f>IF(LEFT(D117,4)*1&gt;LEFT('General inputs'!$I$16,4)+'General inputs'!$H$38-1,"",'ET inputs'!D90)</f>
        <v/>
      </c>
      <c r="F117" s="81" t="str">
        <f>IF(LEFT(D117,4)*1&gt;LEFT('General inputs'!$I$16,4)+'General inputs'!$H$38-1,"",E117/(1+'General inputs'!$H$30)^C117)</f>
        <v/>
      </c>
      <c r="G117" s="81" t="str">
        <f>IF(LEFT(D117,4)*1&gt;LEFT('General inputs'!$I$16,4)+'General inputs'!$H$38-1,"",E117/(1+'General inputs'!$H$32)^C117)</f>
        <v/>
      </c>
      <c r="H117" s="81" t="str">
        <f>IF(LEFT(D117,4)*1&lt;LEFT('General inputs'!$I$16,4)*1,"",IF(LEFT(D117,4)*1&gt;LEFT('General inputs'!$I$16,4)+'General inputs'!$H$38-1,"",E117/(1+'General inputs'!$H$34)^C117))</f>
        <v/>
      </c>
      <c r="J117" s="109"/>
      <c r="K117" s="109"/>
      <c r="L117" s="81" t="str">
        <f>IF(LEFT(D117,4)*1&gt;LEFT('General inputs'!$I$18,4)*1,"",SUMIF('Post-1996 commissioned assets'!$F$22:$F$435,$D117,'Post-1996 commissioned assets'!$P$22:$P$435)*(1+$K$34)*(1+$K$35))</f>
        <v/>
      </c>
      <c r="M117" s="81" t="str">
        <f>IF(L117="","",L117/(1+'General inputs'!$H$32)^C117)</f>
        <v/>
      </c>
      <c r="N117" s="81">
        <f>IF(LEFT(D117,4)*1&lt;LEFT('General inputs'!$I$18,4)*1+1,"",SUMIF('Uncommissioned assets'!$F$22:$F$1478,$D117,'Uncommissioned assets'!$P$22:$P$1478))</f>
        <v>0</v>
      </c>
      <c r="O117" s="81">
        <f>IF(N117="","",N117/(1+'General inputs'!$H$32)^C117)</f>
        <v>0</v>
      </c>
      <c r="Q117" s="38"/>
      <c r="R117" s="81" t="str">
        <f>IF(OR(LEFT(D117,4)*1&lt;LEFT('General inputs'!$I$16,4)*1,LEFT(D117,4)*1&gt;LEFT('General inputs'!$I$16,4)+'General inputs'!$H$38-1),"",Q117/(1+'General inputs'!$H$34)^C117)</f>
        <v/>
      </c>
      <c r="T117" s="38"/>
      <c r="U117" s="81" t="str">
        <f>IF(OR(LEFT(D117,4)*1&lt;LEFT('General inputs'!$I$16,4)*1,LEFT(D117,4)*1&gt;LEFT('General inputs'!$I$16,4)+'General inputs'!$H$38-1),"",T117/(1+'General inputs'!$H$34)^C117)</f>
        <v/>
      </c>
      <c r="V117" s="54"/>
    </row>
    <row r="118" spans="2:22" x14ac:dyDescent="0.25">
      <c r="B118" s="53"/>
      <c r="C118" s="28">
        <f>IF(D118='General inputs'!$I$16,0,IF(D118&lt;'General inputs'!$I$16,C119-1,C117+1))</f>
        <v>52</v>
      </c>
      <c r="D118" s="28" t="str">
        <f t="shared" si="3"/>
        <v>2074-75</v>
      </c>
      <c r="E118" s="81" t="str">
        <f>IF(LEFT(D118,4)*1&gt;LEFT('General inputs'!$I$16,4)+'General inputs'!$H$38-1,"",'ET inputs'!D91)</f>
        <v/>
      </c>
      <c r="F118" s="81" t="str">
        <f>IF(LEFT(D118,4)*1&gt;LEFT('General inputs'!$I$16,4)+'General inputs'!$H$38-1,"",E118/(1+'General inputs'!$H$30)^C118)</f>
        <v/>
      </c>
      <c r="G118" s="81" t="str">
        <f>IF(LEFT(D118,4)*1&gt;LEFT('General inputs'!$I$16,4)+'General inputs'!$H$38-1,"",E118/(1+'General inputs'!$H$32)^C118)</f>
        <v/>
      </c>
      <c r="H118" s="81" t="str">
        <f>IF(LEFT(D118,4)*1&lt;LEFT('General inputs'!$I$16,4)*1,"",IF(LEFT(D118,4)*1&gt;LEFT('General inputs'!$I$16,4)+'General inputs'!$H$38-1,"",E118/(1+'General inputs'!$H$34)^C118))</f>
        <v/>
      </c>
      <c r="J118" s="109"/>
      <c r="K118" s="109"/>
      <c r="L118" s="81" t="str">
        <f>IF(LEFT(D118,4)*1&gt;LEFT('General inputs'!$I$18,4)*1,"",SUMIF('Post-1996 commissioned assets'!$F$22:$F$435,$D118,'Post-1996 commissioned assets'!$P$22:$P$435)*(1+$K$34)*(1+$K$35))</f>
        <v/>
      </c>
      <c r="M118" s="81" t="str">
        <f>IF(L118="","",L118/(1+'General inputs'!$H$32)^C118)</f>
        <v/>
      </c>
      <c r="N118" s="81">
        <f>IF(LEFT(D118,4)*1&lt;LEFT('General inputs'!$I$18,4)*1+1,"",SUMIF('Uncommissioned assets'!$F$22:$F$1478,$D118,'Uncommissioned assets'!$P$22:$P$1478))</f>
        <v>0</v>
      </c>
      <c r="O118" s="81">
        <f>IF(N118="","",N118/(1+'General inputs'!$H$32)^C118)</f>
        <v>0</v>
      </c>
      <c r="Q118" s="38"/>
      <c r="R118" s="81" t="str">
        <f>IF(OR(LEFT(D118,4)*1&lt;LEFT('General inputs'!$I$16,4)*1,LEFT(D118,4)*1&gt;LEFT('General inputs'!$I$16,4)+'General inputs'!$H$38-1),"",Q118/(1+'General inputs'!$H$34)^C118)</f>
        <v/>
      </c>
      <c r="T118" s="38"/>
      <c r="U118" s="81" t="str">
        <f>IF(OR(LEFT(D118,4)*1&lt;LEFT('General inputs'!$I$16,4)*1,LEFT(D118,4)*1&gt;LEFT('General inputs'!$I$16,4)+'General inputs'!$H$38-1),"",T118/(1+'General inputs'!$H$34)^C118)</f>
        <v/>
      </c>
      <c r="V118" s="54"/>
    </row>
    <row r="119" spans="2:22" x14ac:dyDescent="0.25">
      <c r="B119" s="53"/>
      <c r="C119" s="28">
        <f>IF(D119='General inputs'!$I$16,0,IF(D119&lt;'General inputs'!$I$16,C120-1,C118+1))</f>
        <v>53</v>
      </c>
      <c r="D119" s="28" t="str">
        <f t="shared" si="3"/>
        <v>2075-76</v>
      </c>
      <c r="E119" s="81" t="str">
        <f>IF(LEFT(D119,4)*1&gt;LEFT('General inputs'!$I$16,4)+'General inputs'!$H$38-1,"",'ET inputs'!D92)</f>
        <v/>
      </c>
      <c r="F119" s="81" t="str">
        <f>IF(LEFT(D119,4)*1&gt;LEFT('General inputs'!$I$16,4)+'General inputs'!$H$38-1,"",E119/(1+'General inputs'!$H$30)^C119)</f>
        <v/>
      </c>
      <c r="G119" s="81" t="str">
        <f>IF(LEFT(D119,4)*1&gt;LEFT('General inputs'!$I$16,4)+'General inputs'!$H$38-1,"",E119/(1+'General inputs'!$H$32)^C119)</f>
        <v/>
      </c>
      <c r="H119" s="81" t="str">
        <f>IF(LEFT(D119,4)*1&lt;LEFT('General inputs'!$I$16,4)*1,"",IF(LEFT(D119,4)*1&gt;LEFT('General inputs'!$I$16,4)+'General inputs'!$H$38-1,"",E119/(1+'General inputs'!$H$34)^C119))</f>
        <v/>
      </c>
      <c r="J119" s="109"/>
      <c r="K119" s="109"/>
      <c r="L119" s="81" t="str">
        <f>IF(LEFT(D119,4)*1&gt;LEFT('General inputs'!$I$18,4)*1,"",SUMIF('Post-1996 commissioned assets'!$F$22:$F$435,$D119,'Post-1996 commissioned assets'!$P$22:$P$435)*(1+$K$34)*(1+$K$35))</f>
        <v/>
      </c>
      <c r="M119" s="81" t="str">
        <f>IF(L119="","",L119/(1+'General inputs'!$H$32)^C119)</f>
        <v/>
      </c>
      <c r="N119" s="81">
        <f>IF(LEFT(D119,4)*1&lt;LEFT('General inputs'!$I$18,4)*1+1,"",SUMIF('Uncommissioned assets'!$F$22:$F$1478,$D119,'Uncommissioned assets'!$P$22:$P$1478))</f>
        <v>0</v>
      </c>
      <c r="O119" s="81">
        <f>IF(N119="","",N119/(1+'General inputs'!$H$32)^C119)</f>
        <v>0</v>
      </c>
      <c r="Q119" s="38"/>
      <c r="R119" s="81" t="str">
        <f>IF(OR(LEFT(D119,4)*1&lt;LEFT('General inputs'!$I$16,4)*1,LEFT(D119,4)*1&gt;LEFT('General inputs'!$I$16,4)+'General inputs'!$H$38-1),"",Q119/(1+'General inputs'!$H$34)^C119)</f>
        <v/>
      </c>
      <c r="T119" s="38"/>
      <c r="U119" s="81" t="str">
        <f>IF(OR(LEFT(D119,4)*1&lt;LEFT('General inputs'!$I$16,4)*1,LEFT(D119,4)*1&gt;LEFT('General inputs'!$I$16,4)+'General inputs'!$H$38-1),"",T119/(1+'General inputs'!$H$34)^C119)</f>
        <v/>
      </c>
      <c r="V119" s="54"/>
    </row>
    <row r="120" spans="2:22" x14ac:dyDescent="0.25">
      <c r="B120" s="53"/>
      <c r="C120" s="28">
        <f>IF(D120='General inputs'!$I$16,0,IF(D120&lt;'General inputs'!$I$16,C121-1,C119+1))</f>
        <v>54</v>
      </c>
      <c r="D120" s="28" t="str">
        <f t="shared" si="3"/>
        <v>2076-77</v>
      </c>
      <c r="E120" s="81" t="str">
        <f>IF(LEFT(D120,4)*1&gt;LEFT('General inputs'!$I$16,4)+'General inputs'!$H$38-1,"",'ET inputs'!D93)</f>
        <v/>
      </c>
      <c r="F120" s="81" t="str">
        <f>IF(LEFT(D120,4)*1&gt;LEFT('General inputs'!$I$16,4)+'General inputs'!$H$38-1,"",E120/(1+'General inputs'!$H$30)^C120)</f>
        <v/>
      </c>
      <c r="G120" s="81" t="str">
        <f>IF(LEFT(D120,4)*1&gt;LEFT('General inputs'!$I$16,4)+'General inputs'!$H$38-1,"",E120/(1+'General inputs'!$H$32)^C120)</f>
        <v/>
      </c>
      <c r="H120" s="81" t="str">
        <f>IF(LEFT(D120,4)*1&lt;LEFT('General inputs'!$I$16,4)*1,"",IF(LEFT(D120,4)*1&gt;LEFT('General inputs'!$I$16,4)+'General inputs'!$H$38-1,"",E120/(1+'General inputs'!$H$34)^C120))</f>
        <v/>
      </c>
      <c r="J120" s="109"/>
      <c r="K120" s="109"/>
      <c r="L120" s="81" t="str">
        <f>IF(LEFT(D120,4)*1&gt;LEFT('General inputs'!$I$18,4)*1,"",SUMIF('Post-1996 commissioned assets'!$F$22:$F$435,$D120,'Post-1996 commissioned assets'!$P$22:$P$435)*(1+$K$34)*(1+$K$35))</f>
        <v/>
      </c>
      <c r="M120" s="81" t="str">
        <f>IF(L120="","",L120/(1+'General inputs'!$H$32)^C120)</f>
        <v/>
      </c>
      <c r="N120" s="81">
        <f>IF(LEFT(D120,4)*1&lt;LEFT('General inputs'!$I$18,4)*1+1,"",SUMIF('Uncommissioned assets'!$F$22:$F$1478,$D120,'Uncommissioned assets'!$P$22:$P$1478))</f>
        <v>0</v>
      </c>
      <c r="O120" s="81">
        <f>IF(N120="","",N120/(1+'General inputs'!$H$32)^C120)</f>
        <v>0</v>
      </c>
      <c r="Q120" s="38"/>
      <c r="R120" s="81" t="str">
        <f>IF(OR(LEFT(D120,4)*1&lt;LEFT('General inputs'!$I$16,4)*1,LEFT(D120,4)*1&gt;LEFT('General inputs'!$I$16,4)+'General inputs'!$H$38-1),"",Q120/(1+'General inputs'!$H$34)^C120)</f>
        <v/>
      </c>
      <c r="T120" s="38"/>
      <c r="U120" s="81" t="str">
        <f>IF(OR(LEFT(D120,4)*1&lt;LEFT('General inputs'!$I$16,4)*1,LEFT(D120,4)*1&gt;LEFT('General inputs'!$I$16,4)+'General inputs'!$H$38-1),"",T120/(1+'General inputs'!$H$34)^C120)</f>
        <v/>
      </c>
      <c r="V120" s="54"/>
    </row>
    <row r="121" spans="2:22" x14ac:dyDescent="0.25">
      <c r="B121" s="53"/>
      <c r="C121" s="28">
        <f>IF(D121='General inputs'!$I$16,0,IF(D121&lt;'General inputs'!$I$16,C122-1,C120+1))</f>
        <v>55</v>
      </c>
      <c r="D121" s="28" t="str">
        <f t="shared" si="3"/>
        <v>2077-78</v>
      </c>
      <c r="E121" s="81" t="str">
        <f>IF(LEFT(D121,4)*1&gt;LEFT('General inputs'!$I$16,4)+'General inputs'!$H$38-1,"",'ET inputs'!D94)</f>
        <v/>
      </c>
      <c r="F121" s="81" t="str">
        <f>IF(LEFT(D121,4)*1&gt;LEFT('General inputs'!$I$16,4)+'General inputs'!$H$38-1,"",E121/(1+'General inputs'!$H$30)^C121)</f>
        <v/>
      </c>
      <c r="G121" s="81" t="str">
        <f>IF(LEFT(D121,4)*1&gt;LEFT('General inputs'!$I$16,4)+'General inputs'!$H$38-1,"",E121/(1+'General inputs'!$H$32)^C121)</f>
        <v/>
      </c>
      <c r="H121" s="81" t="str">
        <f>IF(LEFT(D121,4)*1&lt;LEFT('General inputs'!$I$16,4)*1,"",IF(LEFT(D121,4)*1&gt;LEFT('General inputs'!$I$16,4)+'General inputs'!$H$38-1,"",E121/(1+'General inputs'!$H$34)^C121))</f>
        <v/>
      </c>
      <c r="J121" s="109"/>
      <c r="K121" s="109"/>
      <c r="L121" s="81" t="str">
        <f>IF(LEFT(D121,4)*1&gt;LEFT('General inputs'!$I$18,4)*1,"",SUMIF('Post-1996 commissioned assets'!$F$22:$F$435,$D121,'Post-1996 commissioned assets'!$P$22:$P$435)*(1+$K$34)*(1+$K$35))</f>
        <v/>
      </c>
      <c r="M121" s="81" t="str">
        <f>IF(L121="","",L121/(1+'General inputs'!$H$32)^C121)</f>
        <v/>
      </c>
      <c r="N121" s="81">
        <f>IF(LEFT(D121,4)*1&lt;LEFT('General inputs'!$I$18,4)*1+1,"",SUMIF('Uncommissioned assets'!$F$22:$F$1478,$D121,'Uncommissioned assets'!$P$22:$P$1478))</f>
        <v>0</v>
      </c>
      <c r="O121" s="81">
        <f>IF(N121="","",N121/(1+'General inputs'!$H$32)^C121)</f>
        <v>0</v>
      </c>
      <c r="Q121" s="38"/>
      <c r="R121" s="81" t="str">
        <f>IF(OR(LEFT(D121,4)*1&lt;LEFT('General inputs'!$I$16,4)*1,LEFT(D121,4)*1&gt;LEFT('General inputs'!$I$16,4)+'General inputs'!$H$38-1),"",Q121/(1+'General inputs'!$H$34)^C121)</f>
        <v/>
      </c>
      <c r="T121" s="38"/>
      <c r="U121" s="81" t="str">
        <f>IF(OR(LEFT(D121,4)*1&lt;LEFT('General inputs'!$I$16,4)*1,LEFT(D121,4)*1&gt;LEFT('General inputs'!$I$16,4)+'General inputs'!$H$38-1),"",T121/(1+'General inputs'!$H$34)^C121)</f>
        <v/>
      </c>
      <c r="V121" s="54"/>
    </row>
    <row r="122" spans="2:22" x14ac:dyDescent="0.25">
      <c r="B122" s="53"/>
      <c r="C122" s="28">
        <f>IF(D122='General inputs'!$I$16,0,IF(D122&lt;'General inputs'!$I$16,C123-1,C121+1))</f>
        <v>56</v>
      </c>
      <c r="D122" s="28" t="str">
        <f t="shared" si="3"/>
        <v>2078-79</v>
      </c>
      <c r="E122" s="81" t="str">
        <f>IF(LEFT(D122,4)*1&gt;LEFT('General inputs'!$I$16,4)+'General inputs'!$H$38-1,"",'ET inputs'!D95)</f>
        <v/>
      </c>
      <c r="F122" s="81" t="str">
        <f>IF(LEFT(D122,4)*1&gt;LEFT('General inputs'!$I$16,4)+'General inputs'!$H$38-1,"",E122/(1+'General inputs'!$H$30)^C122)</f>
        <v/>
      </c>
      <c r="G122" s="81" t="str">
        <f>IF(LEFT(D122,4)*1&gt;LEFT('General inputs'!$I$16,4)+'General inputs'!$H$38-1,"",E122/(1+'General inputs'!$H$32)^C122)</f>
        <v/>
      </c>
      <c r="H122" s="81" t="str">
        <f>IF(LEFT(D122,4)*1&lt;LEFT('General inputs'!$I$16,4)*1,"",IF(LEFT(D122,4)*1&gt;LEFT('General inputs'!$I$16,4)+'General inputs'!$H$38-1,"",E122/(1+'General inputs'!$H$34)^C122))</f>
        <v/>
      </c>
      <c r="J122" s="109"/>
      <c r="K122" s="109"/>
      <c r="L122" s="81" t="str">
        <f>IF(LEFT(D122,4)*1&gt;LEFT('General inputs'!$I$18,4)*1,"",SUMIF('Post-1996 commissioned assets'!$F$22:$F$435,$D122,'Post-1996 commissioned assets'!$P$22:$P$435)*(1+$K$34)*(1+$K$35))</f>
        <v/>
      </c>
      <c r="M122" s="81" t="str">
        <f>IF(L122="","",L122/(1+'General inputs'!$H$32)^C122)</f>
        <v/>
      </c>
      <c r="N122" s="81">
        <f>IF(LEFT(D122,4)*1&lt;LEFT('General inputs'!$I$18,4)*1+1,"",SUMIF('Uncommissioned assets'!$F$22:$F$1478,$D122,'Uncommissioned assets'!$P$22:$P$1478))</f>
        <v>0</v>
      </c>
      <c r="O122" s="81">
        <f>IF(N122="","",N122/(1+'General inputs'!$H$32)^C122)</f>
        <v>0</v>
      </c>
      <c r="Q122" s="38"/>
      <c r="R122" s="81" t="str">
        <f>IF(OR(LEFT(D122,4)*1&lt;LEFT('General inputs'!$I$16,4)*1,LEFT(D122,4)*1&gt;LEFT('General inputs'!$I$16,4)+'General inputs'!$H$38-1),"",Q122/(1+'General inputs'!$H$34)^C122)</f>
        <v/>
      </c>
      <c r="T122" s="38"/>
      <c r="U122" s="81" t="str">
        <f>IF(OR(LEFT(D122,4)*1&lt;LEFT('General inputs'!$I$16,4)*1,LEFT(D122,4)*1&gt;LEFT('General inputs'!$I$16,4)+'General inputs'!$H$38-1),"",T122/(1+'General inputs'!$H$34)^C122)</f>
        <v/>
      </c>
      <c r="V122" s="54"/>
    </row>
    <row r="123" spans="2:22" x14ac:dyDescent="0.25">
      <c r="B123" s="53"/>
      <c r="C123" s="28">
        <f>IF(D123='General inputs'!$I$16,0,IF(D123&lt;'General inputs'!$I$16,C124-1,C122+1))</f>
        <v>57</v>
      </c>
      <c r="D123" s="28" t="str">
        <f t="shared" ref="D123:D129" si="4">LEFT(D122,4)+1&amp;"-"&amp;RIGHT(D122,2)+1</f>
        <v>2079-80</v>
      </c>
      <c r="E123" s="81" t="str">
        <f>IF(LEFT(D123,4)*1&gt;LEFT('General inputs'!$I$16,4)+'General inputs'!$H$38-1,"",'ET inputs'!D96)</f>
        <v/>
      </c>
      <c r="F123" s="81" t="str">
        <f>IF(LEFT(D123,4)*1&gt;LEFT('General inputs'!$I$16,4)+'General inputs'!$H$38-1,"",E123/(1+'General inputs'!$H$30)^C123)</f>
        <v/>
      </c>
      <c r="G123" s="81" t="str">
        <f>IF(LEFT(D123,4)*1&gt;LEFT('General inputs'!$I$16,4)+'General inputs'!$H$38-1,"",E123/(1+'General inputs'!$H$32)^C123)</f>
        <v/>
      </c>
      <c r="H123" s="81" t="str">
        <f>IF(LEFT(D123,4)*1&lt;LEFT('General inputs'!$I$16,4)*1,"",IF(LEFT(D123,4)*1&gt;LEFT('General inputs'!$I$16,4)+'General inputs'!$H$38-1,"",E123/(1+'General inputs'!$H$34)^C123))</f>
        <v/>
      </c>
      <c r="J123" s="109"/>
      <c r="K123" s="109"/>
      <c r="L123" s="81" t="str">
        <f>IF(LEFT(D123,4)*1&gt;LEFT('General inputs'!$I$18,4)*1,"",SUMIF('Post-1996 commissioned assets'!$F$22:$F$435,$D123,'Post-1996 commissioned assets'!$P$22:$P$435)*(1+$K$34)*(1+$K$35))</f>
        <v/>
      </c>
      <c r="M123" s="81" t="str">
        <f>IF(L123="","",L123/(1+'General inputs'!$H$32)^C123)</f>
        <v/>
      </c>
      <c r="N123" s="81">
        <f>IF(LEFT(D123,4)*1&lt;LEFT('General inputs'!$I$18,4)*1+1,"",SUMIF('Uncommissioned assets'!$F$22:$F$1478,$D123,'Uncommissioned assets'!$P$22:$P$1478))</f>
        <v>0</v>
      </c>
      <c r="O123" s="81">
        <f>IF(N123="","",N123/(1+'General inputs'!$H$32)^C123)</f>
        <v>0</v>
      </c>
      <c r="Q123" s="38"/>
      <c r="R123" s="81" t="str">
        <f>IF(OR(LEFT(D123,4)*1&lt;LEFT('General inputs'!$I$16,4)*1,LEFT(D123,4)*1&gt;LEFT('General inputs'!$I$16,4)+'General inputs'!$H$38-1),"",Q123/(1+'General inputs'!$H$34)^C123)</f>
        <v/>
      </c>
      <c r="T123" s="38"/>
      <c r="U123" s="81" t="str">
        <f>IF(OR(LEFT(D123,4)*1&lt;LEFT('General inputs'!$I$16,4)*1,LEFT(D123,4)*1&gt;LEFT('General inputs'!$I$16,4)+'General inputs'!$H$38-1),"",T123/(1+'General inputs'!$H$34)^C123)</f>
        <v/>
      </c>
      <c r="V123" s="54"/>
    </row>
    <row r="124" spans="2:22" x14ac:dyDescent="0.25">
      <c r="B124" s="53"/>
      <c r="C124" s="28">
        <f>IF(D124='General inputs'!$I$16,0,IF(D124&lt;'General inputs'!$I$16,C125-1,C123+1))</f>
        <v>58</v>
      </c>
      <c r="D124" s="28" t="str">
        <f t="shared" si="4"/>
        <v>2080-81</v>
      </c>
      <c r="E124" s="81" t="str">
        <f>IF(LEFT(D124,4)*1&gt;LEFT('General inputs'!$I$16,4)+'General inputs'!$H$38-1,"",'ET inputs'!D97)</f>
        <v/>
      </c>
      <c r="F124" s="81" t="str">
        <f>IF(LEFT(D124,4)*1&gt;LEFT('General inputs'!$I$16,4)+'General inputs'!$H$38-1,"",E124/(1+'General inputs'!$H$30)^C124)</f>
        <v/>
      </c>
      <c r="G124" s="81" t="str">
        <f>IF(LEFT(D124,4)*1&gt;LEFT('General inputs'!$I$16,4)+'General inputs'!$H$38-1,"",E124/(1+'General inputs'!$H$32)^C124)</f>
        <v/>
      </c>
      <c r="H124" s="81" t="str">
        <f>IF(LEFT(D124,4)*1&lt;LEFT('General inputs'!$I$16,4)*1,"",IF(LEFT(D124,4)*1&gt;LEFT('General inputs'!$I$16,4)+'General inputs'!$H$38-1,"",E124/(1+'General inputs'!$H$34)^C124))</f>
        <v/>
      </c>
      <c r="J124" s="109"/>
      <c r="K124" s="109"/>
      <c r="L124" s="81" t="str">
        <f>IF(LEFT(D124,4)*1&gt;LEFT('General inputs'!$I$18,4)*1,"",SUMIF('Post-1996 commissioned assets'!$F$22:$F$435,$D124,'Post-1996 commissioned assets'!$P$22:$P$435)*(1+$K$34)*(1+$K$35))</f>
        <v/>
      </c>
      <c r="M124" s="81" t="str">
        <f>IF(L124="","",L124/(1+'General inputs'!$H$32)^C124)</f>
        <v/>
      </c>
      <c r="N124" s="81">
        <f>IF(LEFT(D124,4)*1&lt;LEFT('General inputs'!$I$18,4)*1+1,"",SUMIF('Uncommissioned assets'!$F$22:$F$1478,$D124,'Uncommissioned assets'!$P$22:$P$1478))</f>
        <v>0</v>
      </c>
      <c r="O124" s="81">
        <f>IF(N124="","",N124/(1+'General inputs'!$H$32)^C124)</f>
        <v>0</v>
      </c>
      <c r="Q124" s="38"/>
      <c r="R124" s="81" t="str">
        <f>IF(OR(LEFT(D124,4)*1&lt;LEFT('General inputs'!$I$16,4)*1,LEFT(D124,4)*1&gt;LEFT('General inputs'!$I$16,4)+'General inputs'!$H$38-1),"",Q124/(1+'General inputs'!$H$34)^C124)</f>
        <v/>
      </c>
      <c r="T124" s="38"/>
      <c r="U124" s="81" t="str">
        <f>IF(OR(LEFT(D124,4)*1&lt;LEFT('General inputs'!$I$16,4)*1,LEFT(D124,4)*1&gt;LEFT('General inputs'!$I$16,4)+'General inputs'!$H$38-1),"",T124/(1+'General inputs'!$H$34)^C124)</f>
        <v/>
      </c>
      <c r="V124" s="54"/>
    </row>
    <row r="125" spans="2:22" x14ac:dyDescent="0.25">
      <c r="B125" s="53"/>
      <c r="C125" s="28">
        <f>IF(D125='General inputs'!$I$16,0,IF(D125&lt;'General inputs'!$I$16,C126-1,C124+1))</f>
        <v>59</v>
      </c>
      <c r="D125" s="28" t="str">
        <f t="shared" si="4"/>
        <v>2081-82</v>
      </c>
      <c r="E125" s="81" t="str">
        <f>IF(LEFT(D125,4)*1&gt;LEFT('General inputs'!$I$16,4)+'General inputs'!$H$38-1,"",'ET inputs'!D98)</f>
        <v/>
      </c>
      <c r="F125" s="81" t="str">
        <f>IF(LEFT(D125,4)*1&gt;LEFT('General inputs'!$I$16,4)+'General inputs'!$H$38-1,"",E125/(1+'General inputs'!$H$30)^C125)</f>
        <v/>
      </c>
      <c r="G125" s="81" t="str">
        <f>IF(LEFT(D125,4)*1&gt;LEFT('General inputs'!$I$16,4)+'General inputs'!$H$38-1,"",E125/(1+'General inputs'!$H$32)^C125)</f>
        <v/>
      </c>
      <c r="H125" s="81" t="str">
        <f>IF(LEFT(D125,4)*1&lt;LEFT('General inputs'!$I$16,4)*1,"",IF(LEFT(D125,4)*1&gt;LEFT('General inputs'!$I$16,4)+'General inputs'!$H$38-1,"",E125/(1+'General inputs'!$H$34)^C125))</f>
        <v/>
      </c>
      <c r="J125" s="109"/>
      <c r="K125" s="109"/>
      <c r="L125" s="81" t="str">
        <f>IF(LEFT(D125,4)*1&gt;LEFT('General inputs'!$I$18,4)*1,"",SUMIF('Post-1996 commissioned assets'!$F$22:$F$435,$D125,'Post-1996 commissioned assets'!$P$22:$P$435)*(1+$K$34)*(1+$K$35))</f>
        <v/>
      </c>
      <c r="M125" s="81" t="str">
        <f>IF(L125="","",L125/(1+'General inputs'!$H$32)^C125)</f>
        <v/>
      </c>
      <c r="N125" s="81">
        <f>IF(LEFT(D125,4)*1&lt;LEFT('General inputs'!$I$18,4)*1+1,"",SUMIF('Uncommissioned assets'!$F$22:$F$1478,$D125,'Uncommissioned assets'!$P$22:$P$1478))</f>
        <v>0</v>
      </c>
      <c r="O125" s="81">
        <f>IF(N125="","",N125/(1+'General inputs'!$H$32)^C125)</f>
        <v>0</v>
      </c>
      <c r="Q125" s="38"/>
      <c r="R125" s="81" t="str">
        <f>IF(OR(LEFT(D125,4)*1&lt;LEFT('General inputs'!$I$16,4)*1,LEFT(D125,4)*1&gt;LEFT('General inputs'!$I$16,4)+'General inputs'!$H$38-1),"",Q125/(1+'General inputs'!$H$34)^C125)</f>
        <v/>
      </c>
      <c r="T125" s="38"/>
      <c r="U125" s="81" t="str">
        <f>IF(OR(LEFT(D125,4)*1&lt;LEFT('General inputs'!$I$16,4)*1,LEFT(D125,4)*1&gt;LEFT('General inputs'!$I$16,4)+'General inputs'!$H$38-1),"",T125/(1+'General inputs'!$H$34)^C125)</f>
        <v/>
      </c>
      <c r="V125" s="54"/>
    </row>
    <row r="126" spans="2:22" x14ac:dyDescent="0.25">
      <c r="B126" s="53"/>
      <c r="C126" s="28">
        <f>IF(D126='General inputs'!$I$16,0,IF(D126&lt;'General inputs'!$I$16,C127-1,C125+1))</f>
        <v>60</v>
      </c>
      <c r="D126" s="28" t="str">
        <f t="shared" si="4"/>
        <v>2082-83</v>
      </c>
      <c r="E126" s="81" t="str">
        <f>IF(LEFT(D126,4)*1&gt;LEFT('General inputs'!$I$16,4)+'General inputs'!$H$38-1,"",'ET inputs'!D99)</f>
        <v/>
      </c>
      <c r="F126" s="81" t="str">
        <f>IF(LEFT(D126,4)*1&gt;LEFT('General inputs'!$I$16,4)+'General inputs'!$H$38-1,"",E126/(1+'General inputs'!$H$30)^C126)</f>
        <v/>
      </c>
      <c r="G126" s="81" t="str">
        <f>IF(LEFT(D126,4)*1&gt;LEFT('General inputs'!$I$16,4)+'General inputs'!$H$38-1,"",E126/(1+'General inputs'!$H$32)^C126)</f>
        <v/>
      </c>
      <c r="H126" s="81" t="str">
        <f>IF(LEFT(D126,4)*1&lt;LEFT('General inputs'!$I$16,4)*1,"",IF(LEFT(D126,4)*1&gt;LEFT('General inputs'!$I$16,4)+'General inputs'!$H$38-1,"",E126/(1+'General inputs'!$H$34)^C126))</f>
        <v/>
      </c>
      <c r="J126" s="109"/>
      <c r="K126" s="109"/>
      <c r="L126" s="81" t="str">
        <f>IF(LEFT(D126,4)*1&gt;LEFT('General inputs'!$I$18,4)*1,"",SUMIF('Post-1996 commissioned assets'!$F$22:$F$435,$D126,'Post-1996 commissioned assets'!$P$22:$P$435)*(1+$K$34)*(1+$K$35))</f>
        <v/>
      </c>
      <c r="M126" s="81" t="str">
        <f>IF(L126="","",L126/(1+'General inputs'!$H$32)^C126)</f>
        <v/>
      </c>
      <c r="N126" s="81">
        <f>IF(LEFT(D126,4)*1&lt;LEFT('General inputs'!$I$18,4)*1+1,"",SUMIF('Uncommissioned assets'!$F$22:$F$1478,$D126,'Uncommissioned assets'!$P$22:$P$1478))</f>
        <v>0</v>
      </c>
      <c r="O126" s="81">
        <f>IF(N126="","",N126/(1+'General inputs'!$H$32)^C126)</f>
        <v>0</v>
      </c>
      <c r="Q126" s="38"/>
      <c r="R126" s="81" t="str">
        <f>IF(OR(LEFT(D126,4)*1&lt;LEFT('General inputs'!$I$16,4)*1,LEFT(D126,4)*1&gt;LEFT('General inputs'!$I$16,4)+'General inputs'!$H$38-1),"",Q126/(1+'General inputs'!$H$34)^C126)</f>
        <v/>
      </c>
      <c r="T126" s="38"/>
      <c r="U126" s="81" t="str">
        <f>IF(OR(LEFT(D126,4)*1&lt;LEFT('General inputs'!$I$16,4)*1,LEFT(D126,4)*1&gt;LEFT('General inputs'!$I$16,4)+'General inputs'!$H$38-1),"",T126/(1+'General inputs'!$H$34)^C126)</f>
        <v/>
      </c>
      <c r="V126" s="54"/>
    </row>
    <row r="127" spans="2:22" x14ac:dyDescent="0.25">
      <c r="B127" s="53"/>
      <c r="C127" s="28">
        <f>IF(D127='General inputs'!$I$16,0,IF(D127&lt;'General inputs'!$I$16,C128-1,C126+1))</f>
        <v>61</v>
      </c>
      <c r="D127" s="28" t="str">
        <f t="shared" si="4"/>
        <v>2083-84</v>
      </c>
      <c r="E127" s="81" t="str">
        <f>IF(LEFT(D127,4)*1&gt;LEFT('General inputs'!$I$16,4)+'General inputs'!$H$38-1,"",'ET inputs'!D100)</f>
        <v/>
      </c>
      <c r="F127" s="81" t="str">
        <f>IF(LEFT(D127,4)*1&gt;LEFT('General inputs'!$I$16,4)+'General inputs'!$H$38-1,"",E127/(1+'General inputs'!$H$30)^C127)</f>
        <v/>
      </c>
      <c r="G127" s="81" t="str">
        <f>IF(LEFT(D127,4)*1&gt;LEFT('General inputs'!$I$16,4)+'General inputs'!$H$38-1,"",E127/(1+'General inputs'!$H$32)^C127)</f>
        <v/>
      </c>
      <c r="H127" s="81" t="str">
        <f>IF(LEFT(D127,4)*1&lt;LEFT('General inputs'!$I$16,4)*1,"",IF(LEFT(D127,4)*1&gt;LEFT('General inputs'!$I$16,4)+'General inputs'!$H$38-1,"",E127/(1+'General inputs'!$H$34)^C127))</f>
        <v/>
      </c>
      <c r="J127" s="109"/>
      <c r="K127" s="109"/>
      <c r="L127" s="81" t="str">
        <f>IF(LEFT(D127,4)*1&gt;LEFT('General inputs'!$I$18,4)*1,"",SUMIF('Post-1996 commissioned assets'!$F$22:$F$435,$D127,'Post-1996 commissioned assets'!$P$22:$P$435)*(1+$K$34)*(1+$K$35))</f>
        <v/>
      </c>
      <c r="M127" s="81" t="str">
        <f>IF(L127="","",L127/(1+'General inputs'!$H$32)^C127)</f>
        <v/>
      </c>
      <c r="N127" s="81">
        <f>IF(LEFT(D127,4)*1&lt;LEFT('General inputs'!$I$18,4)*1+1,"",SUMIF('Uncommissioned assets'!$F$22:$F$1478,$D127,'Uncommissioned assets'!$P$22:$P$1478))</f>
        <v>0</v>
      </c>
      <c r="O127" s="81">
        <f>IF(N127="","",N127/(1+'General inputs'!$H$32)^C127)</f>
        <v>0</v>
      </c>
      <c r="Q127" s="38"/>
      <c r="R127" s="81" t="str">
        <f>IF(OR(LEFT(D127,4)*1&lt;LEFT('General inputs'!$I$16,4)*1,LEFT(D127,4)*1&gt;LEFT('General inputs'!$I$16,4)+'General inputs'!$H$38-1),"",Q127/(1+'General inputs'!$H$34)^C127)</f>
        <v/>
      </c>
      <c r="T127" s="38"/>
      <c r="U127" s="81" t="str">
        <f>IF(OR(LEFT(D127,4)*1&lt;LEFT('General inputs'!$I$16,4)*1,LEFT(D127,4)*1&gt;LEFT('General inputs'!$I$16,4)+'General inputs'!$H$38-1),"",T127/(1+'General inputs'!$H$34)^C127)</f>
        <v/>
      </c>
      <c r="V127" s="54"/>
    </row>
    <row r="128" spans="2:22" x14ac:dyDescent="0.25">
      <c r="B128" s="53"/>
      <c r="C128" s="28">
        <f>IF(D128='General inputs'!$I$16,0,IF(D128&lt;'General inputs'!$I$16,C129-1,C127+1))</f>
        <v>62</v>
      </c>
      <c r="D128" s="28" t="str">
        <f t="shared" si="4"/>
        <v>2084-85</v>
      </c>
      <c r="E128" s="81" t="str">
        <f>IF(LEFT(D128,4)*1&gt;LEFT('General inputs'!$I$16,4)+'General inputs'!$H$38-1,"",'ET inputs'!D101)</f>
        <v/>
      </c>
      <c r="F128" s="81" t="str">
        <f>IF(LEFT(D128,4)*1&gt;LEFT('General inputs'!$I$16,4)+'General inputs'!$H$38-1,"",E128/(1+'General inputs'!$H$30)^C128)</f>
        <v/>
      </c>
      <c r="G128" s="81" t="str">
        <f>IF(LEFT(D128,4)*1&gt;LEFT('General inputs'!$I$16,4)+'General inputs'!$H$38-1,"",E128/(1+'General inputs'!$H$32)^C128)</f>
        <v/>
      </c>
      <c r="H128" s="81" t="str">
        <f>IF(LEFT(D128,4)*1&lt;LEFT('General inputs'!$I$16,4)*1,"",IF(LEFT(D128,4)*1&gt;LEFT('General inputs'!$I$16,4)+'General inputs'!$H$38-1,"",E128/(1+'General inputs'!$H$34)^C128))</f>
        <v/>
      </c>
      <c r="J128" s="109"/>
      <c r="K128" s="109"/>
      <c r="L128" s="81" t="str">
        <f>IF(LEFT(D128,4)*1&gt;LEFT('General inputs'!$I$18,4)*1,"",SUMIF('Post-1996 commissioned assets'!$F$22:$F$435,$D128,'Post-1996 commissioned assets'!$P$22:$P$435)*(1+$K$34)*(1+$K$35))</f>
        <v/>
      </c>
      <c r="M128" s="81" t="str">
        <f>IF(L128="","",L128/(1+'General inputs'!$H$32)^C128)</f>
        <v/>
      </c>
      <c r="N128" s="81">
        <f>IF(LEFT(D128,4)*1&lt;LEFT('General inputs'!$I$18,4)*1+1,"",SUMIF('Uncommissioned assets'!$F$22:$F$1478,$D128,'Uncommissioned assets'!$P$22:$P$1478))</f>
        <v>0</v>
      </c>
      <c r="O128" s="81">
        <f>IF(N128="","",N128/(1+'General inputs'!$H$32)^C128)</f>
        <v>0</v>
      </c>
      <c r="Q128" s="38"/>
      <c r="R128" s="81" t="str">
        <f>IF(OR(LEFT(D128,4)*1&lt;LEFT('General inputs'!$I$16,4)*1,LEFT(D128,4)*1&gt;LEFT('General inputs'!$I$16,4)+'General inputs'!$H$38-1),"",Q128/(1+'General inputs'!$H$34)^C128)</f>
        <v/>
      </c>
      <c r="T128" s="38"/>
      <c r="U128" s="81" t="str">
        <f>IF(OR(LEFT(D128,4)*1&lt;LEFT('General inputs'!$I$16,4)*1,LEFT(D128,4)*1&gt;LEFT('General inputs'!$I$16,4)+'General inputs'!$H$38-1),"",T128/(1+'General inputs'!$H$34)^C128)</f>
        <v/>
      </c>
      <c r="V128" s="54"/>
    </row>
    <row r="129" spans="2:22" x14ac:dyDescent="0.25">
      <c r="B129" s="53"/>
      <c r="C129" s="28">
        <f>IF(D129='General inputs'!$I$16,0,IF(D129&lt;'General inputs'!$I$16,C130-1,C128+1))</f>
        <v>63</v>
      </c>
      <c r="D129" s="28" t="str">
        <f t="shared" si="4"/>
        <v>2085-86</v>
      </c>
      <c r="E129" s="81" t="str">
        <f>IF(LEFT(D129,4)*1&gt;LEFT('General inputs'!$I$16,4)+'General inputs'!$H$38-1,"",'ET inputs'!D102)</f>
        <v/>
      </c>
      <c r="F129" s="81" t="str">
        <f>IF(LEFT(D129,4)*1&gt;LEFT('General inputs'!$I$16,4)+'General inputs'!$H$38-1,"",E129/(1+'General inputs'!$H$30)^C129)</f>
        <v/>
      </c>
      <c r="G129" s="81" t="str">
        <f>IF(LEFT(D129,4)*1&gt;LEFT('General inputs'!$I$16,4)+'General inputs'!$H$38-1,"",E129/(1+'General inputs'!$H$32)^C129)</f>
        <v/>
      </c>
      <c r="H129" s="81" t="str">
        <f>IF(LEFT(D129,4)*1&lt;LEFT('General inputs'!$I$16,4)*1,"",IF(LEFT(D129,4)*1&gt;LEFT('General inputs'!$I$16,4)+'General inputs'!$H$38-1,"",E129/(1+'General inputs'!$H$34)^C129))</f>
        <v/>
      </c>
      <c r="J129" s="109"/>
      <c r="K129" s="109"/>
      <c r="L129" s="81" t="str">
        <f>IF(LEFT(D129,4)*1&gt;LEFT('General inputs'!$I$18,4)*1,"",SUMIF('Post-1996 commissioned assets'!$F$22:$F$435,$D129,'Post-1996 commissioned assets'!$P$22:$P$435)*(1+$K$34)*(1+$K$35))</f>
        <v/>
      </c>
      <c r="M129" s="81" t="str">
        <f>IF(L129="","",L129/(1+'General inputs'!$H$32)^C129)</f>
        <v/>
      </c>
      <c r="N129" s="81">
        <f>IF(LEFT(D129,4)*1&lt;LEFT('General inputs'!$I$18,4)*1+1,"",SUMIF('Uncommissioned assets'!$F$22:$F$1478,$D129,'Uncommissioned assets'!$P$22:$P$1478))</f>
        <v>0</v>
      </c>
      <c r="O129" s="81">
        <f>IF(N129="","",N129/(1+'General inputs'!$H$32)^C129)</f>
        <v>0</v>
      </c>
      <c r="Q129" s="38"/>
      <c r="R129" s="81" t="str">
        <f>IF(OR(LEFT(D129,4)*1&lt;LEFT('General inputs'!$I$16,4)*1,LEFT(D129,4)*1&gt;LEFT('General inputs'!$I$16,4)+'General inputs'!$H$38-1),"",Q129/(1+'General inputs'!$H$34)^C129)</f>
        <v/>
      </c>
      <c r="T129" s="38"/>
      <c r="U129" s="81" t="str">
        <f>IF(OR(LEFT(D129,4)*1&lt;LEFT('General inputs'!$I$16,4)*1,LEFT(D129,4)*1&gt;LEFT('General inputs'!$I$16,4)+'General inputs'!$H$38-1),"",T129/(1+'General inputs'!$H$34)^C129)</f>
        <v/>
      </c>
      <c r="V129" s="54"/>
    </row>
    <row r="130" spans="2:22" x14ac:dyDescent="0.25">
      <c r="B130" s="55"/>
      <c r="C130" s="41"/>
      <c r="D130" s="41"/>
      <c r="E130" s="41"/>
      <c r="F130" s="41"/>
      <c r="G130" s="41"/>
      <c r="H130" s="41"/>
      <c r="I130" s="41"/>
      <c r="J130" s="41"/>
      <c r="K130" s="41"/>
      <c r="L130" s="41"/>
      <c r="M130" s="41"/>
      <c r="N130" s="41"/>
      <c r="O130" s="41"/>
      <c r="P130" s="41"/>
      <c r="Q130" s="41"/>
      <c r="R130" s="41"/>
      <c r="S130" s="41"/>
      <c r="T130" s="41"/>
      <c r="U130" s="41"/>
      <c r="V130" s="56"/>
    </row>
  </sheetData>
  <conditionalFormatting sqref="Q36">
    <cfRule type="containsText" dxfId="16" priority="5" operator="containsText" text="data">
      <formula>NOT(ISERROR(SEARCH("data",Q36)))</formula>
    </cfRule>
  </conditionalFormatting>
  <conditionalFormatting sqref="T36">
    <cfRule type="containsText" dxfId="15" priority="3" operator="containsText" text="data">
      <formula>NOT(ISERROR(SEARCH("data",T36)))</formula>
    </cfRule>
  </conditionalFormatting>
  <pageMargins left="0.7" right="0.7" top="0.75" bottom="0.75" header="0.3" footer="0.3"/>
  <pageSetup paperSize="9" orientation="portrait"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47" id="{F2539AB7-12EB-495F-868F-335C45BD094E}">
            <xm:f>LEFT($D39,4)*1&gt;LEFT('General inputs'!$I$16,4)*1+'General inputs'!$H$38-1</xm:f>
            <x14:dxf>
              <fill>
                <patternFill>
                  <bgColor rgb="FFDDDDDD"/>
                </patternFill>
              </fill>
            </x14:dxf>
          </x14:cfRule>
          <xm:sqref>E39:G129</xm:sqref>
        </x14:conditionalFormatting>
        <x14:conditionalFormatting xmlns:xm="http://schemas.microsoft.com/office/excel/2006/main">
          <x14:cfRule type="expression" priority="1" id="{04D9EEEA-FFC6-446F-9FA3-330D8E657997}">
            <xm:f>OR(LEFT($D39,4)*1&lt;LEFT('General inputs'!$I$16,4)*1,LEFT($D39,4)*1&gt;LEFT('General inputs'!$I$16,4)*1+'General inputs'!$H$38-1)</xm:f>
            <x14:dxf>
              <fill>
                <patternFill>
                  <bgColor rgb="FFDDDDDD"/>
                </patternFill>
              </fill>
            </x14:dxf>
          </x14:cfRule>
          <xm:sqref>H39:H129</xm:sqref>
        </x14:conditionalFormatting>
        <x14:conditionalFormatting xmlns:xm="http://schemas.microsoft.com/office/excel/2006/main">
          <x14:cfRule type="expression" priority="10" id="{6B0067C0-C24B-4659-92FC-9A9120D63099}">
            <xm:f>LEFT($D39,4)*1&gt;LEFT('General inputs'!$I$18,4)*1</xm:f>
            <x14:dxf>
              <fill>
                <patternFill>
                  <bgColor rgb="FFDDDDDD"/>
                </patternFill>
              </fill>
            </x14:dxf>
          </x14:cfRule>
          <xm:sqref>L39:M129</xm:sqref>
        </x14:conditionalFormatting>
        <x14:conditionalFormatting xmlns:xm="http://schemas.microsoft.com/office/excel/2006/main">
          <x14:cfRule type="expression" priority="48" id="{C0A81E9A-9D86-4B88-9785-A24519DF4322}">
            <xm:f>LEFT($D39,4)*1&lt;=LEFT('General inputs'!$I$18,4)*1</xm:f>
            <x14:dxf>
              <fill>
                <patternFill>
                  <bgColor rgb="FFDDDDDD"/>
                </patternFill>
              </fill>
            </x14:dxf>
          </x14:cfRule>
          <xm:sqref>N39:O129</xm:sqref>
        </x14:conditionalFormatting>
        <x14:conditionalFormatting xmlns:xm="http://schemas.microsoft.com/office/excel/2006/main">
          <x14:cfRule type="expression" priority="49" id="{4007EED2-5127-4B0E-9224-74B73C828219}">
            <xm:f>OR(LEFT($D39,4)*1&lt;LEFT('General inputs'!$I$16,4)*1,LEFT($D39,4)*1&gt;LEFT('General inputs'!$I$16,4)*1+'General inputs'!$H$38-1)</xm:f>
            <x14:dxf>
              <fill>
                <patternFill>
                  <bgColor rgb="FFDDDDDD"/>
                </patternFill>
              </fill>
            </x14:dxf>
          </x14:cfRule>
          <xm:sqref>Q39:R129 T39:U129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7" tint="0.79998168889431442"/>
  </sheetPr>
  <dimension ref="C3:O50"/>
  <sheetViews>
    <sheetView showGridLines="0" zoomScaleNormal="100" workbookViewId="0">
      <selection activeCell="P20" sqref="P20"/>
    </sheetView>
  </sheetViews>
  <sheetFormatPr defaultRowHeight="11.5" outlineLevelRow="1" outlineLevelCol="1" x14ac:dyDescent="0.25"/>
  <cols>
    <col min="1" max="3" width="2.69921875" customWidth="1"/>
    <col min="4" max="6" width="15.69921875" customWidth="1"/>
    <col min="7" max="7" width="18.8984375" customWidth="1"/>
    <col min="8" max="11" width="15.69921875" customWidth="1"/>
    <col min="12" max="14" width="15.69921875" hidden="1" customWidth="1" outlineLevel="1"/>
    <col min="15" max="15" width="9" collapsed="1"/>
  </cols>
  <sheetData>
    <row r="3" spans="3:13" ht="20" x14ac:dyDescent="0.4">
      <c r="C3" s="57" t="s">
        <v>128</v>
      </c>
    </row>
    <row r="5" spans="3:13" ht="15.5" x14ac:dyDescent="0.35">
      <c r="C5" s="2" t="s">
        <v>129</v>
      </c>
      <c r="H5" s="264" t="s">
        <v>130</v>
      </c>
      <c r="I5" s="265"/>
      <c r="L5" s="6" t="str">
        <f>"Do not delete - data validation for option at "&amp;ADDRESS(ROW(H5),COLUMN(H5))</f>
        <v>Do not delete - data validation for option at $H$5</v>
      </c>
    </row>
    <row r="6" spans="3:13" x14ac:dyDescent="0.25">
      <c r="L6" t="s">
        <v>131</v>
      </c>
      <c r="M6" t="s">
        <v>132</v>
      </c>
    </row>
    <row r="7" spans="3:13" ht="15.5" x14ac:dyDescent="0.35">
      <c r="C7" s="2" t="s">
        <v>133</v>
      </c>
      <c r="H7" s="264" t="s">
        <v>865</v>
      </c>
      <c r="I7" s="265"/>
      <c r="L7" s="42" t="s">
        <v>134</v>
      </c>
      <c r="M7" s="132">
        <v>0</v>
      </c>
    </row>
    <row r="8" spans="3:13" x14ac:dyDescent="0.25">
      <c r="L8" s="43" t="s">
        <v>135</v>
      </c>
      <c r="M8" s="133">
        <v>0.03</v>
      </c>
    </row>
    <row r="9" spans="3:13" ht="15.5" hidden="1" outlineLevel="1" x14ac:dyDescent="0.35">
      <c r="C9" s="2" t="s">
        <v>136</v>
      </c>
      <c r="H9" s="264" t="s">
        <v>137</v>
      </c>
      <c r="I9" s="265"/>
      <c r="J9">
        <v>97.559677397661673</v>
      </c>
      <c r="L9" s="44" t="s">
        <v>130</v>
      </c>
      <c r="M9" s="134">
        <v>0.03</v>
      </c>
    </row>
    <row r="10" spans="3:13" hidden="1" outlineLevel="1" x14ac:dyDescent="0.25"/>
    <row r="11" spans="3:13" ht="15.5" collapsed="1" x14ac:dyDescent="0.35">
      <c r="C11" s="2" t="s">
        <v>138</v>
      </c>
      <c r="H11" s="264" t="s">
        <v>139</v>
      </c>
      <c r="I11" s="265"/>
    </row>
    <row r="12" spans="3:13" x14ac:dyDescent="0.25">
      <c r="L12" s="6" t="str">
        <f>"Do not delete - data validation for options at "&amp;ADDRESS(ROW(H11),COLUMN(H11))</f>
        <v>Do not delete - data validation for options at $H$11</v>
      </c>
    </row>
    <row r="13" spans="3:13" x14ac:dyDescent="0.25">
      <c r="L13" s="42" t="s">
        <v>140</v>
      </c>
    </row>
    <row r="14" spans="3:13" ht="15.5" x14ac:dyDescent="0.35">
      <c r="C14" s="2" t="s">
        <v>141</v>
      </c>
      <c r="I14" s="103" t="s">
        <v>142</v>
      </c>
      <c r="L14" s="43" t="s">
        <v>139</v>
      </c>
    </row>
    <row r="15" spans="3:13" x14ac:dyDescent="0.25">
      <c r="L15" s="44" t="s">
        <v>143</v>
      </c>
    </row>
    <row r="16" spans="3:13" x14ac:dyDescent="0.25">
      <c r="D16" s="6" t="s">
        <v>144</v>
      </c>
      <c r="I16" s="48" t="s">
        <v>145</v>
      </c>
    </row>
    <row r="17" spans="3:12" x14ac:dyDescent="0.25">
      <c r="D17" s="6"/>
    </row>
    <row r="18" spans="3:12" x14ac:dyDescent="0.25">
      <c r="D18" s="6" t="s">
        <v>146</v>
      </c>
      <c r="H18" s="174">
        <v>44377</v>
      </c>
      <c r="I18" s="65" t="str">
        <f>IF(MONTH(H18)&gt;=7,YEAR(H18)&amp;"-"&amp;RIGHT(YEAR(H18),2)+1,RIGHT(YEAR(H18),4)-1&amp;"-"&amp;RIGHT(YEAR(H18),2))</f>
        <v>2020-21</v>
      </c>
      <c r="L18" s="6" t="str">
        <f>"Do not delete - data validation for options at "&amp;ADDRESS(ROW(I16),COLUMN(I16))&amp;" and "&amp;ADDRESS(ROW(I40),COLUMN(I40))</f>
        <v>Do not delete - data validation for options at $I$16 and $I$40</v>
      </c>
    </row>
    <row r="19" spans="3:12" x14ac:dyDescent="0.25">
      <c r="L19" s="161" t="s">
        <v>147</v>
      </c>
    </row>
    <row r="20" spans="3:12" x14ac:dyDescent="0.25">
      <c r="L20" s="43" t="s">
        <v>148</v>
      </c>
    </row>
    <row r="21" spans="3:12" x14ac:dyDescent="0.25">
      <c r="D21" s="6" t="s">
        <v>149</v>
      </c>
      <c r="L21" s="43" t="s">
        <v>150</v>
      </c>
    </row>
    <row r="22" spans="3:12" x14ac:dyDescent="0.25">
      <c r="L22" s="43" t="s">
        <v>151</v>
      </c>
    </row>
    <row r="23" spans="3:12" x14ac:dyDescent="0.25">
      <c r="D23" s="63" t="s">
        <v>152</v>
      </c>
      <c r="H23" s="64">
        <v>25569</v>
      </c>
      <c r="L23" s="43" t="s">
        <v>145</v>
      </c>
    </row>
    <row r="24" spans="3:12" x14ac:dyDescent="0.25">
      <c r="D24" s="63" t="s">
        <v>153</v>
      </c>
      <c r="H24" s="64">
        <v>35064</v>
      </c>
      <c r="L24" s="43" t="s">
        <v>154</v>
      </c>
    </row>
    <row r="25" spans="3:12" x14ac:dyDescent="0.25">
      <c r="L25" s="43" t="s">
        <v>155</v>
      </c>
    </row>
    <row r="26" spans="3:12" x14ac:dyDescent="0.25">
      <c r="L26" s="43" t="s">
        <v>156</v>
      </c>
    </row>
    <row r="27" spans="3:12" x14ac:dyDescent="0.25">
      <c r="L27" s="43" t="s">
        <v>157</v>
      </c>
    </row>
    <row r="28" spans="3:12" ht="15.5" x14ac:dyDescent="0.35">
      <c r="C28" s="2" t="s">
        <v>158</v>
      </c>
      <c r="L28" s="43" t="s">
        <v>159</v>
      </c>
    </row>
    <row r="29" spans="3:12" x14ac:dyDescent="0.25">
      <c r="L29" s="43" t="s">
        <v>160</v>
      </c>
    </row>
    <row r="30" spans="3:12" x14ac:dyDescent="0.25">
      <c r="D30" s="6" t="s">
        <v>161</v>
      </c>
      <c r="H30" s="66">
        <f>INDEX($M$7:$M$12,MATCH($H$5,$L$7:$L$12))</f>
        <v>0.03</v>
      </c>
      <c r="L30" s="43" t="s">
        <v>162</v>
      </c>
    </row>
    <row r="31" spans="3:12" ht="12" customHeight="1" x14ac:dyDescent="0.35">
      <c r="C31" s="2"/>
      <c r="D31" s="6"/>
      <c r="H31" s="35"/>
      <c r="L31" s="44" t="s">
        <v>163</v>
      </c>
    </row>
    <row r="32" spans="3:12" ht="12" customHeight="1" x14ac:dyDescent="0.35">
      <c r="C32" s="2"/>
      <c r="D32" s="5" t="s">
        <v>164</v>
      </c>
      <c r="H32" s="163">
        <v>4.2000000000000003E-2</v>
      </c>
    </row>
    <row r="33" spans="3:12" ht="12" customHeight="1" x14ac:dyDescent="0.25">
      <c r="D33" s="6"/>
      <c r="H33" s="35"/>
    </row>
    <row r="34" spans="3:12" ht="12" customHeight="1" x14ac:dyDescent="0.25">
      <c r="D34" s="5" t="s">
        <v>165</v>
      </c>
      <c r="H34" s="163">
        <v>4.2000000000000003E-2</v>
      </c>
    </row>
    <row r="35" spans="3:12" ht="12" customHeight="1" x14ac:dyDescent="0.35">
      <c r="C35" s="2"/>
    </row>
    <row r="36" spans="3:12" ht="12" customHeight="1" x14ac:dyDescent="0.35">
      <c r="C36" s="2"/>
      <c r="D36" s="6" t="s">
        <v>166</v>
      </c>
      <c r="H36" s="222">
        <v>145.74</v>
      </c>
      <c r="L36" s="6" t="str">
        <f>"Do not delete - data validation for option at "&amp;ADDRESS(ROW(H42),COLUMN(H42))</f>
        <v>Do not delete - data validation for option at $H$42</v>
      </c>
    </row>
    <row r="37" spans="3:12" ht="12" customHeight="1" x14ac:dyDescent="0.35">
      <c r="C37" s="2"/>
      <c r="L37" s="42" t="s">
        <v>167</v>
      </c>
    </row>
    <row r="38" spans="3:12" ht="12" customHeight="1" x14ac:dyDescent="0.35">
      <c r="C38" s="2"/>
      <c r="D38" s="6" t="s">
        <v>168</v>
      </c>
      <c r="H38" s="67">
        <v>30</v>
      </c>
      <c r="L38" s="43" t="s">
        <v>169</v>
      </c>
    </row>
    <row r="39" spans="3:12" ht="12" customHeight="1" x14ac:dyDescent="0.35">
      <c r="C39" s="2"/>
      <c r="L39" s="44" t="s">
        <v>170</v>
      </c>
    </row>
    <row r="40" spans="3:12" ht="12" customHeight="1" x14ac:dyDescent="0.25">
      <c r="D40" s="6" t="s">
        <v>171</v>
      </c>
      <c r="I40" s="48" t="s">
        <v>145</v>
      </c>
    </row>
    <row r="42" spans="3:12" x14ac:dyDescent="0.25">
      <c r="D42" s="6" t="s">
        <v>172</v>
      </c>
      <c r="H42" s="162" t="s">
        <v>167</v>
      </c>
    </row>
    <row r="43" spans="3:12" x14ac:dyDescent="0.25">
      <c r="D43" s="6"/>
    </row>
    <row r="47" spans="3:12" ht="15.5" x14ac:dyDescent="0.35">
      <c r="C47" s="2"/>
    </row>
    <row r="49" spans="6:6" x14ac:dyDescent="0.25">
      <c r="F49" s="31"/>
    </row>
    <row r="50" spans="6:6" x14ac:dyDescent="0.25">
      <c r="F50" s="31"/>
    </row>
  </sheetData>
  <mergeCells count="4">
    <mergeCell ref="H5:I5"/>
    <mergeCell ref="H7:I7"/>
    <mergeCell ref="H9:I9"/>
    <mergeCell ref="H11:I11"/>
  </mergeCells>
  <dataValidations count="4">
    <dataValidation type="list" allowBlank="1" showInputMessage="1" showErrorMessage="1" sqref="I40 I16" xr:uid="{00000000-0002-0000-0400-000000000000}">
      <formula1>$L$19:$L$31</formula1>
    </dataValidation>
    <dataValidation type="list" allowBlank="1" showInputMessage="1" showErrorMessage="1" sqref="H42" xr:uid="{00000000-0002-0000-0400-000001000000}">
      <formula1>$L$37:$L$39</formula1>
    </dataValidation>
    <dataValidation type="list" allowBlank="1" showInputMessage="1" showErrorMessage="1" sqref="H11" xr:uid="{00000000-0002-0000-0400-000002000000}">
      <formula1>$L$13:$L$15</formula1>
    </dataValidation>
    <dataValidation type="list" allowBlank="1" showInputMessage="1" showErrorMessage="1" sqref="H5:I5" xr:uid="{00000000-0002-0000-0400-000003000000}">
      <formula1>$L$7:$L$9</formula1>
    </dataValidation>
  </dataValidation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A1:Q793"/>
  <sheetViews>
    <sheetView showGridLines="0" zoomScale="85" zoomScaleNormal="85" workbookViewId="0">
      <pane ySplit="21" topLeftCell="A22" activePane="bottomLeft" state="frozen"/>
      <selection activeCell="J9" sqref="J9"/>
      <selection pane="bottomLeft" activeCell="E22" sqref="E22"/>
    </sheetView>
  </sheetViews>
  <sheetFormatPr defaultColWidth="28" defaultRowHeight="11.5" outlineLevelRow="1" x14ac:dyDescent="0.25"/>
  <cols>
    <col min="1" max="1" width="6.09765625" style="243" customWidth="1"/>
    <col min="2" max="2" width="12.3984375" style="243" customWidth="1"/>
    <col min="3" max="3" width="15.69921875" customWidth="1"/>
    <col min="4" max="4" width="49.69921875" customWidth="1"/>
    <col min="5" max="5" width="15.69921875" customWidth="1"/>
    <col min="6" max="6" width="25.8984375" customWidth="1"/>
    <col min="7" max="7" width="2.69921875" customWidth="1"/>
    <col min="8" max="10" width="15.69921875" customWidth="1"/>
    <col min="11" max="11" width="2.69921875" customWidth="1"/>
    <col min="12" max="13" width="15.69921875" customWidth="1"/>
    <col min="14" max="14" width="18" customWidth="1"/>
    <col min="15" max="16" width="15.69921875" customWidth="1"/>
    <col min="17" max="17" width="14.8984375" customWidth="1"/>
  </cols>
  <sheetData>
    <row r="1" spans="3:10" x14ac:dyDescent="0.25">
      <c r="E1" s="31"/>
    </row>
    <row r="2" spans="3:10" x14ac:dyDescent="0.25">
      <c r="E2" s="31"/>
    </row>
    <row r="3" spans="3:10" ht="20" x14ac:dyDescent="0.4">
      <c r="C3" s="57" t="s">
        <v>173</v>
      </c>
    </row>
    <row r="4" spans="3:10" hidden="1" outlineLevel="1" x14ac:dyDescent="0.25"/>
    <row r="5" spans="3:10" hidden="1" outlineLevel="1" x14ac:dyDescent="0.25"/>
    <row r="6" spans="3:10" hidden="1" outlineLevel="1" x14ac:dyDescent="0.25">
      <c r="C6" s="105"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10" hidden="1" outlineLevel="1" x14ac:dyDescent="0.25">
      <c r="C7" s="127" t="str">
        <f ca="1">"Hyperlink to the '"&amp;MID(CELL("filename",'Asset exclusions'!A1),FIND("]",CELL("filename",'Asset exclusions'!A1))+1,255)&amp;"' worksheet:"</f>
        <v>Hyperlink to the 'Asset exclusions' worksheet:</v>
      </c>
      <c r="E7" s="156" t="s">
        <v>174</v>
      </c>
    </row>
    <row r="8" spans="3:10" hidden="1" outlineLevel="1" x14ac:dyDescent="0.25">
      <c r="C8" s="127"/>
      <c r="E8" s="156"/>
    </row>
    <row r="9" spans="3:10" hidden="1" outlineLevel="1" x14ac:dyDescent="0.25">
      <c r="C9" s="127" t="s">
        <v>175</v>
      </c>
      <c r="E9" s="156"/>
      <c r="J9">
        <v>97.559677397661673</v>
      </c>
    </row>
    <row r="10" spans="3:10" hidden="1" outlineLevel="1" x14ac:dyDescent="0.25">
      <c r="C10" s="127" t="s">
        <v>176</v>
      </c>
      <c r="E10" s="156"/>
    </row>
    <row r="11" spans="3:10" hidden="1" outlineLevel="1" x14ac:dyDescent="0.25">
      <c r="C11" s="127" t="s">
        <v>177</v>
      </c>
      <c r="E11" s="156"/>
    </row>
    <row r="12" spans="3:10" hidden="1" outlineLevel="1" x14ac:dyDescent="0.25">
      <c r="C12" s="127" t="s">
        <v>178</v>
      </c>
      <c r="E12" s="156"/>
    </row>
    <row r="13" spans="3:10" collapsed="1" x14ac:dyDescent="0.25">
      <c r="H13" s="31"/>
    </row>
    <row r="14" spans="3:10" x14ac:dyDescent="0.25">
      <c r="C14" s="6" t="s">
        <v>179</v>
      </c>
      <c r="H14" s="31"/>
    </row>
    <row r="15" spans="3:10" ht="12" x14ac:dyDescent="0.3">
      <c r="C15" s="63" t="s">
        <v>180</v>
      </c>
      <c r="E15" s="87">
        <f>'General inputs'!$H$23</f>
        <v>25569</v>
      </c>
      <c r="H15" s="199" t="s">
        <v>181</v>
      </c>
    </row>
    <row r="16" spans="3:10" ht="12" x14ac:dyDescent="0.3">
      <c r="C16" s="63" t="s">
        <v>182</v>
      </c>
      <c r="E16" s="88">
        <f>'General inputs'!$H$24</f>
        <v>35064</v>
      </c>
      <c r="H16" s="200" t="s">
        <v>183</v>
      </c>
      <c r="I16" s="201">
        <f>SUMIF($B$22:$B$792,H16,$P$22:$P$792)/$J$22</f>
        <v>170669672.80776921</v>
      </c>
    </row>
    <row r="17" spans="1:17" ht="12" x14ac:dyDescent="0.3">
      <c r="H17" s="202" t="s">
        <v>184</v>
      </c>
      <c r="I17" s="203">
        <f t="shared" ref="I17" si="0">SUMIF($B$22:$B$792,H17,$P$22:$P$792)/$J$22</f>
        <v>4521977.3732395805</v>
      </c>
    </row>
    <row r="18" spans="1:17" ht="15.5" x14ac:dyDescent="0.35">
      <c r="C18" s="2" t="s">
        <v>185</v>
      </c>
      <c r="H18" s="204" t="s">
        <v>186</v>
      </c>
      <c r="I18" s="205">
        <f>SUMIF($B$22:$B$792,H18,$P$22:$P$792)/$J$22</f>
        <v>9633409.5140980296</v>
      </c>
    </row>
    <row r="20" spans="1:17" x14ac:dyDescent="0.25">
      <c r="C20" s="6" t="s">
        <v>187</v>
      </c>
      <c r="H20" s="6" t="s">
        <v>188</v>
      </c>
      <c r="L20" s="6" t="s">
        <v>189</v>
      </c>
      <c r="M20" s="6"/>
    </row>
    <row r="21" spans="1:17" ht="46" x14ac:dyDescent="0.25">
      <c r="C21" s="164" t="s">
        <v>190</v>
      </c>
      <c r="D21" s="24" t="s">
        <v>191</v>
      </c>
      <c r="E21" s="164" t="s">
        <v>192</v>
      </c>
      <c r="F21" s="24" t="s">
        <v>193</v>
      </c>
      <c r="H21" s="164" t="s">
        <v>194</v>
      </c>
      <c r="I21" s="164" t="s">
        <v>195</v>
      </c>
      <c r="J21" s="164" t="s">
        <v>196</v>
      </c>
      <c r="L21" s="164" t="s">
        <v>197</v>
      </c>
      <c r="M21" s="24" t="s">
        <v>198</v>
      </c>
      <c r="N21" s="164" t="s">
        <v>199</v>
      </c>
      <c r="O21" s="164" t="s">
        <v>200</v>
      </c>
      <c r="P21" s="24" t="s">
        <v>201</v>
      </c>
      <c r="Q21" s="194" t="s">
        <v>202</v>
      </c>
    </row>
    <row r="22" spans="1:17" ht="26" customHeight="1" x14ac:dyDescent="0.25">
      <c r="A22" s="243">
        <v>1970</v>
      </c>
      <c r="B22" s="243" t="s">
        <v>183</v>
      </c>
      <c r="C22" s="197" t="s">
        <v>203</v>
      </c>
      <c r="D22" s="110" t="s">
        <v>204</v>
      </c>
      <c r="E22" s="32">
        <f>DATEVALUE("30 Jun "&amp;A22)</f>
        <v>25749</v>
      </c>
      <c r="F22" s="89" t="str">
        <f>IF(E22="","-",IF(OR(E22&lt;$E$15,E22&gt;$E$16),"ERROR - date outside of range","Date check - OK"))</f>
        <v>Date check - OK</v>
      </c>
      <c r="H22" s="114" t="s">
        <v>205</v>
      </c>
      <c r="I22" s="25"/>
      <c r="J22" s="97">
        <f>'ET inputs'!AP20</f>
        <v>0.40416869135089106</v>
      </c>
      <c r="L22" s="25">
        <v>190</v>
      </c>
      <c r="M22" s="165" t="s">
        <v>206</v>
      </c>
      <c r="N22" s="25">
        <v>1528.354116880093</v>
      </c>
      <c r="O22" s="92">
        <f>IF(N22="","-",L22*N22)</f>
        <v>290387.28220721765</v>
      </c>
      <c r="P22" s="94">
        <f>IF(O22="-","-",IF(OR(E22&lt;$E$15,E22&gt;$E$16),0,O22*J22))*Q22</f>
        <v>58682.723917316522</v>
      </c>
      <c r="Q22" s="195">
        <v>0.5</v>
      </c>
    </row>
    <row r="23" spans="1:17" ht="24" customHeight="1" x14ac:dyDescent="0.25">
      <c r="A23" s="243">
        <v>1970</v>
      </c>
      <c r="B23" s="243" t="s">
        <v>183</v>
      </c>
      <c r="C23" s="198"/>
      <c r="D23" s="111" t="s">
        <v>204</v>
      </c>
      <c r="E23" s="33">
        <f t="shared" ref="E23:E86" si="1">DATEVALUE("30 Jun "&amp;A23)</f>
        <v>25749</v>
      </c>
      <c r="F23" s="90" t="str">
        <f t="shared" ref="F23:F86" si="2">IF(E23="","-",IF(OR(E23&lt;$E$15,E23&gt;$E$16),"ERROR - date outside of range","Date check - OK"))</f>
        <v>Date check - OK</v>
      </c>
      <c r="H23" s="115"/>
      <c r="I23" s="26"/>
      <c r="J23" s="98">
        <f>J22</f>
        <v>0.40416869135089106</v>
      </c>
      <c r="L23" s="26">
        <v>287</v>
      </c>
      <c r="M23" s="26" t="s">
        <v>206</v>
      </c>
      <c r="N23" s="135">
        <v>1177.6645383003492</v>
      </c>
      <c r="O23" s="93">
        <f>IF(N23="","-",L23*N23)</f>
        <v>337989.72249220021</v>
      </c>
      <c r="P23" s="95">
        <f>IF(O23="-","-",IF(OR(E23&lt;$E$15,E23&gt;$E$16),0,O23*J23))*Q23</f>
        <v>68302.431914861692</v>
      </c>
      <c r="Q23" s="196">
        <v>0.5</v>
      </c>
    </row>
    <row r="24" spans="1:17" ht="23" x14ac:dyDescent="0.25">
      <c r="A24" s="243">
        <v>1970</v>
      </c>
      <c r="B24" s="243" t="s">
        <v>183</v>
      </c>
      <c r="C24" s="198"/>
      <c r="D24" s="111" t="s">
        <v>204</v>
      </c>
      <c r="E24" s="33">
        <f t="shared" si="1"/>
        <v>25749</v>
      </c>
      <c r="F24" s="90" t="str">
        <f t="shared" si="2"/>
        <v>Date check - OK</v>
      </c>
      <c r="H24" s="115"/>
      <c r="I24" s="26"/>
      <c r="J24" s="98">
        <f t="shared" ref="J24:J87" si="3">J23</f>
        <v>0.40416869135089106</v>
      </c>
      <c r="K24" s="36"/>
      <c r="L24" s="26">
        <v>136</v>
      </c>
      <c r="M24" s="26" t="s">
        <v>206</v>
      </c>
      <c r="N24" s="26">
        <v>946.04630500582073</v>
      </c>
      <c r="O24" s="93">
        <f t="shared" ref="O24:O87" si="4">IF(N24="","-",L24*N24)</f>
        <v>128662.29748079162</v>
      </c>
      <c r="P24" s="95">
        <f t="shared" ref="P24:P87" si="5">IF(O24="-","-",IF(OR(E24&lt;$E$15,E24&gt;$E$16),0,O24*J24))*Q24</f>
        <v>26000.636199505298</v>
      </c>
      <c r="Q24" s="196">
        <v>0.5</v>
      </c>
    </row>
    <row r="25" spans="1:17" ht="23" x14ac:dyDescent="0.25">
      <c r="A25" s="243">
        <v>1970</v>
      </c>
      <c r="B25" s="243" t="s">
        <v>183</v>
      </c>
      <c r="C25" s="198"/>
      <c r="D25" s="111" t="s">
        <v>204</v>
      </c>
      <c r="E25" s="33">
        <f t="shared" si="1"/>
        <v>25749</v>
      </c>
      <c r="F25" s="90" t="str">
        <f t="shared" si="2"/>
        <v>Date check - OK</v>
      </c>
      <c r="H25" s="115"/>
      <c r="I25" s="26"/>
      <c r="J25" s="98">
        <f t="shared" si="3"/>
        <v>0.40416869135089106</v>
      </c>
      <c r="K25" s="36"/>
      <c r="L25" s="26">
        <v>604</v>
      </c>
      <c r="M25" s="26" t="s">
        <v>206</v>
      </c>
      <c r="N25" s="26">
        <v>833.49941699650753</v>
      </c>
      <c r="O25" s="93">
        <f t="shared" si="4"/>
        <v>503433.64786589053</v>
      </c>
      <c r="P25" s="95">
        <f t="shared" si="5"/>
        <v>101736.05931998114</v>
      </c>
      <c r="Q25" s="196">
        <v>0.5</v>
      </c>
    </row>
    <row r="26" spans="1:17" ht="23" x14ac:dyDescent="0.25">
      <c r="A26" s="243">
        <v>1970</v>
      </c>
      <c r="B26" s="243" t="s">
        <v>183</v>
      </c>
      <c r="C26" s="198"/>
      <c r="D26" s="111" t="s">
        <v>204</v>
      </c>
      <c r="E26" s="33">
        <f t="shared" si="1"/>
        <v>25749</v>
      </c>
      <c r="F26" s="90" t="str">
        <f t="shared" si="2"/>
        <v>Date check - OK</v>
      </c>
      <c r="H26" s="115"/>
      <c r="I26" s="26"/>
      <c r="J26" s="98">
        <f t="shared" si="3"/>
        <v>0.40416869135089106</v>
      </c>
      <c r="K26" s="36"/>
      <c r="L26" s="26">
        <v>46</v>
      </c>
      <c r="M26" s="26" t="s">
        <v>206</v>
      </c>
      <c r="N26" s="26">
        <v>494.22763864959256</v>
      </c>
      <c r="O26" s="93">
        <f t="shared" si="4"/>
        <v>22734.471377881258</v>
      </c>
      <c r="P26" s="95">
        <f t="shared" si="5"/>
        <v>4594.2807726762785</v>
      </c>
      <c r="Q26" s="196">
        <v>0.5</v>
      </c>
    </row>
    <row r="27" spans="1:17" ht="23" x14ac:dyDescent="0.25">
      <c r="A27" s="243">
        <v>1970</v>
      </c>
      <c r="B27" s="243" t="s">
        <v>183</v>
      </c>
      <c r="C27" s="198" t="s">
        <v>207</v>
      </c>
      <c r="D27" s="111" t="s">
        <v>208</v>
      </c>
      <c r="E27" s="33">
        <f t="shared" si="1"/>
        <v>25749</v>
      </c>
      <c r="F27" s="90" t="str">
        <f t="shared" si="2"/>
        <v>Date check - OK</v>
      </c>
      <c r="H27" s="115"/>
      <c r="I27" s="26"/>
      <c r="J27" s="98">
        <f t="shared" si="3"/>
        <v>0.40416869135089106</v>
      </c>
      <c r="K27" s="36"/>
      <c r="L27" s="26">
        <v>245</v>
      </c>
      <c r="M27" s="26" t="s">
        <v>206</v>
      </c>
      <c r="N27" s="26">
        <v>1578.9186607683353</v>
      </c>
      <c r="O27" s="93">
        <f t="shared" si="4"/>
        <v>386835.07188824215</v>
      </c>
      <c r="P27" s="95">
        <f t="shared" si="5"/>
        <v>78173.312386849342</v>
      </c>
      <c r="Q27" s="196">
        <v>0.5</v>
      </c>
    </row>
    <row r="28" spans="1:17" ht="23" x14ac:dyDescent="0.25">
      <c r="A28" s="243">
        <v>1970</v>
      </c>
      <c r="B28" s="243" t="s">
        <v>183</v>
      </c>
      <c r="C28" s="198"/>
      <c r="D28" s="111" t="s">
        <v>208</v>
      </c>
      <c r="E28" s="33">
        <f t="shared" si="1"/>
        <v>25749</v>
      </c>
      <c r="F28" s="90" t="str">
        <f t="shared" si="2"/>
        <v>Date check - OK</v>
      </c>
      <c r="H28" s="115"/>
      <c r="I28" s="26"/>
      <c r="J28" s="98">
        <f t="shared" si="3"/>
        <v>0.40416869135089106</v>
      </c>
      <c r="K28" s="36"/>
      <c r="L28" s="26">
        <v>887</v>
      </c>
      <c r="M28" s="26" t="s">
        <v>206</v>
      </c>
      <c r="N28" s="26">
        <v>1306.5225694994178</v>
      </c>
      <c r="O28" s="93">
        <f t="shared" si="4"/>
        <v>1158885.5191459837</v>
      </c>
      <c r="P28" s="95">
        <f t="shared" si="5"/>
        <v>234192.62184936512</v>
      </c>
      <c r="Q28" s="196">
        <v>0.5</v>
      </c>
    </row>
    <row r="29" spans="1:17" ht="23" x14ac:dyDescent="0.25">
      <c r="A29" s="243">
        <v>1970</v>
      </c>
      <c r="B29" s="243" t="s">
        <v>183</v>
      </c>
      <c r="C29" s="198"/>
      <c r="D29" s="111" t="s">
        <v>208</v>
      </c>
      <c r="E29" s="33">
        <f t="shared" si="1"/>
        <v>25749</v>
      </c>
      <c r="F29" s="90" t="str">
        <f t="shared" si="2"/>
        <v>Date check - OK</v>
      </c>
      <c r="H29" s="115"/>
      <c r="I29" s="26"/>
      <c r="J29" s="98">
        <f t="shared" si="3"/>
        <v>0.40416869135089106</v>
      </c>
      <c r="K29" s="36"/>
      <c r="L29" s="26">
        <v>525</v>
      </c>
      <c r="M29" s="26" t="s">
        <v>206</v>
      </c>
      <c r="N29" s="26">
        <v>1074.9043362048894</v>
      </c>
      <c r="O29" s="93">
        <f t="shared" si="4"/>
        <v>564324.77650756692</v>
      </c>
      <c r="P29" s="95">
        <f t="shared" si="5"/>
        <v>114041.20320897369</v>
      </c>
      <c r="Q29" s="196">
        <v>0.5</v>
      </c>
    </row>
    <row r="30" spans="1:17" ht="23" x14ac:dyDescent="0.25">
      <c r="A30" s="243">
        <v>1970</v>
      </c>
      <c r="B30" s="243" t="s">
        <v>183</v>
      </c>
      <c r="C30" s="198"/>
      <c r="D30" s="111" t="s">
        <v>208</v>
      </c>
      <c r="E30" s="33">
        <f t="shared" si="1"/>
        <v>25749</v>
      </c>
      <c r="F30" s="90" t="str">
        <f t="shared" si="2"/>
        <v>Date check - OK</v>
      </c>
      <c r="H30" s="115"/>
      <c r="I30" s="26"/>
      <c r="J30" s="98">
        <f t="shared" si="3"/>
        <v>0.40416869135089106</v>
      </c>
      <c r="K30" s="36"/>
      <c r="L30" s="26">
        <v>405</v>
      </c>
      <c r="M30" s="26" t="s">
        <v>206</v>
      </c>
      <c r="N30" s="26">
        <v>950.93964796274736</v>
      </c>
      <c r="O30" s="93">
        <f t="shared" si="4"/>
        <v>385130.55742491269</v>
      </c>
      <c r="P30" s="95">
        <f t="shared" si="5"/>
        <v>77828.856696833085</v>
      </c>
      <c r="Q30" s="196">
        <v>0.5</v>
      </c>
    </row>
    <row r="31" spans="1:17" x14ac:dyDescent="0.25">
      <c r="A31" s="243">
        <v>1970</v>
      </c>
      <c r="B31" s="243" t="s">
        <v>183</v>
      </c>
      <c r="C31" s="198">
        <v>36332</v>
      </c>
      <c r="D31" s="111" t="s">
        <v>209</v>
      </c>
      <c r="E31" s="33">
        <f t="shared" si="1"/>
        <v>25749</v>
      </c>
      <c r="F31" s="90" t="str">
        <f t="shared" si="2"/>
        <v>Date check - OK</v>
      </c>
      <c r="H31" s="115"/>
      <c r="I31" s="26"/>
      <c r="J31" s="98">
        <f t="shared" si="3"/>
        <v>0.40416869135089106</v>
      </c>
      <c r="K31" s="36"/>
      <c r="L31" s="26">
        <v>698</v>
      </c>
      <c r="M31" s="26" t="s">
        <v>206</v>
      </c>
      <c r="N31" s="26">
        <v>1666.9988339930151</v>
      </c>
      <c r="O31" s="93">
        <f t="shared" si="4"/>
        <v>1163565.1861271246</v>
      </c>
      <c r="P31" s="95">
        <f t="shared" si="5"/>
        <v>470276.61857845593</v>
      </c>
      <c r="Q31" s="196">
        <v>1</v>
      </c>
    </row>
    <row r="32" spans="1:17" x14ac:dyDescent="0.25">
      <c r="A32" s="243">
        <v>1970</v>
      </c>
      <c r="B32" s="243" t="s">
        <v>183</v>
      </c>
      <c r="C32" s="198"/>
      <c r="D32" s="111" t="s">
        <v>209</v>
      </c>
      <c r="E32" s="33">
        <f t="shared" si="1"/>
        <v>25749</v>
      </c>
      <c r="F32" s="90" t="str">
        <f t="shared" si="2"/>
        <v>Date check - OK</v>
      </c>
      <c r="H32" s="115"/>
      <c r="I32" s="26"/>
      <c r="J32" s="98">
        <f t="shared" si="3"/>
        <v>0.40416869135089106</v>
      </c>
      <c r="K32" s="36"/>
      <c r="L32" s="26">
        <v>882</v>
      </c>
      <c r="M32" s="26" t="s">
        <v>206</v>
      </c>
      <c r="N32" s="26">
        <v>1386.4471711292199</v>
      </c>
      <c r="O32" s="93">
        <f t="shared" si="4"/>
        <v>1222846.4049359718</v>
      </c>
      <c r="P32" s="95">
        <f t="shared" si="5"/>
        <v>494236.23120611353</v>
      </c>
      <c r="Q32" s="196">
        <v>1</v>
      </c>
    </row>
    <row r="33" spans="1:17" x14ac:dyDescent="0.25">
      <c r="A33" s="243">
        <v>1970</v>
      </c>
      <c r="B33" s="243" t="s">
        <v>183</v>
      </c>
      <c r="C33" s="198"/>
      <c r="D33" s="111" t="s">
        <v>210</v>
      </c>
      <c r="E33" s="33">
        <f t="shared" si="1"/>
        <v>25749</v>
      </c>
      <c r="F33" s="90" t="str">
        <f t="shared" si="2"/>
        <v>Date check - OK</v>
      </c>
      <c r="H33" s="115"/>
      <c r="I33" s="26"/>
      <c r="J33" s="98">
        <f t="shared" si="3"/>
        <v>0.40416869135089106</v>
      </c>
      <c r="K33" s="36"/>
      <c r="L33" s="26">
        <v>690</v>
      </c>
      <c r="M33" s="26" t="s">
        <v>206</v>
      </c>
      <c r="N33" s="26">
        <v>1074.9043362048894</v>
      </c>
      <c r="O33" s="93">
        <f t="shared" si="4"/>
        <v>741683.99198137375</v>
      </c>
      <c r="P33" s="95">
        <f t="shared" si="5"/>
        <v>299765.44843501662</v>
      </c>
      <c r="Q33" s="196">
        <v>1</v>
      </c>
    </row>
    <row r="34" spans="1:17" x14ac:dyDescent="0.25">
      <c r="A34" s="243">
        <v>1970</v>
      </c>
      <c r="B34" s="243" t="s">
        <v>183</v>
      </c>
      <c r="C34" s="198"/>
      <c r="D34" s="111" t="s">
        <v>210</v>
      </c>
      <c r="E34" s="33">
        <f t="shared" si="1"/>
        <v>25749</v>
      </c>
      <c r="F34" s="90" t="str">
        <f t="shared" si="2"/>
        <v>Date check - OK</v>
      </c>
      <c r="H34" s="115"/>
      <c r="I34" s="26"/>
      <c r="J34" s="98">
        <f t="shared" si="3"/>
        <v>0.40416869135089106</v>
      </c>
      <c r="K34" s="36"/>
      <c r="L34" s="26">
        <v>333</v>
      </c>
      <c r="M34" s="26" t="s">
        <v>206</v>
      </c>
      <c r="N34" s="26">
        <v>639.39681303841667</v>
      </c>
      <c r="O34" s="93">
        <f t="shared" si="4"/>
        <v>212919.13874179276</v>
      </c>
      <c r="P34" s="95">
        <f t="shared" si="5"/>
        <v>86055.249668829187</v>
      </c>
      <c r="Q34" s="196">
        <v>1</v>
      </c>
    </row>
    <row r="35" spans="1:17" x14ac:dyDescent="0.25">
      <c r="A35" s="243">
        <v>1970</v>
      </c>
      <c r="B35" s="243" t="s">
        <v>183</v>
      </c>
      <c r="C35" s="198"/>
      <c r="D35" s="111" t="s">
        <v>210</v>
      </c>
      <c r="E35" s="33">
        <f t="shared" si="1"/>
        <v>25749</v>
      </c>
      <c r="F35" s="90" t="str">
        <f t="shared" si="2"/>
        <v>Date check - OK</v>
      </c>
      <c r="H35" s="115"/>
      <c r="I35" s="26"/>
      <c r="J35" s="98">
        <f t="shared" si="3"/>
        <v>0.40416869135089106</v>
      </c>
      <c r="K35" s="36"/>
      <c r="L35" s="26">
        <v>167</v>
      </c>
      <c r="M35" s="26" t="s">
        <v>206</v>
      </c>
      <c r="N35" s="26">
        <v>685.06801396973219</v>
      </c>
      <c r="O35" s="93">
        <f t="shared" si="4"/>
        <v>114406.35833294528</v>
      </c>
      <c r="P35" s="95">
        <f t="shared" si="5"/>
        <v>46239.468129647605</v>
      </c>
      <c r="Q35" s="196">
        <v>1</v>
      </c>
    </row>
    <row r="36" spans="1:17" x14ac:dyDescent="0.25">
      <c r="A36" s="243">
        <v>1970</v>
      </c>
      <c r="B36" s="243" t="s">
        <v>183</v>
      </c>
      <c r="C36" s="198">
        <v>36287</v>
      </c>
      <c r="D36" s="111" t="s">
        <v>211</v>
      </c>
      <c r="E36" s="33">
        <f t="shared" si="1"/>
        <v>25749</v>
      </c>
      <c r="F36" s="90" t="str">
        <f t="shared" si="2"/>
        <v>Date check - OK</v>
      </c>
      <c r="H36" s="115"/>
      <c r="I36" s="26"/>
      <c r="J36" s="98">
        <f t="shared" si="3"/>
        <v>0.40416869135089106</v>
      </c>
      <c r="K36" s="36"/>
      <c r="L36" s="26">
        <v>93</v>
      </c>
      <c r="M36" s="26" t="s">
        <v>206</v>
      </c>
      <c r="N36" s="26">
        <v>1074.9043362048894</v>
      </c>
      <c r="O36" s="93">
        <f t="shared" si="4"/>
        <v>99966.103267054714</v>
      </c>
      <c r="P36" s="95">
        <f t="shared" si="5"/>
        <v>40403.169136893543</v>
      </c>
      <c r="Q36" s="196">
        <v>1</v>
      </c>
    </row>
    <row r="37" spans="1:17" x14ac:dyDescent="0.25">
      <c r="A37" s="243">
        <v>1970</v>
      </c>
      <c r="B37" s="243" t="s">
        <v>183</v>
      </c>
      <c r="C37" s="198"/>
      <c r="D37" s="111" t="s">
        <v>211</v>
      </c>
      <c r="E37" s="33">
        <f t="shared" si="1"/>
        <v>25749</v>
      </c>
      <c r="F37" s="90" t="str">
        <f t="shared" si="2"/>
        <v>Date check - OK</v>
      </c>
      <c r="H37" s="115"/>
      <c r="I37" s="26"/>
      <c r="J37" s="98">
        <f t="shared" si="3"/>
        <v>0.40416869135089106</v>
      </c>
      <c r="K37" s="36"/>
      <c r="L37" s="26">
        <v>93</v>
      </c>
      <c r="M37" s="26" t="s">
        <v>206</v>
      </c>
      <c r="N37" s="26">
        <v>1074.9043362048894</v>
      </c>
      <c r="O37" s="93">
        <f t="shared" si="4"/>
        <v>99966.103267054714</v>
      </c>
      <c r="P37" s="95">
        <f t="shared" si="5"/>
        <v>40403.169136893543</v>
      </c>
      <c r="Q37" s="196">
        <v>1</v>
      </c>
    </row>
    <row r="38" spans="1:17" x14ac:dyDescent="0.25">
      <c r="A38" s="243">
        <v>1970</v>
      </c>
      <c r="B38" s="243" t="s">
        <v>183</v>
      </c>
      <c r="C38" s="198"/>
      <c r="D38" s="111" t="s">
        <v>211</v>
      </c>
      <c r="E38" s="33">
        <f t="shared" si="1"/>
        <v>25749</v>
      </c>
      <c r="F38" s="90" t="str">
        <f t="shared" si="2"/>
        <v>Date check - OK</v>
      </c>
      <c r="H38" s="115"/>
      <c r="I38" s="26"/>
      <c r="J38" s="98">
        <f t="shared" si="3"/>
        <v>0.40416869135089106</v>
      </c>
      <c r="K38" s="36"/>
      <c r="L38" s="26">
        <v>69</v>
      </c>
      <c r="M38" s="26" t="s">
        <v>206</v>
      </c>
      <c r="N38" s="26">
        <v>2050.3106989522698</v>
      </c>
      <c r="O38" s="93">
        <f t="shared" si="4"/>
        <v>141471.43822770662</v>
      </c>
      <c r="P38" s="95">
        <f t="shared" si="5"/>
        <v>57178.326052020609</v>
      </c>
      <c r="Q38" s="196">
        <v>1</v>
      </c>
    </row>
    <row r="39" spans="1:17" x14ac:dyDescent="0.25">
      <c r="A39" s="243">
        <v>1970</v>
      </c>
      <c r="B39" s="243" t="s">
        <v>183</v>
      </c>
      <c r="C39" s="198">
        <v>36408</v>
      </c>
      <c r="D39" s="111" t="s">
        <v>212</v>
      </c>
      <c r="E39" s="33">
        <f t="shared" si="1"/>
        <v>25749</v>
      </c>
      <c r="F39" s="90" t="str">
        <f t="shared" si="2"/>
        <v>Date check - OK</v>
      </c>
      <c r="H39" s="115"/>
      <c r="I39" s="26"/>
      <c r="J39" s="98">
        <f t="shared" si="3"/>
        <v>0.40416869135089106</v>
      </c>
      <c r="K39" s="36"/>
      <c r="L39" s="26">
        <v>773</v>
      </c>
      <c r="M39" s="26" t="s">
        <v>206</v>
      </c>
      <c r="N39" s="26">
        <v>1306.5225694994178</v>
      </c>
      <c r="O39" s="93">
        <f t="shared" si="4"/>
        <v>1009941.94622305</v>
      </c>
      <c r="P39" s="95">
        <f t="shared" si="5"/>
        <v>408186.9147453421</v>
      </c>
      <c r="Q39" s="196">
        <v>1</v>
      </c>
    </row>
    <row r="40" spans="1:17" x14ac:dyDescent="0.25">
      <c r="A40" s="243">
        <v>1970</v>
      </c>
      <c r="B40" s="243" t="s">
        <v>183</v>
      </c>
      <c r="C40" s="198"/>
      <c r="D40" s="111" t="s">
        <v>212</v>
      </c>
      <c r="E40" s="33">
        <f t="shared" si="1"/>
        <v>25749</v>
      </c>
      <c r="F40" s="90" t="str">
        <f t="shared" si="2"/>
        <v>Date check - OK</v>
      </c>
      <c r="H40" s="115"/>
      <c r="I40" s="26"/>
      <c r="J40" s="98">
        <f t="shared" si="3"/>
        <v>0.40416869135089106</v>
      </c>
      <c r="K40" s="36"/>
      <c r="L40" s="26">
        <v>47</v>
      </c>
      <c r="M40" s="26" t="s">
        <v>206</v>
      </c>
      <c r="N40" s="26">
        <v>520.32546775320145</v>
      </c>
      <c r="O40" s="93">
        <f t="shared" si="4"/>
        <v>24455.296984400469</v>
      </c>
      <c r="P40" s="95">
        <f t="shared" si="5"/>
        <v>9884.0653787825304</v>
      </c>
      <c r="Q40" s="196">
        <v>1</v>
      </c>
    </row>
    <row r="41" spans="1:17" x14ac:dyDescent="0.25">
      <c r="A41" s="243">
        <v>1970</v>
      </c>
      <c r="B41" s="243" t="s">
        <v>183</v>
      </c>
      <c r="C41" s="198">
        <v>45669</v>
      </c>
      <c r="D41" s="111" t="s">
        <v>213</v>
      </c>
      <c r="E41" s="33">
        <f t="shared" si="1"/>
        <v>25749</v>
      </c>
      <c r="F41" s="90" t="str">
        <f t="shared" si="2"/>
        <v>Date check - OK</v>
      </c>
      <c r="H41" s="115"/>
      <c r="I41" s="26"/>
      <c r="J41" s="98">
        <f t="shared" si="3"/>
        <v>0.40416869135089106</v>
      </c>
      <c r="K41" s="36"/>
      <c r="L41" s="26">
        <v>398</v>
      </c>
      <c r="M41" s="26" t="s">
        <v>206</v>
      </c>
      <c r="N41" s="26">
        <v>1224.9668535506403</v>
      </c>
      <c r="O41" s="93">
        <f t="shared" si="4"/>
        <v>487536.80771315482</v>
      </c>
      <c r="P41" s="95">
        <f t="shared" si="5"/>
        <v>197047.11355881678</v>
      </c>
      <c r="Q41" s="196">
        <v>1</v>
      </c>
    </row>
    <row r="42" spans="1:17" x14ac:dyDescent="0.25">
      <c r="A42" s="243">
        <v>1970</v>
      </c>
      <c r="B42" s="243" t="s">
        <v>183</v>
      </c>
      <c r="C42" s="198"/>
      <c r="D42" s="111" t="s">
        <v>213</v>
      </c>
      <c r="E42" s="33">
        <f t="shared" si="1"/>
        <v>25749</v>
      </c>
      <c r="F42" s="90" t="str">
        <f t="shared" si="2"/>
        <v>Date check - OK</v>
      </c>
      <c r="H42" s="115"/>
      <c r="I42" s="26"/>
      <c r="J42" s="98">
        <f t="shared" si="3"/>
        <v>0.40416869135089106</v>
      </c>
      <c r="K42" s="36"/>
      <c r="L42" s="26">
        <v>40</v>
      </c>
      <c r="M42" s="26" t="s">
        <v>206</v>
      </c>
      <c r="N42" s="26">
        <v>1096.1088223515715</v>
      </c>
      <c r="O42" s="93">
        <f t="shared" si="4"/>
        <v>43844.35289406286</v>
      </c>
      <c r="P42" s="95">
        <f t="shared" si="5"/>
        <v>17720.51473232004</v>
      </c>
      <c r="Q42" s="196">
        <v>1</v>
      </c>
    </row>
    <row r="43" spans="1:17" x14ac:dyDescent="0.25">
      <c r="A43" s="243">
        <v>1970</v>
      </c>
      <c r="B43" s="243" t="s">
        <v>183</v>
      </c>
      <c r="C43" s="198"/>
      <c r="D43" s="111" t="s">
        <v>213</v>
      </c>
      <c r="E43" s="33">
        <f t="shared" si="1"/>
        <v>25749</v>
      </c>
      <c r="F43" s="90" t="str">
        <f t="shared" si="2"/>
        <v>Date check - OK</v>
      </c>
      <c r="H43" s="115"/>
      <c r="I43" s="26"/>
      <c r="J43" s="98">
        <f t="shared" si="3"/>
        <v>0.40416869135089106</v>
      </c>
      <c r="K43" s="36"/>
      <c r="L43" s="26">
        <v>165</v>
      </c>
      <c r="M43" s="26" t="s">
        <v>206</v>
      </c>
      <c r="N43" s="26">
        <v>580.67669755529687</v>
      </c>
      <c r="O43" s="93">
        <f t="shared" si="4"/>
        <v>95811.655096623988</v>
      </c>
      <c r="P43" s="95">
        <f t="shared" si="5"/>
        <v>38724.071256565447</v>
      </c>
      <c r="Q43" s="196">
        <v>1</v>
      </c>
    </row>
    <row r="44" spans="1:17" x14ac:dyDescent="0.25">
      <c r="A44" s="243">
        <v>1970</v>
      </c>
      <c r="B44" s="243" t="s">
        <v>183</v>
      </c>
      <c r="C44" s="198"/>
      <c r="D44" s="111" t="s">
        <v>213</v>
      </c>
      <c r="E44" s="33">
        <f t="shared" si="1"/>
        <v>25749</v>
      </c>
      <c r="F44" s="90" t="str">
        <f t="shared" si="2"/>
        <v>Date check - OK</v>
      </c>
      <c r="H44" s="115"/>
      <c r="I44" s="26"/>
      <c r="J44" s="98">
        <f t="shared" si="3"/>
        <v>0.40416869135089106</v>
      </c>
      <c r="K44" s="36"/>
      <c r="L44" s="26">
        <v>516</v>
      </c>
      <c r="M44" s="26" t="s">
        <v>206</v>
      </c>
      <c r="N44" s="26">
        <v>624.71678416763677</v>
      </c>
      <c r="O44" s="93">
        <f t="shared" si="4"/>
        <v>322353.8606305006</v>
      </c>
      <c r="P44" s="95">
        <f t="shared" si="5"/>
        <v>130285.33800293694</v>
      </c>
      <c r="Q44" s="196">
        <v>1</v>
      </c>
    </row>
    <row r="45" spans="1:17" x14ac:dyDescent="0.25">
      <c r="A45" s="243">
        <v>1970</v>
      </c>
      <c r="B45" s="243" t="s">
        <v>183</v>
      </c>
      <c r="C45" s="198"/>
      <c r="D45" s="111" t="s">
        <v>213</v>
      </c>
      <c r="E45" s="33">
        <f t="shared" si="1"/>
        <v>25749</v>
      </c>
      <c r="F45" s="90" t="str">
        <f t="shared" si="2"/>
        <v>Date check - OK</v>
      </c>
      <c r="H45" s="115"/>
      <c r="I45" s="26"/>
      <c r="J45" s="98">
        <f t="shared" si="3"/>
        <v>0.40416869135089106</v>
      </c>
      <c r="K45" s="36"/>
      <c r="L45" s="26">
        <v>306</v>
      </c>
      <c r="M45" s="26" t="s">
        <v>206</v>
      </c>
      <c r="N45" s="26">
        <v>567.62778300349237</v>
      </c>
      <c r="O45" s="93">
        <f t="shared" si="4"/>
        <v>173694.10159906867</v>
      </c>
      <c r="P45" s="95">
        <f t="shared" si="5"/>
        <v>70201.717738664302</v>
      </c>
      <c r="Q45" s="196">
        <v>1</v>
      </c>
    </row>
    <row r="46" spans="1:17" x14ac:dyDescent="0.25">
      <c r="A46" s="243">
        <v>1970</v>
      </c>
      <c r="B46" s="243" t="s">
        <v>183</v>
      </c>
      <c r="C46" s="198" t="s">
        <v>214</v>
      </c>
      <c r="D46" s="111" t="s">
        <v>215</v>
      </c>
      <c r="E46" s="33">
        <f t="shared" si="1"/>
        <v>25749</v>
      </c>
      <c r="F46" s="90" t="str">
        <f t="shared" si="2"/>
        <v>Date check - OK</v>
      </c>
      <c r="H46" s="115"/>
      <c r="I46" s="26"/>
      <c r="J46" s="98">
        <f t="shared" si="3"/>
        <v>0.40416869135089106</v>
      </c>
      <c r="K46" s="36"/>
      <c r="L46" s="26">
        <v>51</v>
      </c>
      <c r="M46" s="26" t="s">
        <v>206</v>
      </c>
      <c r="N46" s="26">
        <v>950.93964796274736</v>
      </c>
      <c r="O46" s="93">
        <f t="shared" si="4"/>
        <v>48497.922046100117</v>
      </c>
      <c r="P46" s="95">
        <f t="shared" si="5"/>
        <v>19601.341686609812</v>
      </c>
      <c r="Q46" s="196">
        <v>1</v>
      </c>
    </row>
    <row r="47" spans="1:17" x14ac:dyDescent="0.25">
      <c r="A47" s="243">
        <v>1970</v>
      </c>
      <c r="B47" s="243" t="s">
        <v>183</v>
      </c>
      <c r="C47" s="198" t="s">
        <v>216</v>
      </c>
      <c r="D47" s="111" t="s">
        <v>215</v>
      </c>
      <c r="E47" s="33">
        <f t="shared" si="1"/>
        <v>25749</v>
      </c>
      <c r="F47" s="90" t="str">
        <f t="shared" si="2"/>
        <v>Date check - OK</v>
      </c>
      <c r="H47" s="115"/>
      <c r="I47" s="26"/>
      <c r="J47" s="98">
        <f t="shared" si="3"/>
        <v>0.40416869135089106</v>
      </c>
      <c r="K47" s="36"/>
      <c r="L47" s="26">
        <v>350</v>
      </c>
      <c r="M47" s="26" t="s">
        <v>206</v>
      </c>
      <c r="N47" s="26">
        <v>709.53472875436546</v>
      </c>
      <c r="O47" s="93">
        <f t="shared" si="4"/>
        <v>248337.1550640279</v>
      </c>
      <c r="P47" s="95">
        <f t="shared" si="5"/>
        <v>100370.10297603147</v>
      </c>
      <c r="Q47" s="196">
        <v>1</v>
      </c>
    </row>
    <row r="48" spans="1:17" x14ac:dyDescent="0.25">
      <c r="A48" s="243">
        <v>1970</v>
      </c>
      <c r="B48" s="243" t="s">
        <v>183</v>
      </c>
      <c r="C48" s="198" t="s">
        <v>217</v>
      </c>
      <c r="D48" s="111" t="s">
        <v>215</v>
      </c>
      <c r="E48" s="33">
        <f t="shared" si="1"/>
        <v>25749</v>
      </c>
      <c r="F48" s="90" t="str">
        <f t="shared" si="2"/>
        <v>Date check - OK</v>
      </c>
      <c r="H48" s="115"/>
      <c r="I48" s="26"/>
      <c r="J48" s="98">
        <f t="shared" si="3"/>
        <v>0.40416869135089106</v>
      </c>
      <c r="K48" s="36"/>
      <c r="L48" s="26">
        <v>281</v>
      </c>
      <c r="M48" s="26" t="s">
        <v>206</v>
      </c>
      <c r="N48" s="26">
        <v>624.71678416763677</v>
      </c>
      <c r="O48" s="93">
        <f t="shared" si="4"/>
        <v>175545.41635110593</v>
      </c>
      <c r="P48" s="95">
        <f t="shared" si="5"/>
        <v>70949.961199273792</v>
      </c>
      <c r="Q48" s="196">
        <v>1</v>
      </c>
    </row>
    <row r="49" spans="1:17" x14ac:dyDescent="0.25">
      <c r="A49" s="243">
        <v>1970</v>
      </c>
      <c r="B49" s="243" t="s">
        <v>183</v>
      </c>
      <c r="C49" s="198" t="s">
        <v>218</v>
      </c>
      <c r="D49" s="111" t="s">
        <v>219</v>
      </c>
      <c r="E49" s="33">
        <f t="shared" si="1"/>
        <v>25749</v>
      </c>
      <c r="F49" s="90" t="str">
        <f t="shared" si="2"/>
        <v>Date check - OK</v>
      </c>
      <c r="H49" s="115"/>
      <c r="I49" s="26"/>
      <c r="J49" s="98">
        <f t="shared" si="3"/>
        <v>0.40416869135089106</v>
      </c>
      <c r="K49" s="36"/>
      <c r="L49" s="26">
        <v>136.6</v>
      </c>
      <c r="M49" s="26" t="s">
        <v>206</v>
      </c>
      <c r="N49" s="26">
        <v>751.94370104772986</v>
      </c>
      <c r="O49" s="93">
        <f t="shared" si="4"/>
        <v>102715.50956311989</v>
      </c>
      <c r="P49" s="95">
        <f t="shared" si="5"/>
        <v>41514.393081566101</v>
      </c>
      <c r="Q49" s="196">
        <v>1</v>
      </c>
    </row>
    <row r="50" spans="1:17" x14ac:dyDescent="0.25">
      <c r="A50" s="243">
        <v>1970</v>
      </c>
      <c r="B50" s="243" t="s">
        <v>183</v>
      </c>
      <c r="C50" s="198" t="s">
        <v>220</v>
      </c>
      <c r="D50" s="111" t="s">
        <v>221</v>
      </c>
      <c r="E50" s="33">
        <f t="shared" si="1"/>
        <v>25749</v>
      </c>
      <c r="F50" s="90" t="str">
        <f t="shared" si="2"/>
        <v>Date check - OK</v>
      </c>
      <c r="H50" s="115"/>
      <c r="I50" s="26"/>
      <c r="J50" s="98">
        <f t="shared" si="3"/>
        <v>0.40416869135089106</v>
      </c>
      <c r="K50" s="36"/>
      <c r="L50" s="26">
        <v>95</v>
      </c>
      <c r="M50" s="26" t="s">
        <v>206</v>
      </c>
      <c r="N50" s="26">
        <v>3293.2198100116411</v>
      </c>
      <c r="O50" s="93">
        <f t="shared" si="4"/>
        <v>312855.8819511059</v>
      </c>
      <c r="P50" s="95">
        <f t="shared" si="5"/>
        <v>126446.55238960733</v>
      </c>
      <c r="Q50" s="196">
        <v>1</v>
      </c>
    </row>
    <row r="51" spans="1:17" x14ac:dyDescent="0.25">
      <c r="A51" s="243">
        <v>1970</v>
      </c>
      <c r="B51" s="243" t="s">
        <v>183</v>
      </c>
      <c r="C51" s="198" t="s">
        <v>222</v>
      </c>
      <c r="D51" s="111" t="s">
        <v>223</v>
      </c>
      <c r="E51" s="33">
        <f t="shared" si="1"/>
        <v>25749</v>
      </c>
      <c r="F51" s="90" t="str">
        <f t="shared" si="2"/>
        <v>Date check - OK</v>
      </c>
      <c r="H51" s="115"/>
      <c r="I51" s="26"/>
      <c r="J51" s="98">
        <f t="shared" si="3"/>
        <v>0.40416869135089106</v>
      </c>
      <c r="K51" s="36"/>
      <c r="L51" s="26">
        <v>142</v>
      </c>
      <c r="M51" s="26" t="s">
        <v>206</v>
      </c>
      <c r="N51" s="26">
        <v>5527.8464270081495</v>
      </c>
      <c r="O51" s="93">
        <f t="shared" si="4"/>
        <v>784954.19263515726</v>
      </c>
      <c r="P51" s="95">
        <f t="shared" si="5"/>
        <v>317253.90880774677</v>
      </c>
      <c r="Q51" s="196">
        <v>1</v>
      </c>
    </row>
    <row r="52" spans="1:17" x14ac:dyDescent="0.25">
      <c r="A52" s="243">
        <v>1970</v>
      </c>
      <c r="B52" s="243" t="s">
        <v>183</v>
      </c>
      <c r="C52" s="198" t="s">
        <v>224</v>
      </c>
      <c r="D52" s="111" t="s">
        <v>225</v>
      </c>
      <c r="E52" s="33">
        <f t="shared" si="1"/>
        <v>25749</v>
      </c>
      <c r="F52" s="90" t="str">
        <f t="shared" si="2"/>
        <v>Date check - OK</v>
      </c>
      <c r="H52" s="115"/>
      <c r="I52" s="26"/>
      <c r="J52" s="98">
        <f t="shared" si="3"/>
        <v>0.40416869135089106</v>
      </c>
      <c r="K52" s="36"/>
      <c r="L52" s="26">
        <v>166</v>
      </c>
      <c r="M52" s="26" t="s">
        <v>206</v>
      </c>
      <c r="N52" s="26">
        <v>1177.6645383003492</v>
      </c>
      <c r="O52" s="93">
        <f t="shared" si="4"/>
        <v>195492.31335785799</v>
      </c>
      <c r="P52" s="95">
        <f t="shared" si="5"/>
        <v>79011.872459003789</v>
      </c>
      <c r="Q52" s="196">
        <v>1</v>
      </c>
    </row>
    <row r="53" spans="1:17" x14ac:dyDescent="0.25">
      <c r="A53" s="243">
        <v>1970</v>
      </c>
      <c r="B53" s="243" t="s">
        <v>183</v>
      </c>
      <c r="C53" s="198" t="s">
        <v>220</v>
      </c>
      <c r="D53" s="111" t="s">
        <v>226</v>
      </c>
      <c r="E53" s="33">
        <f t="shared" si="1"/>
        <v>25749</v>
      </c>
      <c r="F53" s="90" t="str">
        <f t="shared" si="2"/>
        <v>Date check - OK</v>
      </c>
      <c r="H53" s="115"/>
      <c r="I53" s="26"/>
      <c r="J53" s="98">
        <f t="shared" si="3"/>
        <v>0.40416869135089106</v>
      </c>
      <c r="K53" s="36"/>
      <c r="L53" s="26">
        <v>222</v>
      </c>
      <c r="M53" s="26" t="s">
        <v>206</v>
      </c>
      <c r="N53" s="26">
        <v>2710.9119981373692</v>
      </c>
      <c r="O53" s="93">
        <f t="shared" si="4"/>
        <v>601822.46358649596</v>
      </c>
      <c r="P53" s="95">
        <f t="shared" si="5"/>
        <v>243237.79753332335</v>
      </c>
      <c r="Q53" s="196">
        <v>1</v>
      </c>
    </row>
    <row r="54" spans="1:17" x14ac:dyDescent="0.25">
      <c r="A54" s="243">
        <v>1970</v>
      </c>
      <c r="B54" s="243" t="s">
        <v>183</v>
      </c>
      <c r="C54" s="198"/>
      <c r="D54" s="111" t="s">
        <v>226</v>
      </c>
      <c r="E54" s="33">
        <f t="shared" si="1"/>
        <v>25749</v>
      </c>
      <c r="F54" s="90" t="str">
        <f t="shared" si="2"/>
        <v>Date check - OK</v>
      </c>
      <c r="H54" s="115"/>
      <c r="I54" s="26"/>
      <c r="J54" s="98">
        <f t="shared" si="3"/>
        <v>0.40416869135089106</v>
      </c>
      <c r="K54" s="36"/>
      <c r="L54" s="26">
        <v>42</v>
      </c>
      <c r="M54" s="26" t="s">
        <v>206</v>
      </c>
      <c r="N54" s="26">
        <v>1177.6645383003492</v>
      </c>
      <c r="O54" s="93">
        <f t="shared" si="4"/>
        <v>49461.910608614671</v>
      </c>
      <c r="P54" s="95">
        <f t="shared" si="5"/>
        <v>19990.955682398548</v>
      </c>
      <c r="Q54" s="196">
        <v>1</v>
      </c>
    </row>
    <row r="55" spans="1:17" x14ac:dyDescent="0.25">
      <c r="A55" s="243">
        <v>1970</v>
      </c>
      <c r="B55" s="243" t="s">
        <v>183</v>
      </c>
      <c r="C55" s="198" t="s">
        <v>227</v>
      </c>
      <c r="D55" s="111" t="s">
        <v>228</v>
      </c>
      <c r="E55" s="33">
        <f t="shared" si="1"/>
        <v>25749</v>
      </c>
      <c r="F55" s="90" t="str">
        <f t="shared" si="2"/>
        <v>Date check - OK</v>
      </c>
      <c r="H55" s="115"/>
      <c r="I55" s="26"/>
      <c r="J55" s="98">
        <f t="shared" si="3"/>
        <v>0.40416869135089106</v>
      </c>
      <c r="K55" s="36"/>
      <c r="L55" s="26">
        <v>42</v>
      </c>
      <c r="M55" s="26" t="s">
        <v>206</v>
      </c>
      <c r="N55" s="26">
        <v>494.22763864959256</v>
      </c>
      <c r="O55" s="93">
        <f t="shared" si="4"/>
        <v>20757.560823282889</v>
      </c>
      <c r="P55" s="95">
        <f t="shared" si="5"/>
        <v>8389.55619358277</v>
      </c>
      <c r="Q55" s="196">
        <v>1</v>
      </c>
    </row>
    <row r="56" spans="1:17" x14ac:dyDescent="0.25">
      <c r="A56" s="243">
        <v>1971</v>
      </c>
      <c r="B56" s="243" t="s">
        <v>183</v>
      </c>
      <c r="C56" s="198" t="s">
        <v>229</v>
      </c>
      <c r="D56" s="111" t="s">
        <v>219</v>
      </c>
      <c r="E56" s="33">
        <f t="shared" si="1"/>
        <v>26114</v>
      </c>
      <c r="F56" s="90" t="str">
        <f t="shared" si="2"/>
        <v>Date check - OK</v>
      </c>
      <c r="H56" s="115"/>
      <c r="I56" s="26"/>
      <c r="J56" s="98">
        <f t="shared" si="3"/>
        <v>0.40416869135089106</v>
      </c>
      <c r="K56" s="36"/>
      <c r="L56" s="26">
        <v>116</v>
      </c>
      <c r="M56" s="26" t="s">
        <v>206</v>
      </c>
      <c r="N56" s="26">
        <v>624.71678416763677</v>
      </c>
      <c r="O56" s="93">
        <f t="shared" si="4"/>
        <v>72467.146963445863</v>
      </c>
      <c r="P56" s="95">
        <f t="shared" si="5"/>
        <v>14644.475977074308</v>
      </c>
      <c r="Q56" s="196">
        <v>0.5</v>
      </c>
    </row>
    <row r="57" spans="1:17" x14ac:dyDescent="0.25">
      <c r="A57" s="243">
        <v>1971</v>
      </c>
      <c r="B57" s="243" t="s">
        <v>183</v>
      </c>
      <c r="C57" s="198">
        <v>36440</v>
      </c>
      <c r="D57" s="111" t="s">
        <v>230</v>
      </c>
      <c r="E57" s="33">
        <f t="shared" si="1"/>
        <v>26114</v>
      </c>
      <c r="F57" s="90" t="str">
        <f t="shared" si="2"/>
        <v>Date check - OK</v>
      </c>
      <c r="H57" s="115"/>
      <c r="I57" s="26"/>
      <c r="J57" s="98">
        <f t="shared" si="3"/>
        <v>0.40416869135089106</v>
      </c>
      <c r="K57" s="36"/>
      <c r="L57" s="26">
        <v>11</v>
      </c>
      <c r="M57" s="26" t="s">
        <v>206</v>
      </c>
      <c r="N57" s="26">
        <v>520.32546775320145</v>
      </c>
      <c r="O57" s="93">
        <f t="shared" si="4"/>
        <v>5723.5801452852156</v>
      </c>
      <c r="P57" s="95">
        <f t="shared" si="5"/>
        <v>2313.2918971618687</v>
      </c>
      <c r="Q57" s="196">
        <v>1</v>
      </c>
    </row>
    <row r="58" spans="1:17" x14ac:dyDescent="0.25">
      <c r="A58" s="243">
        <v>1971</v>
      </c>
      <c r="B58" s="243" t="s">
        <v>183</v>
      </c>
      <c r="C58" s="198"/>
      <c r="D58" s="111" t="s">
        <v>230</v>
      </c>
      <c r="E58" s="33">
        <f t="shared" si="1"/>
        <v>26114</v>
      </c>
      <c r="F58" s="90" t="str">
        <f t="shared" si="2"/>
        <v>Date check - OK</v>
      </c>
      <c r="H58" s="115"/>
      <c r="I58" s="26"/>
      <c r="J58" s="98">
        <f t="shared" si="3"/>
        <v>0.40416869135089106</v>
      </c>
      <c r="K58" s="36"/>
      <c r="L58" s="26">
        <v>859</v>
      </c>
      <c r="M58" s="26" t="s">
        <v>206</v>
      </c>
      <c r="N58" s="26">
        <v>494.22763864959256</v>
      </c>
      <c r="O58" s="93">
        <f t="shared" si="4"/>
        <v>424541.5416</v>
      </c>
      <c r="P58" s="95">
        <f t="shared" si="5"/>
        <v>171586.39929256187</v>
      </c>
      <c r="Q58" s="196">
        <v>1</v>
      </c>
    </row>
    <row r="59" spans="1:17" x14ac:dyDescent="0.25">
      <c r="A59" s="243">
        <v>1971</v>
      </c>
      <c r="B59" s="243" t="s">
        <v>183</v>
      </c>
      <c r="C59" s="198">
        <v>36469</v>
      </c>
      <c r="D59" s="111" t="s">
        <v>231</v>
      </c>
      <c r="E59" s="33">
        <f t="shared" si="1"/>
        <v>26114</v>
      </c>
      <c r="F59" s="90" t="str">
        <f t="shared" si="2"/>
        <v>Date check - OK</v>
      </c>
      <c r="H59" s="115"/>
      <c r="I59" s="26"/>
      <c r="J59" s="98">
        <f t="shared" si="3"/>
        <v>0.40416869135089106</v>
      </c>
      <c r="K59" s="36"/>
      <c r="L59" s="26">
        <v>1183</v>
      </c>
      <c r="M59" s="26" t="s">
        <v>206</v>
      </c>
      <c r="N59" s="26">
        <v>580.67669755529687</v>
      </c>
      <c r="O59" s="93">
        <f t="shared" si="4"/>
        <v>686940.53320791619</v>
      </c>
      <c r="P59" s="95">
        <f t="shared" si="5"/>
        <v>277639.85634252679</v>
      </c>
      <c r="Q59" s="196">
        <v>1</v>
      </c>
    </row>
    <row r="60" spans="1:17" x14ac:dyDescent="0.25">
      <c r="A60" s="243">
        <v>1971</v>
      </c>
      <c r="B60" s="243" t="s">
        <v>183</v>
      </c>
      <c r="C60" s="198"/>
      <c r="D60" s="111" t="s">
        <v>231</v>
      </c>
      <c r="E60" s="33">
        <f t="shared" si="1"/>
        <v>26114</v>
      </c>
      <c r="F60" s="90" t="str">
        <f t="shared" si="2"/>
        <v>Date check - OK</v>
      </c>
      <c r="H60" s="115"/>
      <c r="I60" s="26"/>
      <c r="J60" s="98">
        <f t="shared" si="3"/>
        <v>0.40416869135089106</v>
      </c>
      <c r="K60" s="36"/>
      <c r="L60" s="26">
        <v>60</v>
      </c>
      <c r="M60" s="26" t="s">
        <v>206</v>
      </c>
      <c r="N60" s="26">
        <v>494.22763864959256</v>
      </c>
      <c r="O60" s="93">
        <f t="shared" si="4"/>
        <v>29653.658318975555</v>
      </c>
      <c r="P60" s="95">
        <f t="shared" si="5"/>
        <v>11985.080276546814</v>
      </c>
      <c r="Q60" s="196">
        <v>1</v>
      </c>
    </row>
    <row r="61" spans="1:17" x14ac:dyDescent="0.25">
      <c r="A61" s="243">
        <v>1971</v>
      </c>
      <c r="B61" s="243" t="s">
        <v>183</v>
      </c>
      <c r="C61" s="198">
        <v>36409</v>
      </c>
      <c r="D61" s="111" t="s">
        <v>232</v>
      </c>
      <c r="E61" s="33">
        <f t="shared" si="1"/>
        <v>26114</v>
      </c>
      <c r="F61" s="90" t="str">
        <f t="shared" si="2"/>
        <v>Date check - OK</v>
      </c>
      <c r="H61" s="115"/>
      <c r="I61" s="26"/>
      <c r="J61" s="98">
        <f t="shared" si="3"/>
        <v>0.40416869135089106</v>
      </c>
      <c r="K61" s="36"/>
      <c r="L61" s="26">
        <v>763</v>
      </c>
      <c r="M61" s="26" t="s">
        <v>206</v>
      </c>
      <c r="N61" s="26">
        <v>2790.8365997671713</v>
      </c>
      <c r="O61" s="93">
        <f t="shared" si="4"/>
        <v>2129408.3256223518</v>
      </c>
      <c r="P61" s="95">
        <f t="shared" si="5"/>
        <v>860640.17631847807</v>
      </c>
      <c r="Q61" s="196">
        <v>1</v>
      </c>
    </row>
    <row r="62" spans="1:17" x14ac:dyDescent="0.25">
      <c r="A62" s="243">
        <v>1971</v>
      </c>
      <c r="B62" s="243" t="s">
        <v>183</v>
      </c>
      <c r="C62" s="198"/>
      <c r="D62" s="111" t="s">
        <v>232</v>
      </c>
      <c r="E62" s="33">
        <f t="shared" si="1"/>
        <v>26114</v>
      </c>
      <c r="F62" s="90" t="str">
        <f t="shared" si="2"/>
        <v>Date check - OK</v>
      </c>
      <c r="H62" s="115"/>
      <c r="I62" s="26"/>
      <c r="J62" s="98">
        <f t="shared" si="3"/>
        <v>0.40416869135089106</v>
      </c>
      <c r="K62" s="36"/>
      <c r="L62" s="26">
        <v>576</v>
      </c>
      <c r="M62" s="26" t="s">
        <v>206</v>
      </c>
      <c r="N62" s="26">
        <v>2644.0363110593712</v>
      </c>
      <c r="O62" s="93">
        <f t="shared" si="4"/>
        <v>1522964.9151701978</v>
      </c>
      <c r="P62" s="95">
        <f t="shared" si="5"/>
        <v>615534.73673765967</v>
      </c>
      <c r="Q62" s="196">
        <v>1</v>
      </c>
    </row>
    <row r="63" spans="1:17" x14ac:dyDescent="0.25">
      <c r="A63" s="243">
        <v>1971</v>
      </c>
      <c r="B63" s="243" t="s">
        <v>183</v>
      </c>
      <c r="C63" s="198">
        <v>46039</v>
      </c>
      <c r="D63" s="111" t="s">
        <v>233</v>
      </c>
      <c r="E63" s="33">
        <f t="shared" si="1"/>
        <v>26114</v>
      </c>
      <c r="F63" s="90" t="str">
        <f t="shared" si="2"/>
        <v>Date check - OK</v>
      </c>
      <c r="H63" s="115"/>
      <c r="I63" s="26"/>
      <c r="J63" s="98">
        <f t="shared" si="3"/>
        <v>0.40416869135089106</v>
      </c>
      <c r="K63" s="36"/>
      <c r="L63" s="26">
        <v>628</v>
      </c>
      <c r="M63" s="26" t="s">
        <v>206</v>
      </c>
      <c r="N63" s="26">
        <v>1096.1088223515715</v>
      </c>
      <c r="O63" s="93">
        <f t="shared" si="4"/>
        <v>688356.34043678688</v>
      </c>
      <c r="P63" s="95">
        <f t="shared" si="5"/>
        <v>278212.08129742462</v>
      </c>
      <c r="Q63" s="196">
        <v>1</v>
      </c>
    </row>
    <row r="64" spans="1:17" x14ac:dyDescent="0.25">
      <c r="A64" s="243">
        <v>1971</v>
      </c>
      <c r="B64" s="243" t="s">
        <v>183</v>
      </c>
      <c r="C64" s="198"/>
      <c r="D64" s="111" t="s">
        <v>233</v>
      </c>
      <c r="E64" s="33">
        <f t="shared" si="1"/>
        <v>26114</v>
      </c>
      <c r="F64" s="90" t="str">
        <f t="shared" si="2"/>
        <v>Date check - OK</v>
      </c>
      <c r="H64" s="115"/>
      <c r="I64" s="26"/>
      <c r="J64" s="98">
        <f t="shared" si="3"/>
        <v>0.40416869135089106</v>
      </c>
      <c r="K64" s="36"/>
      <c r="L64" s="26">
        <v>595</v>
      </c>
      <c r="M64" s="26" t="s">
        <v>206</v>
      </c>
      <c r="N64" s="26">
        <v>751.94370104772986</v>
      </c>
      <c r="O64" s="93">
        <f t="shared" si="4"/>
        <v>447406.50212339929</v>
      </c>
      <c r="P64" s="95">
        <f t="shared" si="5"/>
        <v>180827.70046509395</v>
      </c>
      <c r="Q64" s="196">
        <v>1</v>
      </c>
    </row>
    <row r="65" spans="1:17" x14ac:dyDescent="0.25">
      <c r="A65" s="243">
        <v>1971</v>
      </c>
      <c r="B65" s="243" t="s">
        <v>183</v>
      </c>
      <c r="C65" s="198">
        <v>46542</v>
      </c>
      <c r="D65" s="111" t="s">
        <v>234</v>
      </c>
      <c r="E65" s="33">
        <f t="shared" si="1"/>
        <v>26114</v>
      </c>
      <c r="F65" s="90" t="str">
        <f t="shared" si="2"/>
        <v>Date check - OK</v>
      </c>
      <c r="H65" s="115"/>
      <c r="I65" s="26"/>
      <c r="J65" s="98">
        <f t="shared" si="3"/>
        <v>0.40416869135089106</v>
      </c>
      <c r="K65" s="36"/>
      <c r="L65" s="26">
        <v>76</v>
      </c>
      <c r="M65" s="26" t="s">
        <v>206</v>
      </c>
      <c r="N65" s="26">
        <v>567.62778300349237</v>
      </c>
      <c r="O65" s="93">
        <f t="shared" si="4"/>
        <v>43139.71150826542</v>
      </c>
      <c r="P65" s="95">
        <f t="shared" si="5"/>
        <v>17435.72074555061</v>
      </c>
      <c r="Q65" s="196">
        <v>1</v>
      </c>
    </row>
    <row r="66" spans="1:17" x14ac:dyDescent="0.25">
      <c r="A66" s="243">
        <v>1971</v>
      </c>
      <c r="B66" s="243" t="s">
        <v>183</v>
      </c>
      <c r="C66" s="198" t="s">
        <v>235</v>
      </c>
      <c r="D66" s="111" t="s">
        <v>236</v>
      </c>
      <c r="E66" s="33">
        <f t="shared" si="1"/>
        <v>26114</v>
      </c>
      <c r="F66" s="90" t="str">
        <f t="shared" si="2"/>
        <v>Date check - OK</v>
      </c>
      <c r="H66" s="115"/>
      <c r="I66" s="26"/>
      <c r="J66" s="98">
        <f t="shared" si="3"/>
        <v>0.40416869135089106</v>
      </c>
      <c r="K66" s="36"/>
      <c r="L66" s="26">
        <v>28</v>
      </c>
      <c r="M66" s="26" t="s">
        <v>206</v>
      </c>
      <c r="N66" s="26">
        <v>450.18755203725266</v>
      </c>
      <c r="O66" s="93">
        <f t="shared" si="4"/>
        <v>12605.251457043074</v>
      </c>
      <c r="P66" s="95">
        <f t="shared" si="5"/>
        <v>5094.6479855420121</v>
      </c>
      <c r="Q66" s="196">
        <v>1</v>
      </c>
    </row>
    <row r="67" spans="1:17" x14ac:dyDescent="0.25">
      <c r="A67" s="243">
        <v>1971</v>
      </c>
      <c r="B67" s="243" t="s">
        <v>183</v>
      </c>
      <c r="C67" s="198" t="s">
        <v>237</v>
      </c>
      <c r="D67" s="111" t="s">
        <v>238</v>
      </c>
      <c r="E67" s="33">
        <f t="shared" si="1"/>
        <v>26114</v>
      </c>
      <c r="F67" s="90" t="str">
        <f t="shared" si="2"/>
        <v>Date check - OK</v>
      </c>
      <c r="H67" s="115"/>
      <c r="I67" s="26"/>
      <c r="J67" s="98">
        <f t="shared" si="3"/>
        <v>0.40416869135089106</v>
      </c>
      <c r="K67" s="36"/>
      <c r="L67" s="26">
        <v>297</v>
      </c>
      <c r="M67" s="26" t="s">
        <v>206</v>
      </c>
      <c r="N67" s="26">
        <v>946.04630500582073</v>
      </c>
      <c r="O67" s="93">
        <f t="shared" si="4"/>
        <v>280975.75258672878</v>
      </c>
      <c r="P67" s="95">
        <f t="shared" si="5"/>
        <v>113561.60222430991</v>
      </c>
      <c r="Q67" s="196">
        <v>1</v>
      </c>
    </row>
    <row r="68" spans="1:17" x14ac:dyDescent="0.25">
      <c r="A68" s="243">
        <v>1971</v>
      </c>
      <c r="B68" s="243" t="s">
        <v>183</v>
      </c>
      <c r="C68" s="198" t="s">
        <v>237</v>
      </c>
      <c r="D68" s="111" t="s">
        <v>238</v>
      </c>
      <c r="E68" s="33">
        <f t="shared" si="1"/>
        <v>26114</v>
      </c>
      <c r="F68" s="90" t="str">
        <f t="shared" si="2"/>
        <v>Date check - OK</v>
      </c>
      <c r="H68" s="115"/>
      <c r="I68" s="26"/>
      <c r="J68" s="98">
        <f t="shared" si="3"/>
        <v>0.40416869135089106</v>
      </c>
      <c r="K68" s="36"/>
      <c r="L68" s="26">
        <v>45</v>
      </c>
      <c r="M68" s="26" t="s">
        <v>206</v>
      </c>
      <c r="N68" s="26">
        <v>833.49941699650753</v>
      </c>
      <c r="O68" s="93">
        <f t="shared" si="4"/>
        <v>37507.473764842842</v>
      </c>
      <c r="P68" s="95">
        <f t="shared" si="5"/>
        <v>15159.346587414411</v>
      </c>
      <c r="Q68" s="196">
        <v>1</v>
      </c>
    </row>
    <row r="69" spans="1:17" x14ac:dyDescent="0.25">
      <c r="A69" s="243">
        <v>1971</v>
      </c>
      <c r="B69" s="243" t="s">
        <v>183</v>
      </c>
      <c r="C69" s="198" t="s">
        <v>237</v>
      </c>
      <c r="D69" s="111" t="s">
        <v>238</v>
      </c>
      <c r="E69" s="33">
        <f t="shared" si="1"/>
        <v>26114</v>
      </c>
      <c r="F69" s="90" t="str">
        <f t="shared" si="2"/>
        <v>Date check - OK</v>
      </c>
      <c r="H69" s="115"/>
      <c r="I69" s="26"/>
      <c r="J69" s="98">
        <f t="shared" si="3"/>
        <v>0.40416869135089106</v>
      </c>
      <c r="K69" s="36"/>
      <c r="L69" s="26">
        <v>225</v>
      </c>
      <c r="M69" s="26" t="s">
        <v>206</v>
      </c>
      <c r="N69" s="26">
        <v>950.93964796274736</v>
      </c>
      <c r="O69" s="93">
        <f t="shared" si="4"/>
        <v>213961.42079161815</v>
      </c>
      <c r="P69" s="95">
        <f t="shared" si="5"/>
        <v>86476.507440925634</v>
      </c>
      <c r="Q69" s="196">
        <v>1</v>
      </c>
    </row>
    <row r="70" spans="1:17" x14ac:dyDescent="0.25">
      <c r="A70" s="243">
        <v>1971</v>
      </c>
      <c r="B70" s="243" t="s">
        <v>183</v>
      </c>
      <c r="C70" s="198" t="s">
        <v>237</v>
      </c>
      <c r="D70" s="111" t="s">
        <v>238</v>
      </c>
      <c r="E70" s="33">
        <f t="shared" si="1"/>
        <v>26114</v>
      </c>
      <c r="F70" s="90" t="str">
        <f t="shared" si="2"/>
        <v>Date check - OK</v>
      </c>
      <c r="H70" s="115"/>
      <c r="I70" s="26"/>
      <c r="J70" s="98">
        <f t="shared" si="3"/>
        <v>0.40416869135089106</v>
      </c>
      <c r="K70" s="36"/>
      <c r="L70" s="26">
        <v>191</v>
      </c>
      <c r="M70" s="26" t="s">
        <v>206</v>
      </c>
      <c r="N70" s="26">
        <v>1024.3397923166472</v>
      </c>
      <c r="O70" s="93">
        <f t="shared" si="4"/>
        <v>195648.90033247962</v>
      </c>
      <c r="P70" s="95">
        <f t="shared" si="5"/>
        <v>79075.160011619198</v>
      </c>
      <c r="Q70" s="196">
        <v>1</v>
      </c>
    </row>
    <row r="71" spans="1:17" x14ac:dyDescent="0.25">
      <c r="A71" s="243">
        <v>1971</v>
      </c>
      <c r="B71" s="243" t="s">
        <v>183</v>
      </c>
      <c r="C71" s="198" t="s">
        <v>237</v>
      </c>
      <c r="D71" s="111" t="s">
        <v>238</v>
      </c>
      <c r="E71" s="33">
        <f t="shared" si="1"/>
        <v>26114</v>
      </c>
      <c r="F71" s="90" t="str">
        <f t="shared" si="2"/>
        <v>Date check - OK</v>
      </c>
      <c r="H71" s="115"/>
      <c r="I71" s="26"/>
      <c r="J71" s="98">
        <f t="shared" si="3"/>
        <v>0.40416869135089106</v>
      </c>
      <c r="K71" s="36"/>
      <c r="L71" s="26">
        <v>151</v>
      </c>
      <c r="M71" s="26" t="s">
        <v>206</v>
      </c>
      <c r="N71" s="26">
        <v>709.53472875436546</v>
      </c>
      <c r="O71" s="93">
        <f t="shared" si="4"/>
        <v>107139.74404190919</v>
      </c>
      <c r="P71" s="95">
        <f t="shared" si="5"/>
        <v>43302.530141087867</v>
      </c>
      <c r="Q71" s="196">
        <v>1</v>
      </c>
    </row>
    <row r="72" spans="1:17" x14ac:dyDescent="0.25">
      <c r="A72" s="243">
        <v>1971</v>
      </c>
      <c r="B72" s="243" t="s">
        <v>183</v>
      </c>
      <c r="C72" s="198" t="s">
        <v>237</v>
      </c>
      <c r="D72" s="111" t="s">
        <v>238</v>
      </c>
      <c r="E72" s="33">
        <f t="shared" si="1"/>
        <v>26114</v>
      </c>
      <c r="F72" s="90" t="str">
        <f t="shared" si="2"/>
        <v>Date check - OK</v>
      </c>
      <c r="H72" s="115"/>
      <c r="I72" s="26"/>
      <c r="J72" s="98">
        <f t="shared" si="3"/>
        <v>0.40416869135089106</v>
      </c>
      <c r="K72" s="36"/>
      <c r="L72" s="26">
        <v>37</v>
      </c>
      <c r="M72" s="26" t="s">
        <v>206</v>
      </c>
      <c r="N72" s="26">
        <v>639.39681303841667</v>
      </c>
      <c r="O72" s="93">
        <f t="shared" si="4"/>
        <v>23657.682082421416</v>
      </c>
      <c r="P72" s="95">
        <f t="shared" si="5"/>
        <v>9561.6944076476866</v>
      </c>
      <c r="Q72" s="196">
        <v>1</v>
      </c>
    </row>
    <row r="73" spans="1:17" x14ac:dyDescent="0.25">
      <c r="A73" s="243">
        <v>1971</v>
      </c>
      <c r="B73" s="243" t="s">
        <v>183</v>
      </c>
      <c r="C73" s="198" t="s">
        <v>237</v>
      </c>
      <c r="D73" s="111" t="s">
        <v>238</v>
      </c>
      <c r="E73" s="33">
        <f t="shared" si="1"/>
        <v>26114</v>
      </c>
      <c r="F73" s="90" t="str">
        <f t="shared" si="2"/>
        <v>Date check - OK</v>
      </c>
      <c r="H73" s="115"/>
      <c r="I73" s="26"/>
      <c r="J73" s="98">
        <f t="shared" si="3"/>
        <v>0.40416869135089106</v>
      </c>
      <c r="K73" s="36"/>
      <c r="L73" s="26">
        <v>141</v>
      </c>
      <c r="M73" s="26" t="s">
        <v>206</v>
      </c>
      <c r="N73" s="26">
        <v>685.06801396973219</v>
      </c>
      <c r="O73" s="93">
        <f t="shared" si="4"/>
        <v>96594.589969732246</v>
      </c>
      <c r="P73" s="95">
        <f t="shared" si="5"/>
        <v>39040.509019642588</v>
      </c>
      <c r="Q73" s="196">
        <v>1</v>
      </c>
    </row>
    <row r="74" spans="1:17" x14ac:dyDescent="0.25">
      <c r="A74" s="243">
        <v>1971</v>
      </c>
      <c r="B74" s="243" t="s">
        <v>183</v>
      </c>
      <c r="C74" s="198" t="s">
        <v>239</v>
      </c>
      <c r="D74" s="111" t="s">
        <v>240</v>
      </c>
      <c r="E74" s="33">
        <f t="shared" si="1"/>
        <v>26114</v>
      </c>
      <c r="F74" s="90" t="str">
        <f t="shared" si="2"/>
        <v>Date check - OK</v>
      </c>
      <c r="H74" s="115"/>
      <c r="I74" s="26"/>
      <c r="J74" s="98">
        <f t="shared" si="3"/>
        <v>0.40416869135089106</v>
      </c>
      <c r="K74" s="36"/>
      <c r="L74" s="26">
        <v>14</v>
      </c>
      <c r="M74" s="26" t="s">
        <v>206</v>
      </c>
      <c r="N74" s="26">
        <v>567.62778300349237</v>
      </c>
      <c r="O74" s="93">
        <f t="shared" si="4"/>
        <v>7946.7889620488932</v>
      </c>
      <c r="P74" s="95">
        <f t="shared" si="5"/>
        <v>3211.8432952330072</v>
      </c>
      <c r="Q74" s="196">
        <v>1</v>
      </c>
    </row>
    <row r="75" spans="1:17" x14ac:dyDescent="0.25">
      <c r="A75" s="243">
        <v>1971</v>
      </c>
      <c r="B75" s="243" t="s">
        <v>183</v>
      </c>
      <c r="C75" s="198" t="s">
        <v>241</v>
      </c>
      <c r="D75" s="111" t="s">
        <v>242</v>
      </c>
      <c r="E75" s="33">
        <f t="shared" si="1"/>
        <v>26114</v>
      </c>
      <c r="F75" s="90" t="str">
        <f t="shared" si="2"/>
        <v>Date check - OK</v>
      </c>
      <c r="H75" s="115"/>
      <c r="I75" s="26"/>
      <c r="J75" s="98">
        <f t="shared" si="3"/>
        <v>0.40416869135089106</v>
      </c>
      <c r="K75" s="36"/>
      <c r="L75" s="26">
        <v>31</v>
      </c>
      <c r="M75" s="26" t="s">
        <v>206</v>
      </c>
      <c r="N75" s="26">
        <v>1861.1014379511059</v>
      </c>
      <c r="O75" s="93">
        <f t="shared" si="4"/>
        <v>57694.144576484287</v>
      </c>
      <c r="P75" s="95">
        <f t="shared" si="5"/>
        <v>23318.166912086763</v>
      </c>
      <c r="Q75" s="196">
        <v>1</v>
      </c>
    </row>
    <row r="76" spans="1:17" x14ac:dyDescent="0.25">
      <c r="A76" s="243">
        <v>1971</v>
      </c>
      <c r="B76" s="243" t="s">
        <v>183</v>
      </c>
      <c r="C76" s="198" t="s">
        <v>243</v>
      </c>
      <c r="D76" s="111" t="s">
        <v>244</v>
      </c>
      <c r="E76" s="33">
        <f t="shared" si="1"/>
        <v>26114</v>
      </c>
      <c r="F76" s="90" t="str">
        <f t="shared" si="2"/>
        <v>Date check - OK</v>
      </c>
      <c r="H76" s="115"/>
      <c r="I76" s="26"/>
      <c r="J76" s="98">
        <f t="shared" si="3"/>
        <v>0.40416869135089106</v>
      </c>
      <c r="K76" s="36"/>
      <c r="L76" s="26">
        <v>97</v>
      </c>
      <c r="M76" s="26" t="s">
        <v>206</v>
      </c>
      <c r="N76" s="26">
        <v>494.22763864959256</v>
      </c>
      <c r="O76" s="93">
        <f t="shared" si="4"/>
        <v>47940.08094901048</v>
      </c>
      <c r="P76" s="95">
        <f t="shared" si="5"/>
        <v>19375.879780417348</v>
      </c>
      <c r="Q76" s="196">
        <v>1</v>
      </c>
    </row>
    <row r="77" spans="1:17" x14ac:dyDescent="0.25">
      <c r="A77" s="243">
        <v>1971</v>
      </c>
      <c r="B77" s="243" t="s">
        <v>183</v>
      </c>
      <c r="C77" s="198" t="s">
        <v>245</v>
      </c>
      <c r="D77" s="111" t="s">
        <v>246</v>
      </c>
      <c r="E77" s="33">
        <f t="shared" si="1"/>
        <v>26114</v>
      </c>
      <c r="F77" s="90" t="str">
        <f t="shared" si="2"/>
        <v>Date check - OK</v>
      </c>
      <c r="H77" s="115"/>
      <c r="I77" s="26"/>
      <c r="J77" s="98">
        <f t="shared" si="3"/>
        <v>0.40416869135089106</v>
      </c>
      <c r="K77" s="36"/>
      <c r="L77" s="26">
        <v>55</v>
      </c>
      <c r="M77" s="26" t="s">
        <v>206</v>
      </c>
      <c r="N77" s="26">
        <v>624.71678416763677</v>
      </c>
      <c r="O77" s="93">
        <f t="shared" si="4"/>
        <v>34359.42312922002</v>
      </c>
      <c r="P77" s="95">
        <f t="shared" si="5"/>
        <v>13887.003081708393</v>
      </c>
      <c r="Q77" s="196">
        <v>1</v>
      </c>
    </row>
    <row r="78" spans="1:17" x14ac:dyDescent="0.25">
      <c r="A78" s="243">
        <v>1972</v>
      </c>
      <c r="B78" s="243" t="s">
        <v>183</v>
      </c>
      <c r="C78" s="198" t="s">
        <v>247</v>
      </c>
      <c r="D78" s="111" t="s">
        <v>248</v>
      </c>
      <c r="E78" s="33">
        <f t="shared" si="1"/>
        <v>26480</v>
      </c>
      <c r="F78" s="90" t="str">
        <f t="shared" si="2"/>
        <v>Date check - OK</v>
      </c>
      <c r="H78" s="115"/>
      <c r="I78" s="26"/>
      <c r="J78" s="98">
        <f t="shared" si="3"/>
        <v>0.40416869135089106</v>
      </c>
      <c r="K78" s="36"/>
      <c r="L78" s="26">
        <v>294.52</v>
      </c>
      <c r="M78" s="26" t="s">
        <v>206</v>
      </c>
      <c r="N78" s="26">
        <v>1176.2830865968137</v>
      </c>
      <c r="O78" s="93">
        <f t="shared" si="4"/>
        <v>346438.89466449356</v>
      </c>
      <c r="P78" s="95">
        <f t="shared" si="5"/>
        <v>140019.75468959755</v>
      </c>
      <c r="Q78" s="196">
        <v>1</v>
      </c>
    </row>
    <row r="79" spans="1:17" x14ac:dyDescent="0.25">
      <c r="A79" s="243">
        <v>1972</v>
      </c>
      <c r="B79" s="243" t="s">
        <v>183</v>
      </c>
      <c r="C79" s="198" t="s">
        <v>247</v>
      </c>
      <c r="D79" s="111" t="s">
        <v>248</v>
      </c>
      <c r="E79" s="33">
        <f t="shared" si="1"/>
        <v>26480</v>
      </c>
      <c r="F79" s="90" t="str">
        <f t="shared" si="2"/>
        <v>Date check - OK</v>
      </c>
      <c r="H79" s="115"/>
      <c r="I79" s="26"/>
      <c r="J79" s="98">
        <f t="shared" si="3"/>
        <v>0.40416869135089106</v>
      </c>
      <c r="K79" s="36"/>
      <c r="L79" s="26">
        <v>327.77</v>
      </c>
      <c r="M79" s="26" t="s">
        <v>206</v>
      </c>
      <c r="N79" s="26">
        <v>1179.0482758221917</v>
      </c>
      <c r="O79" s="93">
        <f t="shared" si="4"/>
        <v>386456.65336623974</v>
      </c>
      <c r="P79" s="95">
        <f t="shared" si="5"/>
        <v>156193.67985487805</v>
      </c>
      <c r="Q79" s="196">
        <v>1</v>
      </c>
    </row>
    <row r="80" spans="1:17" x14ac:dyDescent="0.25">
      <c r="A80" s="243">
        <v>1972</v>
      </c>
      <c r="B80" s="243" t="s">
        <v>183</v>
      </c>
      <c r="C80" s="198" t="s">
        <v>249</v>
      </c>
      <c r="D80" s="111" t="s">
        <v>250</v>
      </c>
      <c r="E80" s="33">
        <f t="shared" si="1"/>
        <v>26480</v>
      </c>
      <c r="F80" s="90" t="str">
        <f t="shared" si="2"/>
        <v>Date check - OK</v>
      </c>
      <c r="H80" s="115"/>
      <c r="I80" s="26"/>
      <c r="J80" s="98">
        <f t="shared" si="3"/>
        <v>0.40416869135089106</v>
      </c>
      <c r="K80" s="36"/>
      <c r="L80" s="26">
        <v>111.271</v>
      </c>
      <c r="M80" s="26" t="s">
        <v>206</v>
      </c>
      <c r="N80" s="26">
        <v>4628.9544113303837</v>
      </c>
      <c r="O80" s="93">
        <f t="shared" si="4"/>
        <v>515068.38630314311</v>
      </c>
      <c r="P80" s="95">
        <f t="shared" si="5"/>
        <v>208174.51564835658</v>
      </c>
      <c r="Q80" s="196">
        <v>1</v>
      </c>
    </row>
    <row r="81" spans="1:17" x14ac:dyDescent="0.25">
      <c r="A81" s="243">
        <v>1972</v>
      </c>
      <c r="B81" s="243" t="s">
        <v>183</v>
      </c>
      <c r="C81" s="198" t="s">
        <v>249</v>
      </c>
      <c r="D81" s="111" t="s">
        <v>250</v>
      </c>
      <c r="E81" s="33">
        <f t="shared" si="1"/>
        <v>26480</v>
      </c>
      <c r="F81" s="90" t="str">
        <f t="shared" si="2"/>
        <v>Date check - OK</v>
      </c>
      <c r="H81" s="115"/>
      <c r="I81" s="26"/>
      <c r="J81" s="98">
        <f t="shared" si="3"/>
        <v>0.40416869135089106</v>
      </c>
      <c r="K81" s="36"/>
      <c r="L81" s="26">
        <v>2.641</v>
      </c>
      <c r="M81" s="26" t="s">
        <v>206</v>
      </c>
      <c r="N81" s="26">
        <v>13266.931725071508</v>
      </c>
      <c r="O81" s="93">
        <f t="shared" si="4"/>
        <v>35037.966685913852</v>
      </c>
      <c r="P81" s="95">
        <f t="shared" si="5"/>
        <v>14161.24914304192</v>
      </c>
      <c r="Q81" s="196">
        <v>1</v>
      </c>
    </row>
    <row r="82" spans="1:17" x14ac:dyDescent="0.25">
      <c r="A82" s="243">
        <v>1972</v>
      </c>
      <c r="B82" s="243" t="s">
        <v>183</v>
      </c>
      <c r="C82" s="198" t="s">
        <v>249</v>
      </c>
      <c r="D82" s="111" t="s">
        <v>250</v>
      </c>
      <c r="E82" s="33">
        <f t="shared" si="1"/>
        <v>26480</v>
      </c>
      <c r="F82" s="90" t="str">
        <f t="shared" si="2"/>
        <v>Date check - OK</v>
      </c>
      <c r="H82" s="115"/>
      <c r="I82" s="26"/>
      <c r="J82" s="98">
        <f t="shared" si="3"/>
        <v>0.40416869135089106</v>
      </c>
      <c r="K82" s="36"/>
      <c r="L82" s="26">
        <v>625</v>
      </c>
      <c r="M82" s="26" t="s">
        <v>206</v>
      </c>
      <c r="N82" s="26">
        <v>5132.4695356542952</v>
      </c>
      <c r="O82" s="93">
        <f t="shared" si="4"/>
        <v>3207793.4597839345</v>
      </c>
      <c r="P82" s="95">
        <f t="shared" si="5"/>
        <v>1296489.6847648199</v>
      </c>
      <c r="Q82" s="196">
        <v>1</v>
      </c>
    </row>
    <row r="83" spans="1:17" x14ac:dyDescent="0.25">
      <c r="A83" s="243">
        <v>1972</v>
      </c>
      <c r="B83" s="243" t="s">
        <v>183</v>
      </c>
      <c r="C83" s="198">
        <v>36542</v>
      </c>
      <c r="D83" s="111" t="s">
        <v>251</v>
      </c>
      <c r="E83" s="33">
        <f t="shared" si="1"/>
        <v>26480</v>
      </c>
      <c r="F83" s="90" t="str">
        <f t="shared" si="2"/>
        <v>Date check - OK</v>
      </c>
      <c r="H83" s="115"/>
      <c r="I83" s="26"/>
      <c r="J83" s="98">
        <f t="shared" si="3"/>
        <v>0.40416869135089106</v>
      </c>
      <c r="K83" s="36"/>
      <c r="L83" s="26">
        <v>189</v>
      </c>
      <c r="M83" s="26" t="s">
        <v>206</v>
      </c>
      <c r="N83" s="26">
        <v>1074.9043362048894</v>
      </c>
      <c r="O83" s="93">
        <f t="shared" si="4"/>
        <v>203156.91954272409</v>
      </c>
      <c r="P83" s="95">
        <f t="shared" si="5"/>
        <v>82109.666310461063</v>
      </c>
      <c r="Q83" s="196">
        <v>1</v>
      </c>
    </row>
    <row r="84" spans="1:17" x14ac:dyDescent="0.25">
      <c r="A84" s="243">
        <v>1972</v>
      </c>
      <c r="B84" s="243" t="s">
        <v>183</v>
      </c>
      <c r="C84" s="198"/>
      <c r="D84" s="111" t="s">
        <v>251</v>
      </c>
      <c r="E84" s="33">
        <f t="shared" si="1"/>
        <v>26480</v>
      </c>
      <c r="F84" s="90" t="str">
        <f t="shared" si="2"/>
        <v>Date check - OK</v>
      </c>
      <c r="H84" s="115"/>
      <c r="I84" s="26"/>
      <c r="J84" s="98">
        <f t="shared" si="3"/>
        <v>0.40416869135089106</v>
      </c>
      <c r="K84" s="36"/>
      <c r="L84" s="26">
        <v>567</v>
      </c>
      <c r="M84" s="26" t="s">
        <v>206</v>
      </c>
      <c r="N84" s="26">
        <v>520.32546775320145</v>
      </c>
      <c r="O84" s="93">
        <f t="shared" si="4"/>
        <v>295024.54021606524</v>
      </c>
      <c r="P84" s="95">
        <f t="shared" si="5"/>
        <v>119239.68233552542</v>
      </c>
      <c r="Q84" s="196">
        <v>1</v>
      </c>
    </row>
    <row r="85" spans="1:17" x14ac:dyDescent="0.25">
      <c r="A85" s="243">
        <v>1972</v>
      </c>
      <c r="B85" s="243" t="s">
        <v>183</v>
      </c>
      <c r="C85" s="198" t="s">
        <v>252</v>
      </c>
      <c r="D85" s="111" t="s">
        <v>253</v>
      </c>
      <c r="E85" s="33">
        <f t="shared" si="1"/>
        <v>26480</v>
      </c>
      <c r="F85" s="90" t="str">
        <f t="shared" si="2"/>
        <v>Date check - OK</v>
      </c>
      <c r="H85" s="115"/>
      <c r="I85" s="26"/>
      <c r="J85" s="98">
        <f t="shared" si="3"/>
        <v>0.40416869135089106</v>
      </c>
      <c r="K85" s="36"/>
      <c r="L85" s="26">
        <v>875</v>
      </c>
      <c r="M85" s="26" t="s">
        <v>206</v>
      </c>
      <c r="N85" s="26">
        <v>580.67669755529687</v>
      </c>
      <c r="O85" s="93">
        <f t="shared" si="4"/>
        <v>508092.11036088475</v>
      </c>
      <c r="P85" s="95">
        <f t="shared" si="5"/>
        <v>205354.9233302713</v>
      </c>
      <c r="Q85" s="196">
        <v>1</v>
      </c>
    </row>
    <row r="86" spans="1:17" x14ac:dyDescent="0.25">
      <c r="A86" s="243">
        <v>1972</v>
      </c>
      <c r="B86" s="243" t="s">
        <v>183</v>
      </c>
      <c r="C86" s="198">
        <v>36556</v>
      </c>
      <c r="D86" s="111" t="s">
        <v>254</v>
      </c>
      <c r="E86" s="33">
        <f t="shared" si="1"/>
        <v>26480</v>
      </c>
      <c r="F86" s="90" t="str">
        <f t="shared" si="2"/>
        <v>Date check - OK</v>
      </c>
      <c r="H86" s="115"/>
      <c r="I86" s="26"/>
      <c r="J86" s="98">
        <f t="shared" si="3"/>
        <v>0.40416869135089106</v>
      </c>
      <c r="K86" s="36"/>
      <c r="L86" s="26">
        <v>552</v>
      </c>
      <c r="M86" s="26" t="s">
        <v>206</v>
      </c>
      <c r="N86" s="26">
        <v>2644.0363110593712</v>
      </c>
      <c r="O86" s="93">
        <f t="shared" si="4"/>
        <v>1459508.0437047728</v>
      </c>
      <c r="P86" s="95">
        <f t="shared" si="5"/>
        <v>589887.45604025712</v>
      </c>
      <c r="Q86" s="196">
        <v>1</v>
      </c>
    </row>
    <row r="87" spans="1:17" x14ac:dyDescent="0.25">
      <c r="A87" s="243">
        <v>1972</v>
      </c>
      <c r="B87" s="243" t="s">
        <v>183</v>
      </c>
      <c r="C87" s="198">
        <v>36476</v>
      </c>
      <c r="D87" s="111" t="s">
        <v>255</v>
      </c>
      <c r="E87" s="33">
        <f t="shared" ref="E87:E150" si="6">DATEVALUE("30 Jun "&amp;A87)</f>
        <v>26480</v>
      </c>
      <c r="F87" s="90" t="str">
        <f t="shared" ref="F87:F150" si="7">IF(E87="","-",IF(OR(E87&lt;$E$15,E87&gt;$E$16),"ERROR - date outside of range","Date check - OK"))</f>
        <v>Date check - OK</v>
      </c>
      <c r="H87" s="115"/>
      <c r="I87" s="26"/>
      <c r="J87" s="98">
        <f t="shared" si="3"/>
        <v>0.40416869135089106</v>
      </c>
      <c r="K87" s="36"/>
      <c r="L87" s="26">
        <v>566</v>
      </c>
      <c r="M87" s="26" t="s">
        <v>206</v>
      </c>
      <c r="N87" s="26">
        <v>1528.354116880093</v>
      </c>
      <c r="O87" s="93">
        <f t="shared" si="4"/>
        <v>865048.43015413266</v>
      </c>
      <c r="P87" s="95">
        <f t="shared" si="5"/>
        <v>349625.49197053851</v>
      </c>
      <c r="Q87" s="196">
        <v>1</v>
      </c>
    </row>
    <row r="88" spans="1:17" x14ac:dyDescent="0.25">
      <c r="A88" s="243">
        <v>1972</v>
      </c>
      <c r="B88" s="243" t="s">
        <v>183</v>
      </c>
      <c r="C88" s="198"/>
      <c r="D88" s="111" t="s">
        <v>255</v>
      </c>
      <c r="E88" s="33">
        <f t="shared" si="6"/>
        <v>26480</v>
      </c>
      <c r="F88" s="90" t="str">
        <f t="shared" si="7"/>
        <v>Date check - OK</v>
      </c>
      <c r="H88" s="115"/>
      <c r="I88" s="26"/>
      <c r="J88" s="98">
        <f t="shared" ref="J88:J151" si="8">J87</f>
        <v>0.40416869135089106</v>
      </c>
      <c r="K88" s="36"/>
      <c r="L88" s="26">
        <v>446</v>
      </c>
      <c r="M88" s="26" t="s">
        <v>206</v>
      </c>
      <c r="N88" s="26">
        <v>1456.5850868451687</v>
      </c>
      <c r="O88" s="93">
        <f t="shared" ref="O88:O151" si="9">IF(N88="","-",L88*N88)</f>
        <v>649636.94873294525</v>
      </c>
      <c r="P88" s="95">
        <f t="shared" ref="P88:P151" si="10">IF(O88="-","-",IF(OR(E88&lt;$E$15,E88&gt;$E$16),0,O88*J88))*Q88</f>
        <v>262562.91542258038</v>
      </c>
      <c r="Q88" s="196">
        <v>1</v>
      </c>
    </row>
    <row r="89" spans="1:17" x14ac:dyDescent="0.25">
      <c r="A89" s="243">
        <v>1972</v>
      </c>
      <c r="B89" s="243" t="s">
        <v>183</v>
      </c>
      <c r="C89" s="198"/>
      <c r="D89" s="111" t="s">
        <v>255</v>
      </c>
      <c r="E89" s="33">
        <f t="shared" si="6"/>
        <v>26480</v>
      </c>
      <c r="F89" s="90" t="str">
        <f t="shared" si="7"/>
        <v>Date check - OK</v>
      </c>
      <c r="H89" s="115"/>
      <c r="I89" s="26"/>
      <c r="J89" s="98">
        <f t="shared" si="8"/>
        <v>0.40416869135089106</v>
      </c>
      <c r="K89" s="36"/>
      <c r="L89" s="26">
        <v>214</v>
      </c>
      <c r="M89" s="26" t="s">
        <v>206</v>
      </c>
      <c r="N89" s="26">
        <v>833.49941699650753</v>
      </c>
      <c r="O89" s="93">
        <f t="shared" si="9"/>
        <v>178368.87523725262</v>
      </c>
      <c r="P89" s="95">
        <f t="shared" si="10"/>
        <v>72091.114882370748</v>
      </c>
      <c r="Q89" s="196">
        <v>1</v>
      </c>
    </row>
    <row r="90" spans="1:17" x14ac:dyDescent="0.25">
      <c r="A90" s="243">
        <v>1972</v>
      </c>
      <c r="B90" s="243" t="s">
        <v>183</v>
      </c>
      <c r="C90" s="198">
        <v>36499</v>
      </c>
      <c r="D90" s="111" t="s">
        <v>256</v>
      </c>
      <c r="E90" s="33">
        <f t="shared" si="6"/>
        <v>26480</v>
      </c>
      <c r="F90" s="90" t="str">
        <f t="shared" si="7"/>
        <v>Date check - OK</v>
      </c>
      <c r="H90" s="115"/>
      <c r="I90" s="26"/>
      <c r="J90" s="98">
        <f t="shared" si="8"/>
        <v>0.40416869135089106</v>
      </c>
      <c r="K90" s="36"/>
      <c r="L90" s="26">
        <v>435</v>
      </c>
      <c r="M90" s="26" t="s">
        <v>206</v>
      </c>
      <c r="N90" s="26">
        <v>1008.0286491268917</v>
      </c>
      <c r="O90" s="93">
        <f t="shared" si="9"/>
        <v>438492.46237019787</v>
      </c>
      <c r="P90" s="95">
        <f t="shared" si="10"/>
        <v>177224.92468339272</v>
      </c>
      <c r="Q90" s="196">
        <v>1</v>
      </c>
    </row>
    <row r="91" spans="1:17" x14ac:dyDescent="0.25">
      <c r="A91" s="243">
        <v>1972</v>
      </c>
      <c r="B91" s="243" t="s">
        <v>183</v>
      </c>
      <c r="C91" s="198"/>
      <c r="D91" s="111" t="s">
        <v>256</v>
      </c>
      <c r="E91" s="33">
        <f t="shared" si="6"/>
        <v>26480</v>
      </c>
      <c r="F91" s="90" t="str">
        <f t="shared" si="7"/>
        <v>Date check - OK</v>
      </c>
      <c r="H91" s="115"/>
      <c r="I91" s="26"/>
      <c r="J91" s="98">
        <f t="shared" si="8"/>
        <v>0.40416869135089106</v>
      </c>
      <c r="K91" s="36"/>
      <c r="L91" s="26">
        <v>57</v>
      </c>
      <c r="M91" s="26" t="s">
        <v>206</v>
      </c>
      <c r="N91" s="26">
        <v>946.04630500582073</v>
      </c>
      <c r="O91" s="93">
        <f t="shared" si="9"/>
        <v>53924.639385331779</v>
      </c>
      <c r="P91" s="95">
        <f t="shared" si="10"/>
        <v>21794.650931938264</v>
      </c>
      <c r="Q91" s="196">
        <v>1</v>
      </c>
    </row>
    <row r="92" spans="1:17" x14ac:dyDescent="0.25">
      <c r="A92" s="243">
        <v>1972</v>
      </c>
      <c r="B92" s="243" t="s">
        <v>183</v>
      </c>
      <c r="C92" s="198"/>
      <c r="D92" s="111" t="s">
        <v>256</v>
      </c>
      <c r="E92" s="33">
        <f t="shared" si="6"/>
        <v>26480</v>
      </c>
      <c r="F92" s="90" t="str">
        <f t="shared" si="7"/>
        <v>Date check - OK</v>
      </c>
      <c r="H92" s="115"/>
      <c r="I92" s="26"/>
      <c r="J92" s="98">
        <f t="shared" si="8"/>
        <v>0.40416869135089106</v>
      </c>
      <c r="K92" s="36"/>
      <c r="L92" s="26">
        <v>167</v>
      </c>
      <c r="M92" s="26" t="s">
        <v>206</v>
      </c>
      <c r="N92" s="26">
        <v>833.49941699650753</v>
      </c>
      <c r="O92" s="93">
        <f t="shared" si="9"/>
        <v>139194.40263841677</v>
      </c>
      <c r="P92" s="95">
        <f t="shared" si="10"/>
        <v>56258.01955773792</v>
      </c>
      <c r="Q92" s="196">
        <v>1</v>
      </c>
    </row>
    <row r="93" spans="1:17" x14ac:dyDescent="0.25">
      <c r="A93" s="243">
        <v>1972</v>
      </c>
      <c r="B93" s="243" t="s">
        <v>183</v>
      </c>
      <c r="C93" s="198">
        <v>36581</v>
      </c>
      <c r="D93" s="111" t="s">
        <v>257</v>
      </c>
      <c r="E93" s="33">
        <f t="shared" si="6"/>
        <v>26480</v>
      </c>
      <c r="F93" s="90" t="str">
        <f t="shared" si="7"/>
        <v>Date check - OK</v>
      </c>
      <c r="H93" s="115"/>
      <c r="I93" s="26"/>
      <c r="J93" s="98">
        <f t="shared" si="8"/>
        <v>0.40416869135089106</v>
      </c>
      <c r="K93" s="36"/>
      <c r="L93" s="26">
        <v>566</v>
      </c>
      <c r="M93" s="26" t="s">
        <v>206</v>
      </c>
      <c r="N93" s="26">
        <v>520.32546775320145</v>
      </c>
      <c r="O93" s="93">
        <f t="shared" si="9"/>
        <v>294504.21474831202</v>
      </c>
      <c r="P93" s="95">
        <f t="shared" si="10"/>
        <v>119029.38307214706</v>
      </c>
      <c r="Q93" s="196">
        <v>1</v>
      </c>
    </row>
    <row r="94" spans="1:17" x14ac:dyDescent="0.25">
      <c r="A94" s="243">
        <v>1972</v>
      </c>
      <c r="B94" s="243" t="s">
        <v>183</v>
      </c>
      <c r="C94" s="198"/>
      <c r="D94" s="111" t="s">
        <v>257</v>
      </c>
      <c r="E94" s="33">
        <f t="shared" si="6"/>
        <v>26480</v>
      </c>
      <c r="F94" s="90" t="str">
        <f t="shared" si="7"/>
        <v>Date check - OK</v>
      </c>
      <c r="H94" s="115"/>
      <c r="I94" s="26"/>
      <c r="J94" s="98">
        <f t="shared" si="8"/>
        <v>0.40416869135089106</v>
      </c>
      <c r="K94" s="36"/>
      <c r="L94" s="26">
        <v>37</v>
      </c>
      <c r="M94" s="26" t="s">
        <v>206</v>
      </c>
      <c r="N94" s="26">
        <v>468.12980954598368</v>
      </c>
      <c r="O94" s="93">
        <f t="shared" si="9"/>
        <v>17320.802953201397</v>
      </c>
      <c r="P94" s="95">
        <f t="shared" si="10"/>
        <v>7000.526262742058</v>
      </c>
      <c r="Q94" s="196">
        <v>1</v>
      </c>
    </row>
    <row r="95" spans="1:17" x14ac:dyDescent="0.25">
      <c r="A95" s="243">
        <v>1972</v>
      </c>
      <c r="B95" s="243" t="s">
        <v>183</v>
      </c>
      <c r="C95" s="198"/>
      <c r="D95" s="111" t="s">
        <v>257</v>
      </c>
      <c r="E95" s="33">
        <f t="shared" si="6"/>
        <v>26480</v>
      </c>
      <c r="F95" s="90" t="str">
        <f t="shared" si="7"/>
        <v>Date check - OK</v>
      </c>
      <c r="H95" s="115"/>
      <c r="I95" s="26"/>
      <c r="J95" s="98">
        <f t="shared" si="8"/>
        <v>0.40416869135089106</v>
      </c>
      <c r="K95" s="36"/>
      <c r="L95" s="26">
        <v>58</v>
      </c>
      <c r="M95" s="26" t="s">
        <v>206</v>
      </c>
      <c r="N95" s="26">
        <v>450.18755203725266</v>
      </c>
      <c r="O95" s="93">
        <f t="shared" si="9"/>
        <v>26110.878018160653</v>
      </c>
      <c r="P95" s="95">
        <f t="shared" si="10"/>
        <v>10553.199398622739</v>
      </c>
      <c r="Q95" s="196">
        <v>1</v>
      </c>
    </row>
    <row r="96" spans="1:17" x14ac:dyDescent="0.25">
      <c r="A96" s="243">
        <v>1972</v>
      </c>
      <c r="B96" s="243" t="s">
        <v>183</v>
      </c>
      <c r="C96" s="198">
        <v>46344</v>
      </c>
      <c r="D96" s="111" t="s">
        <v>258</v>
      </c>
      <c r="E96" s="33">
        <f t="shared" si="6"/>
        <v>26480</v>
      </c>
      <c r="F96" s="90" t="str">
        <f t="shared" si="7"/>
        <v>Date check - OK</v>
      </c>
      <c r="H96" s="115"/>
      <c r="I96" s="26"/>
      <c r="J96" s="98">
        <f t="shared" si="8"/>
        <v>0.40416869135089106</v>
      </c>
      <c r="K96" s="36"/>
      <c r="L96" s="26">
        <v>684</v>
      </c>
      <c r="M96" s="26" t="s">
        <v>206</v>
      </c>
      <c r="N96" s="26">
        <v>1306.5225694994178</v>
      </c>
      <c r="O96" s="93">
        <f t="shared" si="9"/>
        <v>893661.4375376018</v>
      </c>
      <c r="P96" s="95">
        <f t="shared" si="10"/>
        <v>361189.97372032859</v>
      </c>
      <c r="Q96" s="196">
        <v>1</v>
      </c>
    </row>
    <row r="97" spans="1:17" x14ac:dyDescent="0.25">
      <c r="A97" s="243">
        <v>1972</v>
      </c>
      <c r="B97" s="243" t="s">
        <v>183</v>
      </c>
      <c r="C97" s="198"/>
      <c r="D97" s="111" t="s">
        <v>258</v>
      </c>
      <c r="E97" s="33">
        <f t="shared" si="6"/>
        <v>26480</v>
      </c>
      <c r="F97" s="90" t="str">
        <f t="shared" si="7"/>
        <v>Date check - OK</v>
      </c>
      <c r="H97" s="115"/>
      <c r="I97" s="26"/>
      <c r="J97" s="98">
        <f t="shared" si="8"/>
        <v>0.40416869135089106</v>
      </c>
      <c r="K97" s="36"/>
      <c r="L97" s="26">
        <v>812</v>
      </c>
      <c r="M97" s="26" t="s">
        <v>206</v>
      </c>
      <c r="N97" s="26">
        <v>1224.9668535506403</v>
      </c>
      <c r="O97" s="93">
        <f t="shared" si="9"/>
        <v>994673.08508311992</v>
      </c>
      <c r="P97" s="95">
        <f t="shared" si="10"/>
        <v>402015.7191199981</v>
      </c>
      <c r="Q97" s="196">
        <v>1</v>
      </c>
    </row>
    <row r="98" spans="1:17" x14ac:dyDescent="0.25">
      <c r="A98" s="243">
        <v>1972</v>
      </c>
      <c r="B98" s="243" t="s">
        <v>183</v>
      </c>
      <c r="C98" s="198"/>
      <c r="D98" s="111" t="s">
        <v>258</v>
      </c>
      <c r="E98" s="33">
        <f t="shared" si="6"/>
        <v>26480</v>
      </c>
      <c r="F98" s="90" t="str">
        <f t="shared" si="7"/>
        <v>Date check - OK</v>
      </c>
      <c r="H98" s="115"/>
      <c r="I98" s="26"/>
      <c r="J98" s="98">
        <f t="shared" si="8"/>
        <v>0.40416869135089106</v>
      </c>
      <c r="K98" s="36"/>
      <c r="L98" s="26">
        <v>224</v>
      </c>
      <c r="M98" s="26" t="s">
        <v>206</v>
      </c>
      <c r="N98" s="26">
        <v>833.49941699650753</v>
      </c>
      <c r="O98" s="93">
        <f t="shared" si="9"/>
        <v>186703.86940721769</v>
      </c>
      <c r="P98" s="95">
        <f t="shared" si="10"/>
        <v>75459.858568462834</v>
      </c>
      <c r="Q98" s="196">
        <v>1</v>
      </c>
    </row>
    <row r="99" spans="1:17" x14ac:dyDescent="0.25">
      <c r="A99" s="243">
        <v>1972</v>
      </c>
      <c r="B99" s="243" t="s">
        <v>183</v>
      </c>
      <c r="C99" s="198"/>
      <c r="D99" s="111" t="s">
        <v>258</v>
      </c>
      <c r="E99" s="33">
        <f t="shared" si="6"/>
        <v>26480</v>
      </c>
      <c r="F99" s="90" t="str">
        <f t="shared" si="7"/>
        <v>Date check - OK</v>
      </c>
      <c r="H99" s="115"/>
      <c r="I99" s="26"/>
      <c r="J99" s="98">
        <f t="shared" si="8"/>
        <v>0.40416869135089106</v>
      </c>
      <c r="K99" s="36"/>
      <c r="L99" s="26">
        <v>438</v>
      </c>
      <c r="M99" s="26" t="s">
        <v>206</v>
      </c>
      <c r="N99" s="26">
        <v>567.62778300349237</v>
      </c>
      <c r="O99" s="93">
        <f t="shared" si="9"/>
        <v>248620.96895552965</v>
      </c>
      <c r="P99" s="95">
        <f t="shared" si="10"/>
        <v>100484.81166514693</v>
      </c>
      <c r="Q99" s="196">
        <v>1</v>
      </c>
    </row>
    <row r="100" spans="1:17" x14ac:dyDescent="0.25">
      <c r="A100" s="243">
        <v>1972</v>
      </c>
      <c r="B100" s="243" t="s">
        <v>183</v>
      </c>
      <c r="C100" s="198">
        <v>46667</v>
      </c>
      <c r="D100" s="111" t="s">
        <v>259</v>
      </c>
      <c r="E100" s="33">
        <f t="shared" si="6"/>
        <v>26480</v>
      </c>
      <c r="F100" s="90" t="str">
        <f t="shared" si="7"/>
        <v>Date check - OK</v>
      </c>
      <c r="H100" s="115"/>
      <c r="I100" s="26"/>
      <c r="J100" s="98">
        <f t="shared" si="8"/>
        <v>0.40416869135089106</v>
      </c>
      <c r="K100" s="36"/>
      <c r="L100" s="26">
        <v>96</v>
      </c>
      <c r="M100" s="26" t="s">
        <v>206</v>
      </c>
      <c r="N100" s="26">
        <v>520.32546775320145</v>
      </c>
      <c r="O100" s="93">
        <f t="shared" si="9"/>
        <v>49951.244904307343</v>
      </c>
      <c r="P100" s="95">
        <f t="shared" si="10"/>
        <v>20188.729284321766</v>
      </c>
      <c r="Q100" s="196">
        <v>1</v>
      </c>
    </row>
    <row r="101" spans="1:17" x14ac:dyDescent="0.25">
      <c r="A101" s="243">
        <v>1972</v>
      </c>
      <c r="B101" s="243" t="s">
        <v>183</v>
      </c>
      <c r="C101" s="198"/>
      <c r="D101" s="111" t="s">
        <v>259</v>
      </c>
      <c r="E101" s="33">
        <f t="shared" si="6"/>
        <v>26480</v>
      </c>
      <c r="F101" s="90" t="str">
        <f t="shared" si="7"/>
        <v>Date check - OK</v>
      </c>
      <c r="H101" s="115"/>
      <c r="I101" s="26"/>
      <c r="J101" s="98">
        <f t="shared" si="8"/>
        <v>0.40416869135089106</v>
      </c>
      <c r="K101" s="36"/>
      <c r="L101" s="26">
        <v>237</v>
      </c>
      <c r="M101" s="26" t="s">
        <v>206</v>
      </c>
      <c r="N101" s="26">
        <v>567.62778300349237</v>
      </c>
      <c r="O101" s="93">
        <f t="shared" si="9"/>
        <v>134527.78457182768</v>
      </c>
      <c r="P101" s="95">
        <f t="shared" si="10"/>
        <v>54371.91864073019</v>
      </c>
      <c r="Q101" s="196">
        <v>1</v>
      </c>
    </row>
    <row r="102" spans="1:17" x14ac:dyDescent="0.25">
      <c r="A102" s="243">
        <v>1972</v>
      </c>
      <c r="B102" s="243" t="s">
        <v>183</v>
      </c>
      <c r="C102" s="198">
        <v>46877</v>
      </c>
      <c r="D102" s="111" t="s">
        <v>260</v>
      </c>
      <c r="E102" s="33">
        <f t="shared" si="6"/>
        <v>26480</v>
      </c>
      <c r="F102" s="90" t="str">
        <f t="shared" si="7"/>
        <v>Date check - OK</v>
      </c>
      <c r="H102" s="115"/>
      <c r="I102" s="26"/>
      <c r="J102" s="98">
        <f t="shared" si="8"/>
        <v>0.40416869135089106</v>
      </c>
      <c r="K102" s="36"/>
      <c r="L102" s="26">
        <v>494</v>
      </c>
      <c r="M102" s="26" t="s">
        <v>206</v>
      </c>
      <c r="N102" s="26">
        <v>494.22763864959256</v>
      </c>
      <c r="O102" s="93">
        <f t="shared" si="9"/>
        <v>244148.45349289873</v>
      </c>
      <c r="P102" s="95">
        <f t="shared" si="10"/>
        <v>98677.160943568771</v>
      </c>
      <c r="Q102" s="196">
        <v>1</v>
      </c>
    </row>
    <row r="103" spans="1:17" x14ac:dyDescent="0.25">
      <c r="A103" s="243">
        <v>1972</v>
      </c>
      <c r="B103" s="243" t="s">
        <v>183</v>
      </c>
      <c r="C103" s="198">
        <v>46878</v>
      </c>
      <c r="D103" s="111" t="s">
        <v>261</v>
      </c>
      <c r="E103" s="33">
        <f t="shared" si="6"/>
        <v>26480</v>
      </c>
      <c r="F103" s="90" t="str">
        <f t="shared" si="7"/>
        <v>Date check - OK</v>
      </c>
      <c r="H103" s="115"/>
      <c r="I103" s="26"/>
      <c r="J103" s="98">
        <f t="shared" si="8"/>
        <v>0.40416869135089106</v>
      </c>
      <c r="K103" s="36"/>
      <c r="L103" s="26">
        <v>407</v>
      </c>
      <c r="M103" s="26" t="s">
        <v>206</v>
      </c>
      <c r="N103" s="26">
        <v>567.62778300349237</v>
      </c>
      <c r="O103" s="93">
        <f t="shared" si="9"/>
        <v>231024.50768242139</v>
      </c>
      <c r="P103" s="95">
        <f t="shared" si="10"/>
        <v>93372.872939988127</v>
      </c>
      <c r="Q103" s="196">
        <v>1</v>
      </c>
    </row>
    <row r="104" spans="1:17" x14ac:dyDescent="0.25">
      <c r="A104" s="243">
        <v>1972</v>
      </c>
      <c r="B104" s="243" t="s">
        <v>183</v>
      </c>
      <c r="C104" s="198">
        <v>47051</v>
      </c>
      <c r="D104" s="111" t="s">
        <v>262</v>
      </c>
      <c r="E104" s="33">
        <f t="shared" si="6"/>
        <v>26480</v>
      </c>
      <c r="F104" s="90" t="str">
        <f t="shared" si="7"/>
        <v>Date check - OK</v>
      </c>
      <c r="H104" s="115"/>
      <c r="I104" s="26"/>
      <c r="J104" s="98">
        <f t="shared" si="8"/>
        <v>0.40416869135089106</v>
      </c>
      <c r="K104" s="36"/>
      <c r="L104" s="26">
        <v>19</v>
      </c>
      <c r="M104" s="26" t="s">
        <v>206</v>
      </c>
      <c r="N104" s="26">
        <v>624.71678416763677</v>
      </c>
      <c r="O104" s="93">
        <f t="shared" si="9"/>
        <v>11869.6188991851</v>
      </c>
      <c r="P104" s="95">
        <f t="shared" si="10"/>
        <v>4797.3283373174454</v>
      </c>
      <c r="Q104" s="196">
        <v>1</v>
      </c>
    </row>
    <row r="105" spans="1:17" x14ac:dyDescent="0.25">
      <c r="A105" s="243">
        <v>1972</v>
      </c>
      <c r="B105" s="243" t="s">
        <v>183</v>
      </c>
      <c r="C105" s="198">
        <v>36580</v>
      </c>
      <c r="D105" s="111" t="s">
        <v>263</v>
      </c>
      <c r="E105" s="33">
        <f t="shared" si="6"/>
        <v>26480</v>
      </c>
      <c r="F105" s="90" t="str">
        <f t="shared" si="7"/>
        <v>Date check - OK</v>
      </c>
      <c r="H105" s="115"/>
      <c r="I105" s="26"/>
      <c r="J105" s="98">
        <f t="shared" si="8"/>
        <v>0.40416869135089106</v>
      </c>
      <c r="K105" s="36"/>
      <c r="L105" s="26">
        <v>596</v>
      </c>
      <c r="M105" s="26" t="s">
        <v>206</v>
      </c>
      <c r="N105" s="26">
        <v>1234.7535394644935</v>
      </c>
      <c r="O105" s="93">
        <f t="shared" si="9"/>
        <v>735913.10952083813</v>
      </c>
      <c r="P105" s="95">
        <f t="shared" si="10"/>
        <v>297433.03842300212</v>
      </c>
      <c r="Q105" s="196">
        <v>1</v>
      </c>
    </row>
    <row r="106" spans="1:17" x14ac:dyDescent="0.25">
      <c r="A106" s="243">
        <v>1972</v>
      </c>
      <c r="B106" s="243" t="s">
        <v>183</v>
      </c>
      <c r="C106" s="198" t="s">
        <v>264</v>
      </c>
      <c r="D106" s="111" t="s">
        <v>240</v>
      </c>
      <c r="E106" s="33">
        <f t="shared" si="6"/>
        <v>26480</v>
      </c>
      <c r="F106" s="90" t="str">
        <f t="shared" si="7"/>
        <v>Date check - OK</v>
      </c>
      <c r="H106" s="115"/>
      <c r="I106" s="26"/>
      <c r="J106" s="98">
        <f t="shared" si="8"/>
        <v>0.40416869135089106</v>
      </c>
      <c r="K106" s="36"/>
      <c r="L106" s="26">
        <v>22</v>
      </c>
      <c r="M106" s="26" t="s">
        <v>206</v>
      </c>
      <c r="N106" s="26">
        <v>567.62778300349237</v>
      </c>
      <c r="O106" s="93">
        <f t="shared" si="9"/>
        <v>12487.811226076832</v>
      </c>
      <c r="P106" s="95">
        <f t="shared" si="10"/>
        <v>5047.1823210804396</v>
      </c>
      <c r="Q106" s="196">
        <v>1</v>
      </c>
    </row>
    <row r="107" spans="1:17" x14ac:dyDescent="0.25">
      <c r="A107" s="243">
        <v>1972</v>
      </c>
      <c r="B107" s="243" t="s">
        <v>183</v>
      </c>
      <c r="C107" s="198" t="s">
        <v>265</v>
      </c>
      <c r="D107" s="111" t="s">
        <v>240</v>
      </c>
      <c r="E107" s="33">
        <f t="shared" si="6"/>
        <v>26480</v>
      </c>
      <c r="F107" s="90" t="str">
        <f t="shared" si="7"/>
        <v>Date check - OK</v>
      </c>
      <c r="H107" s="115"/>
      <c r="I107" s="26"/>
      <c r="J107" s="98">
        <f t="shared" si="8"/>
        <v>0.40416869135089106</v>
      </c>
      <c r="K107" s="36"/>
      <c r="L107" s="26">
        <v>4</v>
      </c>
      <c r="M107" s="26" t="s">
        <v>206</v>
      </c>
      <c r="N107" s="26">
        <v>567.62778300349237</v>
      </c>
      <c r="O107" s="93">
        <f t="shared" si="9"/>
        <v>2270.5111320139695</v>
      </c>
      <c r="P107" s="95">
        <f t="shared" si="10"/>
        <v>917.6695129237163</v>
      </c>
      <c r="Q107" s="196">
        <v>1</v>
      </c>
    </row>
    <row r="108" spans="1:17" x14ac:dyDescent="0.25">
      <c r="A108" s="243">
        <v>1972</v>
      </c>
      <c r="B108" s="243" t="s">
        <v>183</v>
      </c>
      <c r="C108" s="198" t="s">
        <v>266</v>
      </c>
      <c r="D108" s="111" t="s">
        <v>240</v>
      </c>
      <c r="E108" s="33">
        <f t="shared" si="6"/>
        <v>26480</v>
      </c>
      <c r="F108" s="90" t="str">
        <f t="shared" si="7"/>
        <v>Date check - OK</v>
      </c>
      <c r="H108" s="115"/>
      <c r="I108" s="26"/>
      <c r="J108" s="98">
        <f t="shared" si="8"/>
        <v>0.40416869135089106</v>
      </c>
      <c r="K108" s="36"/>
      <c r="L108" s="26">
        <v>28.8</v>
      </c>
      <c r="M108" s="26" t="s">
        <v>206</v>
      </c>
      <c r="N108" s="26">
        <v>3032.2415189755529</v>
      </c>
      <c r="O108" s="93">
        <f t="shared" si="9"/>
        <v>87328.555746495927</v>
      </c>
      <c r="P108" s="95">
        <f t="shared" si="10"/>
        <v>35295.468093624593</v>
      </c>
      <c r="Q108" s="196">
        <v>1</v>
      </c>
    </row>
    <row r="109" spans="1:17" x14ac:dyDescent="0.25">
      <c r="A109" s="243">
        <v>1972</v>
      </c>
      <c r="B109" s="243" t="s">
        <v>183</v>
      </c>
      <c r="C109" s="198" t="s">
        <v>266</v>
      </c>
      <c r="D109" s="111" t="s">
        <v>240</v>
      </c>
      <c r="E109" s="33">
        <f t="shared" si="6"/>
        <v>26480</v>
      </c>
      <c r="F109" s="90" t="str">
        <f t="shared" si="7"/>
        <v>Date check - OK</v>
      </c>
      <c r="H109" s="115"/>
      <c r="I109" s="26"/>
      <c r="J109" s="98">
        <f t="shared" si="8"/>
        <v>0.40416869135089106</v>
      </c>
      <c r="K109" s="36"/>
      <c r="L109" s="26">
        <v>612.1</v>
      </c>
      <c r="M109" s="26" t="s">
        <v>206</v>
      </c>
      <c r="N109" s="26">
        <v>2926.2190882421423</v>
      </c>
      <c r="O109" s="93">
        <f t="shared" si="9"/>
        <v>1791138.7039130153</v>
      </c>
      <c r="P109" s="95">
        <f t="shared" si="10"/>
        <v>723922.1859884545</v>
      </c>
      <c r="Q109" s="196">
        <v>1</v>
      </c>
    </row>
    <row r="110" spans="1:17" x14ac:dyDescent="0.25">
      <c r="A110" s="243">
        <v>1972</v>
      </c>
      <c r="B110" s="243" t="s">
        <v>183</v>
      </c>
      <c r="C110" s="198" t="s">
        <v>267</v>
      </c>
      <c r="D110" s="111" t="s">
        <v>268</v>
      </c>
      <c r="E110" s="33">
        <f t="shared" si="6"/>
        <v>26480</v>
      </c>
      <c r="F110" s="90" t="str">
        <f t="shared" si="7"/>
        <v>Date check - OK</v>
      </c>
      <c r="H110" s="115"/>
      <c r="I110" s="26"/>
      <c r="J110" s="98">
        <f t="shared" si="8"/>
        <v>0.40416869135089106</v>
      </c>
      <c r="K110" s="36"/>
      <c r="L110" s="26">
        <v>29.9</v>
      </c>
      <c r="M110" s="26" t="s">
        <v>206</v>
      </c>
      <c r="N110" s="26">
        <v>833.49941699650753</v>
      </c>
      <c r="O110" s="93">
        <f t="shared" si="9"/>
        <v>24921.632568195575</v>
      </c>
      <c r="P110" s="95">
        <f t="shared" si="10"/>
        <v>10072.543621415352</v>
      </c>
      <c r="Q110" s="196">
        <v>1</v>
      </c>
    </row>
    <row r="111" spans="1:17" x14ac:dyDescent="0.25">
      <c r="A111" s="243">
        <v>1972</v>
      </c>
      <c r="B111" s="243" t="s">
        <v>183</v>
      </c>
      <c r="C111" s="198" t="s">
        <v>267</v>
      </c>
      <c r="D111" s="111" t="s">
        <v>269</v>
      </c>
      <c r="E111" s="33">
        <f t="shared" si="6"/>
        <v>26480</v>
      </c>
      <c r="F111" s="90" t="str">
        <f t="shared" si="7"/>
        <v>Date check - OK</v>
      </c>
      <c r="H111" s="115"/>
      <c r="I111" s="26"/>
      <c r="J111" s="98">
        <f t="shared" si="8"/>
        <v>0.40416869135089106</v>
      </c>
      <c r="K111" s="36"/>
      <c r="L111" s="26">
        <v>40.4</v>
      </c>
      <c r="M111" s="26" t="s">
        <v>206</v>
      </c>
      <c r="N111" s="26">
        <v>833.49941699650753</v>
      </c>
      <c r="O111" s="93">
        <f t="shared" si="9"/>
        <v>33673.376446658905</v>
      </c>
      <c r="P111" s="95">
        <f t="shared" si="10"/>
        <v>13609.724491812049</v>
      </c>
      <c r="Q111" s="196">
        <v>1</v>
      </c>
    </row>
    <row r="112" spans="1:17" x14ac:dyDescent="0.25">
      <c r="A112" s="243">
        <v>1972</v>
      </c>
      <c r="B112" s="243" t="s">
        <v>183</v>
      </c>
      <c r="C112" s="198" t="s">
        <v>267</v>
      </c>
      <c r="D112" s="111" t="s">
        <v>270</v>
      </c>
      <c r="E112" s="33">
        <f t="shared" si="6"/>
        <v>26480</v>
      </c>
      <c r="F112" s="90" t="str">
        <f t="shared" si="7"/>
        <v>Date check - OK</v>
      </c>
      <c r="H112" s="115"/>
      <c r="I112" s="26"/>
      <c r="J112" s="98">
        <f t="shared" si="8"/>
        <v>0.40416869135089106</v>
      </c>
      <c r="K112" s="36"/>
      <c r="L112" s="26">
        <v>175.2</v>
      </c>
      <c r="M112" s="26" t="s">
        <v>206</v>
      </c>
      <c r="N112" s="26">
        <v>520.32546775320145</v>
      </c>
      <c r="O112" s="93">
        <f t="shared" si="9"/>
        <v>91161.021950360882</v>
      </c>
      <c r="P112" s="95">
        <f t="shared" si="10"/>
        <v>36844.430943887215</v>
      </c>
      <c r="Q112" s="196">
        <v>1</v>
      </c>
    </row>
    <row r="113" spans="1:17" x14ac:dyDescent="0.25">
      <c r="A113" s="243">
        <v>1972</v>
      </c>
      <c r="B113" s="243" t="s">
        <v>183</v>
      </c>
      <c r="C113" s="198" t="s">
        <v>271</v>
      </c>
      <c r="D113" s="111" t="s">
        <v>272</v>
      </c>
      <c r="E113" s="33">
        <f t="shared" si="6"/>
        <v>26480</v>
      </c>
      <c r="F113" s="90" t="str">
        <f t="shared" si="7"/>
        <v>Date check - OK</v>
      </c>
      <c r="H113" s="115"/>
      <c r="I113" s="26"/>
      <c r="J113" s="98">
        <f t="shared" si="8"/>
        <v>0.40416869135089106</v>
      </c>
      <c r="K113" s="36"/>
      <c r="L113" s="26">
        <v>231.7</v>
      </c>
      <c r="M113" s="26" t="s">
        <v>206</v>
      </c>
      <c r="N113" s="26">
        <v>2050.3106989522698</v>
      </c>
      <c r="O113" s="93">
        <f t="shared" si="9"/>
        <v>475056.98894724087</v>
      </c>
      <c r="P113" s="95">
        <f t="shared" si="10"/>
        <v>192003.16153990105</v>
      </c>
      <c r="Q113" s="196">
        <v>1</v>
      </c>
    </row>
    <row r="114" spans="1:17" x14ac:dyDescent="0.25">
      <c r="A114" s="243">
        <v>1972</v>
      </c>
      <c r="B114" s="243" t="s">
        <v>183</v>
      </c>
      <c r="C114" s="198" t="s">
        <v>271</v>
      </c>
      <c r="D114" s="111" t="s">
        <v>272</v>
      </c>
      <c r="E114" s="33">
        <f t="shared" si="6"/>
        <v>26480</v>
      </c>
      <c r="F114" s="90" t="str">
        <f t="shared" si="7"/>
        <v>Date check - OK</v>
      </c>
      <c r="H114" s="115"/>
      <c r="I114" s="26"/>
      <c r="J114" s="98">
        <f t="shared" si="8"/>
        <v>0.40416869135089106</v>
      </c>
      <c r="K114" s="36"/>
      <c r="L114" s="26">
        <v>352.9</v>
      </c>
      <c r="M114" s="26" t="s">
        <v>206</v>
      </c>
      <c r="N114" s="26">
        <v>1528.354116880093</v>
      </c>
      <c r="O114" s="93">
        <f t="shared" si="9"/>
        <v>539356.16784698481</v>
      </c>
      <c r="P114" s="95">
        <f t="shared" si="10"/>
        <v>217990.8765307474</v>
      </c>
      <c r="Q114" s="196">
        <v>1</v>
      </c>
    </row>
    <row r="115" spans="1:17" x14ac:dyDescent="0.25">
      <c r="A115" s="243">
        <v>1972</v>
      </c>
      <c r="B115" s="243" t="s">
        <v>183</v>
      </c>
      <c r="C115" s="198" t="s">
        <v>273</v>
      </c>
      <c r="D115" s="111" t="s">
        <v>274</v>
      </c>
      <c r="E115" s="33">
        <f t="shared" si="6"/>
        <v>26480</v>
      </c>
      <c r="F115" s="90" t="str">
        <f t="shared" si="7"/>
        <v>Date check - OK</v>
      </c>
      <c r="H115" s="115"/>
      <c r="I115" s="26"/>
      <c r="J115" s="98">
        <f t="shared" si="8"/>
        <v>0.40416869135089106</v>
      </c>
      <c r="K115" s="36"/>
      <c r="L115" s="26">
        <v>70.599999999999994</v>
      </c>
      <c r="M115" s="26" t="s">
        <v>206</v>
      </c>
      <c r="N115" s="26">
        <v>580.67669755529687</v>
      </c>
      <c r="O115" s="93">
        <f t="shared" si="9"/>
        <v>40995.774847403954</v>
      </c>
      <c r="P115" s="95">
        <f t="shared" si="10"/>
        <v>16569.208670991033</v>
      </c>
      <c r="Q115" s="196">
        <v>1</v>
      </c>
    </row>
    <row r="116" spans="1:17" x14ac:dyDescent="0.25">
      <c r="A116" s="243">
        <v>1972</v>
      </c>
      <c r="B116" s="243" t="s">
        <v>183</v>
      </c>
      <c r="C116" s="198" t="s">
        <v>273</v>
      </c>
      <c r="D116" s="111" t="s">
        <v>274</v>
      </c>
      <c r="E116" s="33">
        <f t="shared" si="6"/>
        <v>26480</v>
      </c>
      <c r="F116" s="90" t="str">
        <f t="shared" si="7"/>
        <v>Date check - OK</v>
      </c>
      <c r="H116" s="115"/>
      <c r="I116" s="26"/>
      <c r="J116" s="98">
        <f t="shared" si="8"/>
        <v>0.40416869135089106</v>
      </c>
      <c r="K116" s="36"/>
      <c r="L116" s="26">
        <v>337.6</v>
      </c>
      <c r="M116" s="26" t="s">
        <v>206</v>
      </c>
      <c r="N116" s="26">
        <v>567.62778300349237</v>
      </c>
      <c r="O116" s="93">
        <f t="shared" si="9"/>
        <v>191631.13954197904</v>
      </c>
      <c r="P116" s="95">
        <f t="shared" si="10"/>
        <v>77451.306890761654</v>
      </c>
      <c r="Q116" s="196">
        <v>1</v>
      </c>
    </row>
    <row r="117" spans="1:17" x14ac:dyDescent="0.25">
      <c r="A117" s="243">
        <v>1972</v>
      </c>
      <c r="B117" s="243" t="s">
        <v>183</v>
      </c>
      <c r="C117" s="198" t="s">
        <v>273</v>
      </c>
      <c r="D117" s="111" t="s">
        <v>274</v>
      </c>
      <c r="E117" s="33">
        <f t="shared" si="6"/>
        <v>26480</v>
      </c>
      <c r="F117" s="90" t="str">
        <f t="shared" si="7"/>
        <v>Date check - OK</v>
      </c>
      <c r="H117" s="115"/>
      <c r="I117" s="26"/>
      <c r="J117" s="98">
        <f t="shared" si="8"/>
        <v>0.40416869135089106</v>
      </c>
      <c r="K117" s="36"/>
      <c r="L117" s="26">
        <v>186.9</v>
      </c>
      <c r="M117" s="26" t="s">
        <v>206</v>
      </c>
      <c r="N117" s="26">
        <v>580.67669755529687</v>
      </c>
      <c r="O117" s="93">
        <f t="shared" si="9"/>
        <v>108528.47477308499</v>
      </c>
      <c r="P117" s="95">
        <f t="shared" si="10"/>
        <v>43863.811623345959</v>
      </c>
      <c r="Q117" s="196">
        <v>1</v>
      </c>
    </row>
    <row r="118" spans="1:17" x14ac:dyDescent="0.25">
      <c r="A118" s="243">
        <v>1972</v>
      </c>
      <c r="B118" s="243" t="s">
        <v>183</v>
      </c>
      <c r="C118" s="198" t="s">
        <v>273</v>
      </c>
      <c r="D118" s="111" t="s">
        <v>274</v>
      </c>
      <c r="E118" s="33">
        <f t="shared" si="6"/>
        <v>26480</v>
      </c>
      <c r="F118" s="90" t="str">
        <f t="shared" si="7"/>
        <v>Date check - OK</v>
      </c>
      <c r="H118" s="115"/>
      <c r="I118" s="26"/>
      <c r="J118" s="98">
        <f t="shared" si="8"/>
        <v>0.40416869135089106</v>
      </c>
      <c r="K118" s="36"/>
      <c r="L118" s="26">
        <v>164.2</v>
      </c>
      <c r="M118" s="26" t="s">
        <v>206</v>
      </c>
      <c r="N118" s="26">
        <v>624.71678416763677</v>
      </c>
      <c r="O118" s="93">
        <f t="shared" si="9"/>
        <v>102578.49596032595</v>
      </c>
      <c r="P118" s="95">
        <f t="shared" si="10"/>
        <v>41459.016473027601</v>
      </c>
      <c r="Q118" s="196">
        <v>1</v>
      </c>
    </row>
    <row r="119" spans="1:17" x14ac:dyDescent="0.25">
      <c r="A119" s="243">
        <v>1972</v>
      </c>
      <c r="B119" s="243" t="s">
        <v>183</v>
      </c>
      <c r="C119" s="198" t="s">
        <v>275</v>
      </c>
      <c r="D119" s="111" t="s">
        <v>276</v>
      </c>
      <c r="E119" s="33">
        <f t="shared" si="6"/>
        <v>26480</v>
      </c>
      <c r="F119" s="90" t="str">
        <f t="shared" si="7"/>
        <v>Date check - OK</v>
      </c>
      <c r="H119" s="115"/>
      <c r="I119" s="26"/>
      <c r="J119" s="98">
        <f t="shared" si="8"/>
        <v>0.40416869135089106</v>
      </c>
      <c r="K119" s="36"/>
      <c r="L119" s="26">
        <v>49</v>
      </c>
      <c r="M119" s="26" t="s">
        <v>206</v>
      </c>
      <c r="N119" s="26">
        <v>751.94370104772986</v>
      </c>
      <c r="O119" s="93">
        <f t="shared" si="9"/>
        <v>36845.241351338766</v>
      </c>
      <c r="P119" s="95">
        <f t="shared" si="10"/>
        <v>14891.692979478326</v>
      </c>
      <c r="Q119" s="196">
        <v>1</v>
      </c>
    </row>
    <row r="120" spans="1:17" x14ac:dyDescent="0.25">
      <c r="A120" s="243">
        <v>1972</v>
      </c>
      <c r="B120" s="243" t="s">
        <v>183</v>
      </c>
      <c r="C120" s="198" t="s">
        <v>275</v>
      </c>
      <c r="D120" s="111" t="s">
        <v>276</v>
      </c>
      <c r="E120" s="33">
        <f t="shared" si="6"/>
        <v>26480</v>
      </c>
      <c r="F120" s="90" t="str">
        <f t="shared" si="7"/>
        <v>Date check - OK</v>
      </c>
      <c r="H120" s="115"/>
      <c r="I120" s="26"/>
      <c r="J120" s="98">
        <f t="shared" si="8"/>
        <v>0.40416869135089106</v>
      </c>
      <c r="K120" s="36"/>
      <c r="L120" s="26">
        <v>18.3</v>
      </c>
      <c r="M120" s="26" t="s">
        <v>206</v>
      </c>
      <c r="N120" s="26">
        <v>624.71678416763677</v>
      </c>
      <c r="O120" s="93">
        <f t="shared" si="9"/>
        <v>11432.317150267754</v>
      </c>
      <c r="P120" s="95">
        <f t="shared" si="10"/>
        <v>4620.5846617320667</v>
      </c>
      <c r="Q120" s="196">
        <v>1</v>
      </c>
    </row>
    <row r="121" spans="1:17" x14ac:dyDescent="0.25">
      <c r="A121" s="243">
        <v>1972</v>
      </c>
      <c r="B121" s="243" t="s">
        <v>183</v>
      </c>
      <c r="C121" s="198" t="s">
        <v>277</v>
      </c>
      <c r="D121" s="111" t="s">
        <v>278</v>
      </c>
      <c r="E121" s="33">
        <f t="shared" si="6"/>
        <v>26480</v>
      </c>
      <c r="F121" s="90" t="str">
        <f t="shared" si="7"/>
        <v>Date check - OK</v>
      </c>
      <c r="H121" s="115"/>
      <c r="I121" s="26"/>
      <c r="J121" s="98">
        <f t="shared" si="8"/>
        <v>0.40416869135089106</v>
      </c>
      <c r="K121" s="36"/>
      <c r="L121" s="26">
        <v>62.4</v>
      </c>
      <c r="M121" s="26" t="s">
        <v>206</v>
      </c>
      <c r="N121" s="26">
        <v>624.71678416763677</v>
      </c>
      <c r="O121" s="93">
        <f t="shared" si="9"/>
        <v>38982.327332060537</v>
      </c>
      <c r="P121" s="95">
        <f t="shared" si="10"/>
        <v>15755.436223610979</v>
      </c>
      <c r="Q121" s="196">
        <v>1</v>
      </c>
    </row>
    <row r="122" spans="1:17" x14ac:dyDescent="0.25">
      <c r="A122" s="243">
        <v>1972</v>
      </c>
      <c r="B122" s="243" t="s">
        <v>183</v>
      </c>
      <c r="C122" s="198" t="s">
        <v>279</v>
      </c>
      <c r="D122" s="111" t="s">
        <v>280</v>
      </c>
      <c r="E122" s="33">
        <f t="shared" si="6"/>
        <v>26480</v>
      </c>
      <c r="F122" s="90" t="str">
        <f t="shared" si="7"/>
        <v>Date check - OK</v>
      </c>
      <c r="H122" s="115"/>
      <c r="I122" s="26"/>
      <c r="J122" s="98">
        <f t="shared" si="8"/>
        <v>0.40416869135089106</v>
      </c>
      <c r="K122" s="36"/>
      <c r="L122" s="26">
        <v>141</v>
      </c>
      <c r="M122" s="26" t="s">
        <v>206</v>
      </c>
      <c r="N122" s="26">
        <v>624.71678416763677</v>
      </c>
      <c r="O122" s="93">
        <f t="shared" si="9"/>
        <v>88085.066567636779</v>
      </c>
      <c r="P122" s="95">
        <f t="shared" si="10"/>
        <v>35601.226082197885</v>
      </c>
      <c r="Q122" s="196">
        <v>1</v>
      </c>
    </row>
    <row r="123" spans="1:17" x14ac:dyDescent="0.25">
      <c r="A123" s="243">
        <v>1972</v>
      </c>
      <c r="B123" s="243" t="s">
        <v>183</v>
      </c>
      <c r="C123" s="198" t="s">
        <v>281</v>
      </c>
      <c r="D123" s="111" t="s">
        <v>282</v>
      </c>
      <c r="E123" s="33">
        <f t="shared" si="6"/>
        <v>26480</v>
      </c>
      <c r="F123" s="90" t="str">
        <f t="shared" si="7"/>
        <v>Date check - OK</v>
      </c>
      <c r="H123" s="115"/>
      <c r="I123" s="26"/>
      <c r="J123" s="98">
        <f t="shared" si="8"/>
        <v>0.40416869135089106</v>
      </c>
      <c r="K123" s="36"/>
      <c r="L123" s="26">
        <v>43</v>
      </c>
      <c r="M123" s="26" t="s">
        <v>206</v>
      </c>
      <c r="N123" s="26">
        <v>751.94370104772986</v>
      </c>
      <c r="O123" s="93">
        <f t="shared" si="9"/>
        <v>32333.579145052383</v>
      </c>
      <c r="P123" s="95">
        <f t="shared" si="10"/>
        <v>13068.220369746285</v>
      </c>
      <c r="Q123" s="196">
        <v>1</v>
      </c>
    </row>
    <row r="124" spans="1:17" x14ac:dyDescent="0.25">
      <c r="A124" s="243">
        <v>1972</v>
      </c>
      <c r="B124" s="243" t="s">
        <v>183</v>
      </c>
      <c r="C124" s="198" t="s">
        <v>283</v>
      </c>
      <c r="D124" s="111" t="s">
        <v>284</v>
      </c>
      <c r="E124" s="33">
        <f t="shared" si="6"/>
        <v>26480</v>
      </c>
      <c r="F124" s="90" t="str">
        <f t="shared" si="7"/>
        <v>Date check - OK</v>
      </c>
      <c r="H124" s="115"/>
      <c r="I124" s="26"/>
      <c r="J124" s="98">
        <f t="shared" si="8"/>
        <v>0.40416869135089106</v>
      </c>
      <c r="K124" s="36"/>
      <c r="L124" s="26">
        <v>52</v>
      </c>
      <c r="M124" s="26" t="s">
        <v>206</v>
      </c>
      <c r="N124" s="26">
        <v>624.71678416763677</v>
      </c>
      <c r="O124" s="93">
        <f t="shared" si="9"/>
        <v>32485.272776717113</v>
      </c>
      <c r="P124" s="95">
        <f t="shared" si="10"/>
        <v>13129.530186342483</v>
      </c>
      <c r="Q124" s="196">
        <v>1</v>
      </c>
    </row>
    <row r="125" spans="1:17" x14ac:dyDescent="0.25">
      <c r="A125" s="243">
        <v>1973</v>
      </c>
      <c r="B125" s="243" t="s">
        <v>183</v>
      </c>
      <c r="C125" s="198" t="s">
        <v>247</v>
      </c>
      <c r="D125" s="111" t="s">
        <v>248</v>
      </c>
      <c r="E125" s="33">
        <f t="shared" si="6"/>
        <v>26845</v>
      </c>
      <c r="F125" s="90" t="str">
        <f t="shared" si="7"/>
        <v>Date check - OK</v>
      </c>
      <c r="H125" s="115"/>
      <c r="I125" s="26"/>
      <c r="J125" s="98">
        <f t="shared" si="8"/>
        <v>0.40416869135089106</v>
      </c>
      <c r="K125" s="36"/>
      <c r="L125" s="26">
        <v>275.79599999999999</v>
      </c>
      <c r="M125" s="26" t="s">
        <v>206</v>
      </c>
      <c r="N125" s="26">
        <v>1005.1547709024391</v>
      </c>
      <c r="O125" s="93">
        <f t="shared" si="9"/>
        <v>277217.6651958091</v>
      </c>
      <c r="P125" s="95">
        <f t="shared" si="10"/>
        <v>112042.70096153962</v>
      </c>
      <c r="Q125" s="196">
        <v>1</v>
      </c>
    </row>
    <row r="126" spans="1:17" x14ac:dyDescent="0.25">
      <c r="A126" s="243">
        <v>1973</v>
      </c>
      <c r="B126" s="243" t="s">
        <v>183</v>
      </c>
      <c r="C126" s="198" t="s">
        <v>247</v>
      </c>
      <c r="D126" s="111" t="s">
        <v>248</v>
      </c>
      <c r="E126" s="33">
        <f t="shared" si="6"/>
        <v>26845</v>
      </c>
      <c r="F126" s="90" t="str">
        <f t="shared" si="7"/>
        <v>Date check - OK</v>
      </c>
      <c r="H126" s="115"/>
      <c r="I126" s="26"/>
      <c r="J126" s="98">
        <f t="shared" si="8"/>
        <v>0.40416869135089106</v>
      </c>
      <c r="K126" s="36"/>
      <c r="L126" s="26">
        <v>251.97200000000001</v>
      </c>
      <c r="M126" s="26" t="s">
        <v>206</v>
      </c>
      <c r="N126" s="26">
        <v>1022.485708375639</v>
      </c>
      <c r="O126" s="93">
        <f t="shared" si="9"/>
        <v>257637.7689108265</v>
      </c>
      <c r="P126" s="95">
        <f t="shared" si="10"/>
        <v>104129.11990325204</v>
      </c>
      <c r="Q126" s="196">
        <v>1</v>
      </c>
    </row>
    <row r="127" spans="1:17" x14ac:dyDescent="0.25">
      <c r="A127" s="243">
        <v>1973</v>
      </c>
      <c r="B127" s="243" t="s">
        <v>183</v>
      </c>
      <c r="C127" s="198" t="s">
        <v>247</v>
      </c>
      <c r="D127" s="111" t="s">
        <v>248</v>
      </c>
      <c r="E127" s="33">
        <f t="shared" si="6"/>
        <v>26845</v>
      </c>
      <c r="F127" s="90" t="str">
        <f t="shared" si="7"/>
        <v>Date check - OK</v>
      </c>
      <c r="H127" s="115"/>
      <c r="I127" s="26"/>
      <c r="J127" s="98">
        <f t="shared" si="8"/>
        <v>0.40416869135089106</v>
      </c>
      <c r="K127" s="36"/>
      <c r="L127" s="26">
        <v>361.73099999999999</v>
      </c>
      <c r="M127" s="26" t="s">
        <v>206</v>
      </c>
      <c r="N127" s="26">
        <v>1162.3658348401468</v>
      </c>
      <c r="O127" s="93">
        <f t="shared" si="9"/>
        <v>420463.75580256112</v>
      </c>
      <c r="P127" s="95">
        <f t="shared" si="10"/>
        <v>169938.28594320174</v>
      </c>
      <c r="Q127" s="196">
        <v>1</v>
      </c>
    </row>
    <row r="128" spans="1:17" x14ac:dyDescent="0.25">
      <c r="A128" s="243">
        <v>1973</v>
      </c>
      <c r="B128" s="243" t="s">
        <v>183</v>
      </c>
      <c r="C128" s="198" t="s">
        <v>247</v>
      </c>
      <c r="D128" s="111" t="s">
        <v>248</v>
      </c>
      <c r="E128" s="33">
        <f t="shared" si="6"/>
        <v>26845</v>
      </c>
      <c r="F128" s="90" t="str">
        <f t="shared" si="7"/>
        <v>Date check - OK</v>
      </c>
      <c r="H128" s="115"/>
      <c r="I128" s="26"/>
      <c r="J128" s="98">
        <f t="shared" si="8"/>
        <v>0.40416869135089106</v>
      </c>
      <c r="K128" s="36"/>
      <c r="L128" s="26">
        <v>520.27599999999995</v>
      </c>
      <c r="M128" s="26" t="s">
        <v>206</v>
      </c>
      <c r="N128" s="26">
        <v>1137.9545812251833</v>
      </c>
      <c r="O128" s="93">
        <f t="shared" si="9"/>
        <v>592050.45770151343</v>
      </c>
      <c r="P128" s="95">
        <f t="shared" si="10"/>
        <v>239288.25870291676</v>
      </c>
      <c r="Q128" s="196">
        <v>1</v>
      </c>
    </row>
    <row r="129" spans="1:17" x14ac:dyDescent="0.25">
      <c r="A129" s="243">
        <v>1973</v>
      </c>
      <c r="B129" s="243" t="s">
        <v>183</v>
      </c>
      <c r="C129" s="198" t="s">
        <v>247</v>
      </c>
      <c r="D129" s="111" t="s">
        <v>248</v>
      </c>
      <c r="E129" s="33">
        <f t="shared" si="6"/>
        <v>26845</v>
      </c>
      <c r="F129" s="90" t="str">
        <f t="shared" si="7"/>
        <v>Date check - OK</v>
      </c>
      <c r="H129" s="115"/>
      <c r="I129" s="26"/>
      <c r="J129" s="98">
        <f t="shared" si="8"/>
        <v>0.40416869135089106</v>
      </c>
      <c r="K129" s="36"/>
      <c r="L129" s="26">
        <v>380.83300000000003</v>
      </c>
      <c r="M129" s="26" t="s">
        <v>206</v>
      </c>
      <c r="N129" s="26">
        <v>1155.4809672530023</v>
      </c>
      <c r="O129" s="93">
        <f t="shared" si="9"/>
        <v>440045.28320186265</v>
      </c>
      <c r="P129" s="95">
        <f t="shared" si="10"/>
        <v>177852.52624682907</v>
      </c>
      <c r="Q129" s="196">
        <v>1</v>
      </c>
    </row>
    <row r="130" spans="1:17" x14ac:dyDescent="0.25">
      <c r="A130" s="243">
        <v>1973</v>
      </c>
      <c r="B130" s="243" t="s">
        <v>183</v>
      </c>
      <c r="C130" s="198" t="s">
        <v>247</v>
      </c>
      <c r="D130" s="111" t="s">
        <v>248</v>
      </c>
      <c r="E130" s="33">
        <f t="shared" si="6"/>
        <v>26845</v>
      </c>
      <c r="F130" s="90" t="str">
        <f t="shared" si="7"/>
        <v>Date check - OK</v>
      </c>
      <c r="H130" s="115"/>
      <c r="I130" s="26"/>
      <c r="J130" s="98">
        <f t="shared" si="8"/>
        <v>0.40416869135089106</v>
      </c>
      <c r="K130" s="36"/>
      <c r="L130" s="26">
        <v>415</v>
      </c>
      <c r="M130" s="26" t="s">
        <v>206</v>
      </c>
      <c r="N130" s="26">
        <v>1142.2949051522505</v>
      </c>
      <c r="O130" s="93">
        <f t="shared" si="9"/>
        <v>474052.38563818397</v>
      </c>
      <c r="P130" s="95">
        <f t="shared" si="10"/>
        <v>191597.13233515277</v>
      </c>
      <c r="Q130" s="196">
        <v>1</v>
      </c>
    </row>
    <row r="131" spans="1:17" x14ac:dyDescent="0.25">
      <c r="A131" s="243">
        <v>1973</v>
      </c>
      <c r="B131" s="243" t="s">
        <v>183</v>
      </c>
      <c r="C131" s="198" t="s">
        <v>247</v>
      </c>
      <c r="D131" s="111" t="s">
        <v>248</v>
      </c>
      <c r="E131" s="33">
        <f t="shared" si="6"/>
        <v>26845</v>
      </c>
      <c r="F131" s="90" t="str">
        <f t="shared" si="7"/>
        <v>Date check - OK</v>
      </c>
      <c r="H131" s="115"/>
      <c r="I131" s="26"/>
      <c r="J131" s="98">
        <f t="shared" si="8"/>
        <v>0.40416869135089106</v>
      </c>
      <c r="K131" s="36"/>
      <c r="L131" s="26">
        <v>239.81299999999999</v>
      </c>
      <c r="M131" s="26" t="s">
        <v>206</v>
      </c>
      <c r="N131" s="26">
        <v>3280.8650472950239</v>
      </c>
      <c r="O131" s="93">
        <f t="shared" si="9"/>
        <v>786794.08958696155</v>
      </c>
      <c r="P131" s="95">
        <f t="shared" si="10"/>
        <v>317997.53755097801</v>
      </c>
      <c r="Q131" s="196">
        <v>1</v>
      </c>
    </row>
    <row r="132" spans="1:17" x14ac:dyDescent="0.25">
      <c r="A132" s="243">
        <v>1973</v>
      </c>
      <c r="B132" s="243" t="s">
        <v>183</v>
      </c>
      <c r="C132" s="198" t="s">
        <v>247</v>
      </c>
      <c r="D132" s="111" t="s">
        <v>248</v>
      </c>
      <c r="E132" s="33">
        <f t="shared" si="6"/>
        <v>26845</v>
      </c>
      <c r="F132" s="90" t="str">
        <f t="shared" si="7"/>
        <v>Date check - OK</v>
      </c>
      <c r="H132" s="115"/>
      <c r="I132" s="26"/>
      <c r="J132" s="98">
        <f t="shared" si="8"/>
        <v>0.40416869135089106</v>
      </c>
      <c r="K132" s="36"/>
      <c r="L132" s="26">
        <v>14.081</v>
      </c>
      <c r="M132" s="26" t="s">
        <v>206</v>
      </c>
      <c r="N132" s="26">
        <v>4143.1763260278822</v>
      </c>
      <c r="O132" s="93">
        <f t="shared" si="9"/>
        <v>58340.065846798607</v>
      </c>
      <c r="P132" s="95">
        <f t="shared" si="10"/>
        <v>23579.228066625408</v>
      </c>
      <c r="Q132" s="196">
        <v>1</v>
      </c>
    </row>
    <row r="133" spans="1:17" x14ac:dyDescent="0.25">
      <c r="A133" s="243">
        <v>1973</v>
      </c>
      <c r="B133" s="243" t="s">
        <v>183</v>
      </c>
      <c r="C133" s="198" t="s">
        <v>247</v>
      </c>
      <c r="D133" s="111" t="s">
        <v>248</v>
      </c>
      <c r="E133" s="33">
        <f t="shared" si="6"/>
        <v>26845</v>
      </c>
      <c r="F133" s="90" t="str">
        <f t="shared" si="7"/>
        <v>Date check - OK</v>
      </c>
      <c r="H133" s="115"/>
      <c r="I133" s="26"/>
      <c r="J133" s="98">
        <f t="shared" si="8"/>
        <v>0.40416869135089106</v>
      </c>
      <c r="K133" s="36"/>
      <c r="L133" s="26">
        <v>11.260999999999999</v>
      </c>
      <c r="M133" s="26" t="s">
        <v>206</v>
      </c>
      <c r="N133" s="26">
        <v>4153.9025343735821</v>
      </c>
      <c r="O133" s="93">
        <f t="shared" si="9"/>
        <v>46777.096439580906</v>
      </c>
      <c r="P133" s="95">
        <f t="shared" si="10"/>
        <v>18905.837853179841</v>
      </c>
      <c r="Q133" s="196">
        <v>1</v>
      </c>
    </row>
    <row r="134" spans="1:17" x14ac:dyDescent="0.25">
      <c r="A134" s="243">
        <v>1973</v>
      </c>
      <c r="B134" s="243" t="s">
        <v>183</v>
      </c>
      <c r="C134" s="198" t="s">
        <v>247</v>
      </c>
      <c r="D134" s="111" t="s">
        <v>248</v>
      </c>
      <c r="E134" s="33">
        <f t="shared" si="6"/>
        <v>26845</v>
      </c>
      <c r="F134" s="90" t="str">
        <f t="shared" si="7"/>
        <v>Date check - OK</v>
      </c>
      <c r="H134" s="115"/>
      <c r="I134" s="26"/>
      <c r="J134" s="98">
        <f t="shared" si="8"/>
        <v>0.40416869135089106</v>
      </c>
      <c r="K134" s="36"/>
      <c r="L134" s="26">
        <v>40.770000000000003</v>
      </c>
      <c r="M134" s="26" t="s">
        <v>206</v>
      </c>
      <c r="N134" s="26">
        <v>3622.4580548766849</v>
      </c>
      <c r="O134" s="93">
        <f t="shared" si="9"/>
        <v>147687.61489732246</v>
      </c>
      <c r="P134" s="95">
        <f t="shared" si="10"/>
        <v>59690.710041785183</v>
      </c>
      <c r="Q134" s="196">
        <v>1</v>
      </c>
    </row>
    <row r="135" spans="1:17" x14ac:dyDescent="0.25">
      <c r="A135" s="243">
        <v>1973</v>
      </c>
      <c r="B135" s="243" t="s">
        <v>183</v>
      </c>
      <c r="C135" s="198" t="s">
        <v>247</v>
      </c>
      <c r="D135" s="111" t="s">
        <v>248</v>
      </c>
      <c r="E135" s="33">
        <f t="shared" si="6"/>
        <v>26845</v>
      </c>
      <c r="F135" s="90" t="str">
        <f t="shared" si="7"/>
        <v>Date check - OK</v>
      </c>
      <c r="H135" s="115"/>
      <c r="I135" s="26"/>
      <c r="J135" s="98">
        <f t="shared" si="8"/>
        <v>0.40416869135089106</v>
      </c>
      <c r="K135" s="36"/>
      <c r="L135" s="26">
        <v>5.3360000000000003</v>
      </c>
      <c r="M135" s="26" t="s">
        <v>206</v>
      </c>
      <c r="N135" s="26">
        <v>5318.8510401376725</v>
      </c>
      <c r="O135" s="93">
        <f t="shared" si="9"/>
        <v>28381.389150174622</v>
      </c>
      <c r="P135" s="95">
        <f t="shared" si="10"/>
        <v>11470.868911546455</v>
      </c>
      <c r="Q135" s="196">
        <v>1</v>
      </c>
    </row>
    <row r="136" spans="1:17" x14ac:dyDescent="0.25">
      <c r="A136" s="243">
        <v>1973</v>
      </c>
      <c r="B136" s="243" t="s">
        <v>183</v>
      </c>
      <c r="C136" s="198" t="s">
        <v>247</v>
      </c>
      <c r="D136" s="111" t="s">
        <v>248</v>
      </c>
      <c r="E136" s="33">
        <f t="shared" si="6"/>
        <v>26845</v>
      </c>
      <c r="F136" s="90" t="str">
        <f t="shared" si="7"/>
        <v>Date check - OK</v>
      </c>
      <c r="H136" s="115"/>
      <c r="I136" s="26"/>
      <c r="J136" s="98">
        <f t="shared" si="8"/>
        <v>0.40416869135089106</v>
      </c>
      <c r="K136" s="36"/>
      <c r="L136" s="26">
        <v>24.974</v>
      </c>
      <c r="M136" s="26" t="s">
        <v>206</v>
      </c>
      <c r="N136" s="26">
        <v>3703.9370602795939</v>
      </c>
      <c r="O136" s="93">
        <f t="shared" si="9"/>
        <v>92502.124143422581</v>
      </c>
      <c r="P136" s="95">
        <f t="shared" si="10"/>
        <v>37386.462462224772</v>
      </c>
      <c r="Q136" s="196">
        <v>1</v>
      </c>
    </row>
    <row r="137" spans="1:17" x14ac:dyDescent="0.25">
      <c r="A137" s="243">
        <v>1973</v>
      </c>
      <c r="B137" s="243" t="s">
        <v>183</v>
      </c>
      <c r="C137" s="198" t="s">
        <v>247</v>
      </c>
      <c r="D137" s="111" t="s">
        <v>248</v>
      </c>
      <c r="E137" s="33">
        <f t="shared" si="6"/>
        <v>26845</v>
      </c>
      <c r="F137" s="90" t="str">
        <f t="shared" si="7"/>
        <v>Date check - OK</v>
      </c>
      <c r="H137" s="115"/>
      <c r="I137" s="26"/>
      <c r="J137" s="98">
        <f t="shared" si="8"/>
        <v>0.40416869135089106</v>
      </c>
      <c r="K137" s="36"/>
      <c r="L137" s="26">
        <v>95.992999999999995</v>
      </c>
      <c r="M137" s="26" t="s">
        <v>206</v>
      </c>
      <c r="N137" s="26">
        <v>3400.1018327066367</v>
      </c>
      <c r="O137" s="93">
        <f t="shared" si="9"/>
        <v>326385.97522700817</v>
      </c>
      <c r="P137" s="95">
        <f t="shared" si="10"/>
        <v>131914.99248278423</v>
      </c>
      <c r="Q137" s="196">
        <v>1</v>
      </c>
    </row>
    <row r="138" spans="1:17" x14ac:dyDescent="0.25">
      <c r="A138" s="243">
        <v>1973</v>
      </c>
      <c r="B138" s="243" t="s">
        <v>183</v>
      </c>
      <c r="C138" s="198" t="s">
        <v>247</v>
      </c>
      <c r="D138" s="111" t="s">
        <v>248</v>
      </c>
      <c r="E138" s="33">
        <f t="shared" si="6"/>
        <v>26845</v>
      </c>
      <c r="F138" s="90" t="str">
        <f t="shared" si="7"/>
        <v>Date check - OK</v>
      </c>
      <c r="H138" s="115"/>
      <c r="I138" s="26"/>
      <c r="J138" s="98">
        <f t="shared" si="8"/>
        <v>0.40416869135089106</v>
      </c>
      <c r="K138" s="36"/>
      <c r="L138" s="26">
        <v>152.697</v>
      </c>
      <c r="M138" s="26" t="s">
        <v>206</v>
      </c>
      <c r="N138" s="26">
        <v>3369.7005670866683</v>
      </c>
      <c r="O138" s="93">
        <f t="shared" si="9"/>
        <v>514543.16749243299</v>
      </c>
      <c r="P138" s="95">
        <f t="shared" si="10"/>
        <v>207962.238648959</v>
      </c>
      <c r="Q138" s="196">
        <v>1</v>
      </c>
    </row>
    <row r="139" spans="1:17" x14ac:dyDescent="0.25">
      <c r="A139" s="243">
        <v>1973</v>
      </c>
      <c r="B139" s="243" t="s">
        <v>183</v>
      </c>
      <c r="C139" s="198" t="s">
        <v>247</v>
      </c>
      <c r="D139" s="111" t="s">
        <v>248</v>
      </c>
      <c r="E139" s="33">
        <f t="shared" si="6"/>
        <v>26845</v>
      </c>
      <c r="F139" s="90" t="str">
        <f t="shared" si="7"/>
        <v>Date check - OK</v>
      </c>
      <c r="H139" s="115"/>
      <c r="I139" s="26"/>
      <c r="J139" s="98">
        <f t="shared" si="8"/>
        <v>0.40416869135089106</v>
      </c>
      <c r="K139" s="36"/>
      <c r="L139" s="26">
        <v>11.412000000000001</v>
      </c>
      <c r="M139" s="26" t="s">
        <v>206</v>
      </c>
      <c r="N139" s="26">
        <v>4144.9627804320917</v>
      </c>
      <c r="O139" s="93">
        <f t="shared" si="9"/>
        <v>47302.315250291031</v>
      </c>
      <c r="P139" s="95">
        <f t="shared" si="10"/>
        <v>19118.114852577422</v>
      </c>
      <c r="Q139" s="196">
        <v>1</v>
      </c>
    </row>
    <row r="140" spans="1:17" x14ac:dyDescent="0.25">
      <c r="A140" s="243">
        <v>1973</v>
      </c>
      <c r="B140" s="243" t="s">
        <v>183</v>
      </c>
      <c r="C140" s="198" t="s">
        <v>247</v>
      </c>
      <c r="D140" s="111" t="s">
        <v>248</v>
      </c>
      <c r="E140" s="33">
        <f t="shared" si="6"/>
        <v>26845</v>
      </c>
      <c r="F140" s="90" t="str">
        <f t="shared" si="7"/>
        <v>Date check - OK</v>
      </c>
      <c r="H140" s="115"/>
      <c r="I140" s="26"/>
      <c r="J140" s="98">
        <f t="shared" si="8"/>
        <v>0.40416869135089106</v>
      </c>
      <c r="K140" s="36"/>
      <c r="L140" s="26">
        <v>135.267</v>
      </c>
      <c r="M140" s="26" t="s">
        <v>206</v>
      </c>
      <c r="N140" s="26">
        <v>3403.6987170555531</v>
      </c>
      <c r="O140" s="93">
        <f t="shared" si="9"/>
        <v>460408.1143599535</v>
      </c>
      <c r="P140" s="95">
        <f t="shared" si="10"/>
        <v>186082.54506819381</v>
      </c>
      <c r="Q140" s="196">
        <v>1</v>
      </c>
    </row>
    <row r="141" spans="1:17" x14ac:dyDescent="0.25">
      <c r="A141" s="243">
        <v>1973</v>
      </c>
      <c r="B141" s="243" t="s">
        <v>183</v>
      </c>
      <c r="C141" s="198" t="s">
        <v>247</v>
      </c>
      <c r="D141" s="111" t="s">
        <v>248</v>
      </c>
      <c r="E141" s="33">
        <f t="shared" si="6"/>
        <v>26845</v>
      </c>
      <c r="F141" s="90" t="str">
        <f t="shared" si="7"/>
        <v>Date check - OK</v>
      </c>
      <c r="H141" s="115"/>
      <c r="I141" s="26"/>
      <c r="J141" s="98">
        <f t="shared" si="8"/>
        <v>0.40416869135089106</v>
      </c>
      <c r="K141" s="36"/>
      <c r="L141" s="26">
        <v>17.184000000000001</v>
      </c>
      <c r="M141" s="26" t="s">
        <v>206</v>
      </c>
      <c r="N141" s="26">
        <v>3976.1259140809434</v>
      </c>
      <c r="O141" s="93">
        <f t="shared" si="9"/>
        <v>68325.74770756693</v>
      </c>
      <c r="P141" s="95">
        <f t="shared" si="10"/>
        <v>27615.12803653847</v>
      </c>
      <c r="Q141" s="196">
        <v>1</v>
      </c>
    </row>
    <row r="142" spans="1:17" x14ac:dyDescent="0.25">
      <c r="A142" s="243">
        <v>1973</v>
      </c>
      <c r="B142" s="243" t="s">
        <v>183</v>
      </c>
      <c r="C142" s="198" t="s">
        <v>247</v>
      </c>
      <c r="D142" s="111" t="s">
        <v>248</v>
      </c>
      <c r="E142" s="33">
        <f t="shared" si="6"/>
        <v>26845</v>
      </c>
      <c r="F142" s="90" t="str">
        <f t="shared" si="7"/>
        <v>Date check - OK</v>
      </c>
      <c r="H142" s="115"/>
      <c r="I142" s="26"/>
      <c r="J142" s="98">
        <f t="shared" si="8"/>
        <v>0.40416869135089106</v>
      </c>
      <c r="K142" s="36"/>
      <c r="L142" s="26">
        <v>222.595</v>
      </c>
      <c r="M142" s="26" t="s">
        <v>206</v>
      </c>
      <c r="N142" s="26">
        <v>3293.8037928308904</v>
      </c>
      <c r="O142" s="93">
        <f t="shared" si="9"/>
        <v>733184.25526519201</v>
      </c>
      <c r="P142" s="95">
        <f t="shared" si="10"/>
        <v>296330.12096961029</v>
      </c>
      <c r="Q142" s="196">
        <v>1</v>
      </c>
    </row>
    <row r="143" spans="1:17" x14ac:dyDescent="0.25">
      <c r="A143" s="243">
        <v>1973</v>
      </c>
      <c r="B143" s="243" t="s">
        <v>183</v>
      </c>
      <c r="C143" s="198" t="s">
        <v>247</v>
      </c>
      <c r="D143" s="111" t="s">
        <v>248</v>
      </c>
      <c r="E143" s="33">
        <f t="shared" si="6"/>
        <v>26845</v>
      </c>
      <c r="F143" s="90" t="str">
        <f t="shared" si="7"/>
        <v>Date check - OK</v>
      </c>
      <c r="H143" s="115"/>
      <c r="I143" s="26"/>
      <c r="J143" s="98">
        <f t="shared" si="8"/>
        <v>0.40416869135089106</v>
      </c>
      <c r="K143" s="36"/>
      <c r="L143" s="26">
        <v>143.70599999999999</v>
      </c>
      <c r="M143" s="26" t="s">
        <v>206</v>
      </c>
      <c r="N143" s="26">
        <v>3386.6852960417</v>
      </c>
      <c r="O143" s="93">
        <f t="shared" si="9"/>
        <v>486686.99715296848</v>
      </c>
      <c r="P143" s="95">
        <f t="shared" si="10"/>
        <v>196703.64673681013</v>
      </c>
      <c r="Q143" s="196">
        <v>1</v>
      </c>
    </row>
    <row r="144" spans="1:17" x14ac:dyDescent="0.25">
      <c r="A144" s="243">
        <v>1973</v>
      </c>
      <c r="B144" s="243" t="s">
        <v>183</v>
      </c>
      <c r="C144" s="198" t="s">
        <v>247</v>
      </c>
      <c r="D144" s="111" t="s">
        <v>248</v>
      </c>
      <c r="E144" s="33">
        <f t="shared" si="6"/>
        <v>26845</v>
      </c>
      <c r="F144" s="90" t="str">
        <f t="shared" si="7"/>
        <v>Date check - OK</v>
      </c>
      <c r="H144" s="115"/>
      <c r="I144" s="26"/>
      <c r="J144" s="98">
        <f t="shared" si="8"/>
        <v>0.40416869135089106</v>
      </c>
      <c r="K144" s="36"/>
      <c r="L144" s="26">
        <v>9.9670000000000005</v>
      </c>
      <c r="M144" s="26" t="s">
        <v>206</v>
      </c>
      <c r="N144" s="26">
        <v>4271.3036746525459</v>
      </c>
      <c r="O144" s="93">
        <f t="shared" si="9"/>
        <v>42572.083725261924</v>
      </c>
      <c r="P144" s="95">
        <f t="shared" si="10"/>
        <v>17206.303367319681</v>
      </c>
      <c r="Q144" s="196">
        <v>1</v>
      </c>
    </row>
    <row r="145" spans="1:17" x14ac:dyDescent="0.25">
      <c r="A145" s="243">
        <v>1973</v>
      </c>
      <c r="B145" s="243" t="s">
        <v>183</v>
      </c>
      <c r="C145" s="198" t="s">
        <v>247</v>
      </c>
      <c r="D145" s="111" t="s">
        <v>248</v>
      </c>
      <c r="E145" s="33">
        <f t="shared" si="6"/>
        <v>26845</v>
      </c>
      <c r="F145" s="90" t="str">
        <f t="shared" si="7"/>
        <v>Date check - OK</v>
      </c>
      <c r="H145" s="115"/>
      <c r="I145" s="26"/>
      <c r="J145" s="98">
        <f t="shared" si="8"/>
        <v>0.40416869135089106</v>
      </c>
      <c r="K145" s="36"/>
      <c r="L145" s="26">
        <v>1</v>
      </c>
      <c r="M145" s="26" t="s">
        <v>206</v>
      </c>
      <c r="N145" s="26">
        <v>14715.913385797438</v>
      </c>
      <c r="O145" s="93">
        <f t="shared" si="9"/>
        <v>14715.913385797438</v>
      </c>
      <c r="P145" s="95">
        <f t="shared" si="10"/>
        <v>5947.711455170811</v>
      </c>
      <c r="Q145" s="196">
        <v>1</v>
      </c>
    </row>
    <row r="146" spans="1:17" x14ac:dyDescent="0.25">
      <c r="A146" s="243">
        <v>1973</v>
      </c>
      <c r="B146" s="243" t="s">
        <v>183</v>
      </c>
      <c r="C146" s="198" t="s">
        <v>247</v>
      </c>
      <c r="D146" s="111" t="s">
        <v>248</v>
      </c>
      <c r="E146" s="33">
        <f t="shared" si="6"/>
        <v>26845</v>
      </c>
      <c r="F146" s="90" t="str">
        <f t="shared" si="7"/>
        <v>Date check - OK</v>
      </c>
      <c r="H146" s="115"/>
      <c r="I146" s="26"/>
      <c r="J146" s="98">
        <f t="shared" si="8"/>
        <v>0.40416869135089106</v>
      </c>
      <c r="K146" s="36"/>
      <c r="L146" s="26">
        <v>88.804000000000002</v>
      </c>
      <c r="M146" s="26" t="s">
        <v>206</v>
      </c>
      <c r="N146" s="26">
        <v>3420.8510339994009</v>
      </c>
      <c r="O146" s="93">
        <f t="shared" si="9"/>
        <v>303785.25522328279</v>
      </c>
      <c r="P146" s="95">
        <f t="shared" si="10"/>
        <v>122780.48905529064</v>
      </c>
      <c r="Q146" s="196">
        <v>1</v>
      </c>
    </row>
    <row r="147" spans="1:17" x14ac:dyDescent="0.25">
      <c r="A147" s="243">
        <v>1973</v>
      </c>
      <c r="B147" s="243" t="s">
        <v>183</v>
      </c>
      <c r="C147" s="198" t="s">
        <v>247</v>
      </c>
      <c r="D147" s="111" t="s">
        <v>248</v>
      </c>
      <c r="E147" s="33">
        <f t="shared" si="6"/>
        <v>26845</v>
      </c>
      <c r="F147" s="90" t="str">
        <f t="shared" si="7"/>
        <v>Date check - OK</v>
      </c>
      <c r="H147" s="115"/>
      <c r="I147" s="26"/>
      <c r="J147" s="98">
        <f t="shared" si="8"/>
        <v>0.40416869135089106</v>
      </c>
      <c r="K147" s="36"/>
      <c r="L147" s="26">
        <v>152.636</v>
      </c>
      <c r="M147" s="26" t="s">
        <v>206</v>
      </c>
      <c r="N147" s="26">
        <v>3371.0472463405295</v>
      </c>
      <c r="O147" s="93">
        <f t="shared" si="9"/>
        <v>514543.16749243304</v>
      </c>
      <c r="P147" s="95">
        <f t="shared" si="10"/>
        <v>207962.23864895903</v>
      </c>
      <c r="Q147" s="196">
        <v>1</v>
      </c>
    </row>
    <row r="148" spans="1:17" x14ac:dyDescent="0.25">
      <c r="A148" s="243">
        <v>1973</v>
      </c>
      <c r="B148" s="243" t="s">
        <v>183</v>
      </c>
      <c r="C148" s="198" t="s">
        <v>247</v>
      </c>
      <c r="D148" s="111" t="s">
        <v>248</v>
      </c>
      <c r="E148" s="33">
        <f t="shared" si="6"/>
        <v>26845</v>
      </c>
      <c r="F148" s="90" t="str">
        <f t="shared" si="7"/>
        <v>Date check - OK</v>
      </c>
      <c r="H148" s="115"/>
      <c r="I148" s="26"/>
      <c r="J148" s="98">
        <f t="shared" si="8"/>
        <v>0.40416869135089106</v>
      </c>
      <c r="K148" s="36"/>
      <c r="L148" s="26">
        <v>7.6920000000000002</v>
      </c>
      <c r="M148" s="26" t="s">
        <v>206</v>
      </c>
      <c r="N148" s="26">
        <v>4646.3008116319997</v>
      </c>
      <c r="O148" s="93">
        <f t="shared" si="9"/>
        <v>35739.345843073344</v>
      </c>
      <c r="P148" s="95">
        <f t="shared" si="10"/>
        <v>14444.724639131862</v>
      </c>
      <c r="Q148" s="196">
        <v>1</v>
      </c>
    </row>
    <row r="149" spans="1:17" x14ac:dyDescent="0.25">
      <c r="A149" s="243">
        <v>1973</v>
      </c>
      <c r="B149" s="243" t="s">
        <v>183</v>
      </c>
      <c r="C149" s="198" t="s">
        <v>247</v>
      </c>
      <c r="D149" s="111" t="s">
        <v>248</v>
      </c>
      <c r="E149" s="33">
        <f t="shared" si="6"/>
        <v>26845</v>
      </c>
      <c r="F149" s="90" t="str">
        <f t="shared" si="7"/>
        <v>Date check - OK</v>
      </c>
      <c r="H149" s="115"/>
      <c r="I149" s="26"/>
      <c r="J149" s="98">
        <f t="shared" si="8"/>
        <v>0.40416869135089106</v>
      </c>
      <c r="K149" s="36"/>
      <c r="L149" s="26">
        <v>151.005</v>
      </c>
      <c r="M149" s="26" t="s">
        <v>206</v>
      </c>
      <c r="N149" s="26">
        <v>3372.654661479381</v>
      </c>
      <c r="O149" s="93">
        <f t="shared" si="9"/>
        <v>509287.71715669392</v>
      </c>
      <c r="P149" s="95">
        <f t="shared" si="10"/>
        <v>205838.15016430372</v>
      </c>
      <c r="Q149" s="196">
        <v>1</v>
      </c>
    </row>
    <row r="150" spans="1:17" x14ac:dyDescent="0.25">
      <c r="A150" s="243">
        <v>1973</v>
      </c>
      <c r="B150" s="243" t="s">
        <v>183</v>
      </c>
      <c r="C150" s="198" t="s">
        <v>247</v>
      </c>
      <c r="D150" s="111" t="s">
        <v>248</v>
      </c>
      <c r="E150" s="33">
        <f t="shared" si="6"/>
        <v>26845</v>
      </c>
      <c r="F150" s="90" t="str">
        <f t="shared" si="7"/>
        <v>Date check - OK</v>
      </c>
      <c r="H150" s="115"/>
      <c r="I150" s="26"/>
      <c r="J150" s="98">
        <f t="shared" si="8"/>
        <v>0.40416869135089106</v>
      </c>
      <c r="K150" s="36"/>
      <c r="L150" s="26">
        <v>30.864999999999998</v>
      </c>
      <c r="M150" s="26" t="s">
        <v>206</v>
      </c>
      <c r="N150" s="26">
        <v>4325.1877635585661</v>
      </c>
      <c r="O150" s="93">
        <f t="shared" si="9"/>
        <v>133496.92032223512</v>
      </c>
      <c r="P150" s="95">
        <f t="shared" si="10"/>
        <v>53955.275586011943</v>
      </c>
      <c r="Q150" s="196">
        <v>1</v>
      </c>
    </row>
    <row r="151" spans="1:17" x14ac:dyDescent="0.25">
      <c r="A151" s="243">
        <v>1973</v>
      </c>
      <c r="B151" s="243" t="s">
        <v>183</v>
      </c>
      <c r="C151" s="198" t="s">
        <v>247</v>
      </c>
      <c r="D151" s="111" t="s">
        <v>248</v>
      </c>
      <c r="E151" s="33">
        <f t="shared" ref="E151:E214" si="11">DATEVALUE("30 Jun "&amp;A151)</f>
        <v>26845</v>
      </c>
      <c r="F151" s="90" t="str">
        <f t="shared" ref="F151:F214" si="12">IF(E151="","-",IF(OR(E151&lt;$E$15,E151&gt;$E$16),"ERROR - date outside of range","Date check - OK"))</f>
        <v>Date check - OK</v>
      </c>
      <c r="H151" s="115"/>
      <c r="I151" s="26"/>
      <c r="J151" s="98">
        <f t="shared" si="8"/>
        <v>0.40416869135089106</v>
      </c>
      <c r="K151" s="36"/>
      <c r="L151" s="26">
        <v>207.69499999999999</v>
      </c>
      <c r="M151" s="26" t="s">
        <v>206</v>
      </c>
      <c r="N151" s="26">
        <v>3917.2738447756897</v>
      </c>
      <c r="O151" s="93">
        <f t="shared" si="9"/>
        <v>813598.19119068689</v>
      </c>
      <c r="P151" s="95">
        <f t="shared" si="10"/>
        <v>328830.91621899197</v>
      </c>
      <c r="Q151" s="196">
        <v>1</v>
      </c>
    </row>
    <row r="152" spans="1:17" x14ac:dyDescent="0.25">
      <c r="A152" s="243">
        <v>1973</v>
      </c>
      <c r="B152" s="243" t="s">
        <v>183</v>
      </c>
      <c r="C152" s="198" t="s">
        <v>247</v>
      </c>
      <c r="D152" s="111" t="s">
        <v>248</v>
      </c>
      <c r="E152" s="33">
        <f t="shared" si="11"/>
        <v>26845</v>
      </c>
      <c r="F152" s="90" t="str">
        <f t="shared" si="12"/>
        <v>Date check - OK</v>
      </c>
      <c r="H152" s="115"/>
      <c r="I152" s="26"/>
      <c r="J152" s="98">
        <f t="shared" ref="J152:J215" si="13">J151</f>
        <v>0.40416869135089106</v>
      </c>
      <c r="K152" s="36"/>
      <c r="L152" s="26">
        <v>15.032999999999999</v>
      </c>
      <c r="M152" s="26" t="s">
        <v>206</v>
      </c>
      <c r="N152" s="26">
        <v>4789.7233085117286</v>
      </c>
      <c r="O152" s="93">
        <f t="shared" ref="O152:O215" si="14">IF(N152="","-",L152*N152)</f>
        <v>72003.910496856814</v>
      </c>
      <c r="P152" s="95">
        <f t="shared" ref="P152:P215" si="15">IF(O152="-","-",IF(OR(E152&lt;$E$15,E152&gt;$E$16),0,O152*J152))*Q152</f>
        <v>29101.726277661306</v>
      </c>
      <c r="Q152" s="196">
        <v>1</v>
      </c>
    </row>
    <row r="153" spans="1:17" x14ac:dyDescent="0.25">
      <c r="A153" s="243">
        <v>1973</v>
      </c>
      <c r="B153" s="243" t="s">
        <v>183</v>
      </c>
      <c r="C153" s="198" t="s">
        <v>247</v>
      </c>
      <c r="D153" s="111" t="s">
        <v>248</v>
      </c>
      <c r="E153" s="33">
        <f t="shared" si="11"/>
        <v>26845</v>
      </c>
      <c r="F153" s="90" t="str">
        <f t="shared" si="12"/>
        <v>Date check - OK</v>
      </c>
      <c r="H153" s="115"/>
      <c r="I153" s="26"/>
      <c r="J153" s="98">
        <f t="shared" si="13"/>
        <v>0.40416869135089106</v>
      </c>
      <c r="K153" s="36"/>
      <c r="L153" s="26">
        <v>11.042999999999999</v>
      </c>
      <c r="M153" s="26" t="s">
        <v>206</v>
      </c>
      <c r="N153" s="26">
        <v>4902.2053004147083</v>
      </c>
      <c r="O153" s="93">
        <f t="shared" si="14"/>
        <v>54135.053132479617</v>
      </c>
      <c r="P153" s="95">
        <f t="shared" si="15"/>
        <v>21879.693580765244</v>
      </c>
      <c r="Q153" s="196">
        <v>1</v>
      </c>
    </row>
    <row r="154" spans="1:17" x14ac:dyDescent="0.25">
      <c r="A154" s="243">
        <v>1973</v>
      </c>
      <c r="B154" s="243" t="s">
        <v>183</v>
      </c>
      <c r="C154" s="198" t="s">
        <v>247</v>
      </c>
      <c r="D154" s="111" t="s">
        <v>248</v>
      </c>
      <c r="E154" s="33">
        <f t="shared" si="11"/>
        <v>26845</v>
      </c>
      <c r="F154" s="90" t="str">
        <f t="shared" si="12"/>
        <v>Date check - OK</v>
      </c>
      <c r="H154" s="115"/>
      <c r="I154" s="26"/>
      <c r="J154" s="98">
        <f t="shared" si="13"/>
        <v>0.40416869135089106</v>
      </c>
      <c r="K154" s="36"/>
      <c r="L154" s="26">
        <v>7.1840000000000002</v>
      </c>
      <c r="M154" s="26" t="s">
        <v>206</v>
      </c>
      <c r="N154" s="26">
        <v>5487.0740181907277</v>
      </c>
      <c r="O154" s="93">
        <f t="shared" si="14"/>
        <v>39419.139746682187</v>
      </c>
      <c r="P154" s="95">
        <f t="shared" si="15"/>
        <v>15931.982125594435</v>
      </c>
      <c r="Q154" s="196">
        <v>1</v>
      </c>
    </row>
    <row r="155" spans="1:17" x14ac:dyDescent="0.25">
      <c r="A155" s="243">
        <v>1973</v>
      </c>
      <c r="B155" s="243" t="s">
        <v>183</v>
      </c>
      <c r="C155" s="198" t="s">
        <v>247</v>
      </c>
      <c r="D155" s="111" t="s">
        <v>248</v>
      </c>
      <c r="E155" s="33">
        <f t="shared" si="11"/>
        <v>26845</v>
      </c>
      <c r="F155" s="90" t="str">
        <f t="shared" si="12"/>
        <v>Date check - OK</v>
      </c>
      <c r="H155" s="115"/>
      <c r="I155" s="26"/>
      <c r="J155" s="98">
        <f t="shared" si="13"/>
        <v>0.40416869135089106</v>
      </c>
      <c r="K155" s="36"/>
      <c r="L155" s="26">
        <v>173.636</v>
      </c>
      <c r="M155" s="26" t="s">
        <v>206</v>
      </c>
      <c r="N155" s="26">
        <v>3956.1727334806164</v>
      </c>
      <c r="O155" s="93">
        <f t="shared" si="14"/>
        <v>686934.00875064032</v>
      </c>
      <c r="P155" s="95">
        <f t="shared" si="15"/>
        <v>277637.21936116787</v>
      </c>
      <c r="Q155" s="196">
        <v>1</v>
      </c>
    </row>
    <row r="156" spans="1:17" x14ac:dyDescent="0.25">
      <c r="A156" s="243">
        <v>1973</v>
      </c>
      <c r="B156" s="243" t="s">
        <v>183</v>
      </c>
      <c r="C156" s="198" t="s">
        <v>247</v>
      </c>
      <c r="D156" s="111" t="s">
        <v>248</v>
      </c>
      <c r="E156" s="33">
        <f t="shared" si="11"/>
        <v>26845</v>
      </c>
      <c r="F156" s="90" t="str">
        <f t="shared" si="12"/>
        <v>Date check - OK</v>
      </c>
      <c r="H156" s="115"/>
      <c r="I156" s="26"/>
      <c r="J156" s="98">
        <f t="shared" si="13"/>
        <v>0.40416869135089106</v>
      </c>
      <c r="K156" s="36"/>
      <c r="L156" s="26">
        <v>152.99100000000001</v>
      </c>
      <c r="M156" s="26" t="s">
        <v>206</v>
      </c>
      <c r="N156" s="26">
        <v>3988.4690388895706</v>
      </c>
      <c r="O156" s="93">
        <f t="shared" si="14"/>
        <v>610199.86672875436</v>
      </c>
      <c r="P156" s="95">
        <f t="shared" si="15"/>
        <v>246623.68159824878</v>
      </c>
      <c r="Q156" s="196">
        <v>1</v>
      </c>
    </row>
    <row r="157" spans="1:17" x14ac:dyDescent="0.25">
      <c r="A157" s="243">
        <v>1973</v>
      </c>
      <c r="B157" s="243" t="s">
        <v>183</v>
      </c>
      <c r="C157" s="198" t="s">
        <v>247</v>
      </c>
      <c r="D157" s="111" t="s">
        <v>248</v>
      </c>
      <c r="E157" s="33">
        <f t="shared" si="11"/>
        <v>26845</v>
      </c>
      <c r="F157" s="90" t="str">
        <f t="shared" si="12"/>
        <v>Date check - OK</v>
      </c>
      <c r="H157" s="115"/>
      <c r="I157" s="26"/>
      <c r="J157" s="98">
        <f t="shared" si="13"/>
        <v>0.40416869135089106</v>
      </c>
      <c r="K157" s="36"/>
      <c r="L157" s="26">
        <v>75.369</v>
      </c>
      <c r="M157" s="26" t="s">
        <v>206</v>
      </c>
      <c r="N157" s="26">
        <v>4093.4002938650106</v>
      </c>
      <c r="O157" s="93">
        <f t="shared" si="14"/>
        <v>308515.48674831196</v>
      </c>
      <c r="P157" s="95">
        <f t="shared" si="15"/>
        <v>124692.30054054841</v>
      </c>
      <c r="Q157" s="196">
        <v>1</v>
      </c>
    </row>
    <row r="158" spans="1:17" x14ac:dyDescent="0.25">
      <c r="A158" s="243">
        <v>1973</v>
      </c>
      <c r="B158" s="243" t="s">
        <v>183</v>
      </c>
      <c r="C158" s="198" t="s">
        <v>247</v>
      </c>
      <c r="D158" s="111" t="s">
        <v>248</v>
      </c>
      <c r="E158" s="33">
        <f t="shared" si="11"/>
        <v>26845</v>
      </c>
      <c r="F158" s="90" t="str">
        <f t="shared" si="12"/>
        <v>Date check - OK</v>
      </c>
      <c r="H158" s="115"/>
      <c r="I158" s="26"/>
      <c r="J158" s="98">
        <f t="shared" si="13"/>
        <v>0.40416869135089106</v>
      </c>
      <c r="K158" s="36"/>
      <c r="L158" s="26">
        <v>121.51900000000001</v>
      </c>
      <c r="M158" s="26" t="s">
        <v>206</v>
      </c>
      <c r="N158" s="26">
        <v>3953.1357993055331</v>
      </c>
      <c r="O158" s="93">
        <f t="shared" si="14"/>
        <v>480381.10919580911</v>
      </c>
      <c r="P158" s="95">
        <f t="shared" si="15"/>
        <v>194155.00425335966</v>
      </c>
      <c r="Q158" s="196">
        <v>1</v>
      </c>
    </row>
    <row r="159" spans="1:17" x14ac:dyDescent="0.25">
      <c r="A159" s="243">
        <v>1973</v>
      </c>
      <c r="B159" s="243" t="s">
        <v>183</v>
      </c>
      <c r="C159" s="198" t="s">
        <v>247</v>
      </c>
      <c r="D159" s="111" t="s">
        <v>248</v>
      </c>
      <c r="E159" s="33">
        <f t="shared" si="11"/>
        <v>26845</v>
      </c>
      <c r="F159" s="90" t="str">
        <f t="shared" si="12"/>
        <v>Date check - OK</v>
      </c>
      <c r="H159" s="115"/>
      <c r="I159" s="26"/>
      <c r="J159" s="98">
        <f t="shared" si="13"/>
        <v>0.40416869135089106</v>
      </c>
      <c r="K159" s="36"/>
      <c r="L159" s="26">
        <v>67.757000000000005</v>
      </c>
      <c r="M159" s="26" t="s">
        <v>206</v>
      </c>
      <c r="N159" s="26">
        <v>4840.2619900399741</v>
      </c>
      <c r="O159" s="93">
        <f t="shared" si="14"/>
        <v>327961.63165913854</v>
      </c>
      <c r="P159" s="95">
        <f t="shared" si="15"/>
        <v>132551.82348097698</v>
      </c>
      <c r="Q159" s="196">
        <v>1</v>
      </c>
    </row>
    <row r="160" spans="1:17" x14ac:dyDescent="0.25">
      <c r="A160" s="243">
        <v>1973</v>
      </c>
      <c r="B160" s="243" t="s">
        <v>183</v>
      </c>
      <c r="C160" s="198">
        <v>36543</v>
      </c>
      <c r="D160" s="111" t="s">
        <v>285</v>
      </c>
      <c r="E160" s="33">
        <f t="shared" si="11"/>
        <v>26845</v>
      </c>
      <c r="F160" s="90" t="str">
        <f t="shared" si="12"/>
        <v>Date check - OK</v>
      </c>
      <c r="H160" s="115"/>
      <c r="I160" s="26"/>
      <c r="J160" s="98">
        <f t="shared" si="13"/>
        <v>0.40416869135089106</v>
      </c>
      <c r="K160" s="36"/>
      <c r="L160" s="26">
        <v>268</v>
      </c>
      <c r="M160" s="26" t="s">
        <v>206</v>
      </c>
      <c r="N160" s="26">
        <v>520.32546775320145</v>
      </c>
      <c r="O160" s="93">
        <f t="shared" si="14"/>
        <v>139447.225357858</v>
      </c>
      <c r="P160" s="95">
        <f t="shared" si="15"/>
        <v>56360.202585398256</v>
      </c>
      <c r="Q160" s="196">
        <v>1</v>
      </c>
    </row>
    <row r="161" spans="1:17" x14ac:dyDescent="0.25">
      <c r="A161" s="243">
        <v>1973</v>
      </c>
      <c r="B161" s="243" t="s">
        <v>183</v>
      </c>
      <c r="C161" s="198"/>
      <c r="D161" s="111" t="s">
        <v>285</v>
      </c>
      <c r="E161" s="33">
        <f t="shared" si="11"/>
        <v>26845</v>
      </c>
      <c r="F161" s="90" t="str">
        <f t="shared" si="12"/>
        <v>Date check - OK</v>
      </c>
      <c r="H161" s="115"/>
      <c r="I161" s="26"/>
      <c r="J161" s="98">
        <f t="shared" si="13"/>
        <v>0.40416869135089106</v>
      </c>
      <c r="K161" s="36"/>
      <c r="L161" s="26">
        <v>288</v>
      </c>
      <c r="M161" s="26" t="s">
        <v>206</v>
      </c>
      <c r="N161" s="26">
        <v>468.12980954598368</v>
      </c>
      <c r="O161" s="93">
        <f t="shared" si="14"/>
        <v>134821.38514924329</v>
      </c>
      <c r="P161" s="95">
        <f t="shared" si="15"/>
        <v>54490.58280188412</v>
      </c>
      <c r="Q161" s="196">
        <v>1</v>
      </c>
    </row>
    <row r="162" spans="1:17" x14ac:dyDescent="0.25">
      <c r="A162" s="243">
        <v>1973</v>
      </c>
      <c r="B162" s="243" t="s">
        <v>183</v>
      </c>
      <c r="C162" s="198"/>
      <c r="D162" s="111" t="s">
        <v>285</v>
      </c>
      <c r="E162" s="33">
        <f t="shared" si="11"/>
        <v>26845</v>
      </c>
      <c r="F162" s="90" t="str">
        <f t="shared" si="12"/>
        <v>Date check - OK</v>
      </c>
      <c r="H162" s="115"/>
      <c r="I162" s="26"/>
      <c r="J162" s="98">
        <f t="shared" si="13"/>
        <v>0.40416869135089106</v>
      </c>
      <c r="K162" s="36"/>
      <c r="L162" s="26">
        <v>1646</v>
      </c>
      <c r="M162" s="26" t="s">
        <v>206</v>
      </c>
      <c r="N162" s="26">
        <v>567.62778300349237</v>
      </c>
      <c r="O162" s="93">
        <f t="shared" si="14"/>
        <v>934315.33082374849</v>
      </c>
      <c r="P162" s="95">
        <f t="shared" si="15"/>
        <v>377621.00456810929</v>
      </c>
      <c r="Q162" s="196">
        <v>1</v>
      </c>
    </row>
    <row r="163" spans="1:17" x14ac:dyDescent="0.25">
      <c r="A163" s="243">
        <v>1973</v>
      </c>
      <c r="B163" s="243" t="s">
        <v>183</v>
      </c>
      <c r="C163" s="198">
        <v>36677</v>
      </c>
      <c r="D163" s="111" t="s">
        <v>286</v>
      </c>
      <c r="E163" s="33">
        <f t="shared" si="11"/>
        <v>26845</v>
      </c>
      <c r="F163" s="90" t="str">
        <f t="shared" si="12"/>
        <v>Date check - OK</v>
      </c>
      <c r="H163" s="115"/>
      <c r="I163" s="26"/>
      <c r="J163" s="98">
        <f t="shared" si="13"/>
        <v>0.40416869135089106</v>
      </c>
      <c r="K163" s="36"/>
      <c r="L163" s="26">
        <v>129</v>
      </c>
      <c r="M163" s="26" t="s">
        <v>206</v>
      </c>
      <c r="N163" s="26">
        <v>1386.4471711292199</v>
      </c>
      <c r="O163" s="93">
        <f t="shared" si="14"/>
        <v>178851.68507566937</v>
      </c>
      <c r="P163" s="95">
        <f t="shared" si="15"/>
        <v>72286.251502934989</v>
      </c>
      <c r="Q163" s="196">
        <v>1</v>
      </c>
    </row>
    <row r="164" spans="1:17" x14ac:dyDescent="0.25">
      <c r="A164" s="243">
        <v>1973</v>
      </c>
      <c r="B164" s="243" t="s">
        <v>183</v>
      </c>
      <c r="C164" s="198" t="s">
        <v>287</v>
      </c>
      <c r="D164" s="111" t="s">
        <v>288</v>
      </c>
      <c r="E164" s="33">
        <f t="shared" si="11"/>
        <v>26845</v>
      </c>
      <c r="F164" s="90" t="str">
        <f t="shared" si="12"/>
        <v>Date check - OK</v>
      </c>
      <c r="H164" s="115"/>
      <c r="I164" s="26"/>
      <c r="J164" s="98">
        <f t="shared" si="13"/>
        <v>0.40416869135089106</v>
      </c>
      <c r="K164" s="36"/>
      <c r="L164" s="26">
        <v>388</v>
      </c>
      <c r="M164" s="26" t="s">
        <v>206</v>
      </c>
      <c r="N164" s="26">
        <v>751.94370104772986</v>
      </c>
      <c r="O164" s="93">
        <f t="shared" si="14"/>
        <v>291754.15600651916</v>
      </c>
      <c r="P164" s="95">
        <f t="shared" si="15"/>
        <v>117917.89542933856</v>
      </c>
      <c r="Q164" s="196">
        <v>1</v>
      </c>
    </row>
    <row r="165" spans="1:17" x14ac:dyDescent="0.25">
      <c r="A165" s="243">
        <v>1973</v>
      </c>
      <c r="B165" s="243" t="s">
        <v>183</v>
      </c>
      <c r="C165" s="198" t="s">
        <v>289</v>
      </c>
      <c r="D165" s="111" t="s">
        <v>274</v>
      </c>
      <c r="E165" s="33">
        <f t="shared" si="11"/>
        <v>26845</v>
      </c>
      <c r="F165" s="90" t="str">
        <f t="shared" si="12"/>
        <v>Date check - OK</v>
      </c>
      <c r="H165" s="115"/>
      <c r="I165" s="26"/>
      <c r="J165" s="98">
        <f t="shared" si="13"/>
        <v>0.40416869135089106</v>
      </c>
      <c r="K165" s="36"/>
      <c r="L165" s="26">
        <v>167.2</v>
      </c>
      <c r="M165" s="26" t="s">
        <v>206</v>
      </c>
      <c r="N165" s="26">
        <v>1764.8656931315481</v>
      </c>
      <c r="O165" s="93">
        <f t="shared" si="14"/>
        <v>295085.5438915948</v>
      </c>
      <c r="P165" s="95">
        <f t="shared" si="15"/>
        <v>119264.3381112318</v>
      </c>
      <c r="Q165" s="196">
        <v>1</v>
      </c>
    </row>
    <row r="166" spans="1:17" x14ac:dyDescent="0.25">
      <c r="A166" s="243">
        <v>1973</v>
      </c>
      <c r="B166" s="243" t="s">
        <v>183</v>
      </c>
      <c r="C166" s="198" t="s">
        <v>289</v>
      </c>
      <c r="D166" s="111" t="s">
        <v>274</v>
      </c>
      <c r="E166" s="33">
        <f t="shared" si="11"/>
        <v>26845</v>
      </c>
      <c r="F166" s="90" t="str">
        <f t="shared" si="12"/>
        <v>Date check - OK</v>
      </c>
      <c r="H166" s="115"/>
      <c r="I166" s="26"/>
      <c r="J166" s="98">
        <f t="shared" si="13"/>
        <v>0.40416869135089106</v>
      </c>
      <c r="K166" s="36"/>
      <c r="L166" s="26">
        <v>268.10000000000002</v>
      </c>
      <c r="M166" s="26" t="s">
        <v>206</v>
      </c>
      <c r="N166" s="26">
        <v>2210.1599022118739</v>
      </c>
      <c r="O166" s="93">
        <f t="shared" si="14"/>
        <v>592543.86978300347</v>
      </c>
      <c r="P166" s="95">
        <f t="shared" si="15"/>
        <v>239487.68041818932</v>
      </c>
      <c r="Q166" s="196">
        <v>1</v>
      </c>
    </row>
    <row r="167" spans="1:17" x14ac:dyDescent="0.25">
      <c r="A167" s="243">
        <v>1973</v>
      </c>
      <c r="B167" s="243" t="s">
        <v>183</v>
      </c>
      <c r="C167" s="198" t="s">
        <v>289</v>
      </c>
      <c r="D167" s="111" t="s">
        <v>274</v>
      </c>
      <c r="E167" s="33">
        <f t="shared" si="11"/>
        <v>26845</v>
      </c>
      <c r="F167" s="90" t="str">
        <f t="shared" si="12"/>
        <v>Date check - OK</v>
      </c>
      <c r="H167" s="115"/>
      <c r="I167" s="26"/>
      <c r="J167" s="98">
        <f t="shared" si="13"/>
        <v>0.40416869135089106</v>
      </c>
      <c r="K167" s="36"/>
      <c r="L167" s="26">
        <v>16.8</v>
      </c>
      <c r="M167" s="26" t="s">
        <v>206</v>
      </c>
      <c r="N167" s="26">
        <v>2050.3106989522698</v>
      </c>
      <c r="O167" s="93">
        <f t="shared" si="14"/>
        <v>34445.219742398134</v>
      </c>
      <c r="P167" s="95">
        <f t="shared" si="15"/>
        <v>13921.679386578931</v>
      </c>
      <c r="Q167" s="196">
        <v>1</v>
      </c>
    </row>
    <row r="168" spans="1:17" x14ac:dyDescent="0.25">
      <c r="A168" s="243">
        <v>1973</v>
      </c>
      <c r="B168" s="243" t="s">
        <v>183</v>
      </c>
      <c r="C168" s="198" t="s">
        <v>289</v>
      </c>
      <c r="D168" s="111" t="s">
        <v>274</v>
      </c>
      <c r="E168" s="33">
        <f t="shared" si="11"/>
        <v>26845</v>
      </c>
      <c r="F168" s="90" t="str">
        <f t="shared" si="12"/>
        <v>Date check - OK</v>
      </c>
      <c r="H168" s="115"/>
      <c r="I168" s="26"/>
      <c r="J168" s="98">
        <f t="shared" si="13"/>
        <v>0.40416869135089106</v>
      </c>
      <c r="K168" s="36"/>
      <c r="L168" s="26">
        <v>203.6</v>
      </c>
      <c r="M168" s="26" t="s">
        <v>206</v>
      </c>
      <c r="N168" s="26">
        <v>2050.3106989522698</v>
      </c>
      <c r="O168" s="93">
        <f t="shared" si="14"/>
        <v>417443.25830668211</v>
      </c>
      <c r="P168" s="95">
        <f t="shared" si="15"/>
        <v>168717.49542306369</v>
      </c>
      <c r="Q168" s="196">
        <v>1</v>
      </c>
    </row>
    <row r="169" spans="1:17" x14ac:dyDescent="0.25">
      <c r="A169" s="243">
        <v>1973</v>
      </c>
      <c r="B169" s="243" t="s">
        <v>183</v>
      </c>
      <c r="C169" s="198" t="s">
        <v>289</v>
      </c>
      <c r="D169" s="111" t="s">
        <v>274</v>
      </c>
      <c r="E169" s="33">
        <f t="shared" si="11"/>
        <v>26845</v>
      </c>
      <c r="F169" s="90" t="str">
        <f t="shared" si="12"/>
        <v>Date check - OK</v>
      </c>
      <c r="H169" s="115"/>
      <c r="I169" s="26"/>
      <c r="J169" s="98">
        <f t="shared" si="13"/>
        <v>0.40416869135089106</v>
      </c>
      <c r="K169" s="36"/>
      <c r="L169" s="26">
        <v>24.1</v>
      </c>
      <c r="M169" s="26" t="s">
        <v>206</v>
      </c>
      <c r="N169" s="26">
        <v>1528.354116880093</v>
      </c>
      <c r="O169" s="93">
        <f t="shared" si="14"/>
        <v>36833.334216810246</v>
      </c>
      <c r="P169" s="95">
        <f t="shared" si="15"/>
        <v>14886.880488498195</v>
      </c>
      <c r="Q169" s="196">
        <v>1</v>
      </c>
    </row>
    <row r="170" spans="1:17" x14ac:dyDescent="0.25">
      <c r="A170" s="243">
        <v>1973</v>
      </c>
      <c r="B170" s="243" t="s">
        <v>183</v>
      </c>
      <c r="C170" s="198" t="s">
        <v>289</v>
      </c>
      <c r="D170" s="111" t="s">
        <v>274</v>
      </c>
      <c r="E170" s="33">
        <f t="shared" si="11"/>
        <v>26845</v>
      </c>
      <c r="F170" s="90" t="str">
        <f t="shared" si="12"/>
        <v>Date check - OK</v>
      </c>
      <c r="H170" s="115"/>
      <c r="I170" s="26"/>
      <c r="J170" s="98">
        <f t="shared" si="13"/>
        <v>0.40416869135089106</v>
      </c>
      <c r="K170" s="36"/>
      <c r="L170" s="26">
        <v>468.5</v>
      </c>
      <c r="M170" s="26" t="s">
        <v>206</v>
      </c>
      <c r="N170" s="26">
        <v>1578.9186607683353</v>
      </c>
      <c r="O170" s="93">
        <f t="shared" si="14"/>
        <v>739723.3925699651</v>
      </c>
      <c r="P170" s="95">
        <f t="shared" si="15"/>
        <v>298973.03553664422</v>
      </c>
      <c r="Q170" s="196">
        <v>1</v>
      </c>
    </row>
    <row r="171" spans="1:17" x14ac:dyDescent="0.25">
      <c r="A171" s="243">
        <v>1973</v>
      </c>
      <c r="B171" s="243" t="s">
        <v>183</v>
      </c>
      <c r="C171" s="198" t="s">
        <v>289</v>
      </c>
      <c r="D171" s="111" t="s">
        <v>274</v>
      </c>
      <c r="E171" s="33">
        <f t="shared" si="11"/>
        <v>26845</v>
      </c>
      <c r="F171" s="90" t="str">
        <f t="shared" si="12"/>
        <v>Date check - OK</v>
      </c>
      <c r="H171" s="115"/>
      <c r="I171" s="26"/>
      <c r="J171" s="98">
        <f t="shared" si="13"/>
        <v>0.40416869135089106</v>
      </c>
      <c r="K171" s="36"/>
      <c r="L171" s="26">
        <v>50.5</v>
      </c>
      <c r="M171" s="26" t="s">
        <v>206</v>
      </c>
      <c r="N171" s="26">
        <v>1234.7535394644935</v>
      </c>
      <c r="O171" s="93">
        <f t="shared" si="14"/>
        <v>62355.053742956923</v>
      </c>
      <c r="P171" s="95">
        <f t="shared" si="15"/>
        <v>25201.960470405382</v>
      </c>
      <c r="Q171" s="196">
        <v>1</v>
      </c>
    </row>
    <row r="172" spans="1:17" x14ac:dyDescent="0.25">
      <c r="A172" s="243">
        <v>1973</v>
      </c>
      <c r="B172" s="243" t="s">
        <v>183</v>
      </c>
      <c r="C172" s="198" t="s">
        <v>289</v>
      </c>
      <c r="D172" s="111" t="s">
        <v>274</v>
      </c>
      <c r="E172" s="33">
        <f t="shared" si="11"/>
        <v>26845</v>
      </c>
      <c r="F172" s="90" t="str">
        <f t="shared" si="12"/>
        <v>Date check - OK</v>
      </c>
      <c r="H172" s="115"/>
      <c r="I172" s="26"/>
      <c r="J172" s="98">
        <f t="shared" si="13"/>
        <v>0.40416869135089106</v>
      </c>
      <c r="K172" s="36"/>
      <c r="L172" s="26">
        <v>211.8</v>
      </c>
      <c r="M172" s="26" t="s">
        <v>206</v>
      </c>
      <c r="N172" s="26">
        <v>1074.9043362048894</v>
      </c>
      <c r="O172" s="93">
        <f t="shared" si="14"/>
        <v>227664.73840819558</v>
      </c>
      <c r="P172" s="95">
        <f t="shared" si="15"/>
        <v>92014.95938918335</v>
      </c>
      <c r="Q172" s="196">
        <v>1</v>
      </c>
    </row>
    <row r="173" spans="1:17" x14ac:dyDescent="0.25">
      <c r="A173" s="243">
        <v>1973</v>
      </c>
      <c r="B173" s="243" t="s">
        <v>183</v>
      </c>
      <c r="C173" s="198" t="s">
        <v>289</v>
      </c>
      <c r="D173" s="111" t="s">
        <v>274</v>
      </c>
      <c r="E173" s="33">
        <f t="shared" si="11"/>
        <v>26845</v>
      </c>
      <c r="F173" s="90" t="str">
        <f t="shared" si="12"/>
        <v>Date check - OK</v>
      </c>
      <c r="H173" s="115"/>
      <c r="I173" s="26"/>
      <c r="J173" s="98">
        <f t="shared" si="13"/>
        <v>0.40416869135089106</v>
      </c>
      <c r="K173" s="36"/>
      <c r="L173" s="26">
        <v>7</v>
      </c>
      <c r="M173" s="26" t="s">
        <v>206</v>
      </c>
      <c r="N173" s="26">
        <v>494.22763864959256</v>
      </c>
      <c r="O173" s="93">
        <f t="shared" si="14"/>
        <v>3459.5934705471482</v>
      </c>
      <c r="P173" s="95">
        <f t="shared" si="15"/>
        <v>1398.2593655971284</v>
      </c>
      <c r="Q173" s="196">
        <v>1</v>
      </c>
    </row>
    <row r="174" spans="1:17" x14ac:dyDescent="0.25">
      <c r="A174" s="243">
        <v>1973</v>
      </c>
      <c r="B174" s="243" t="s">
        <v>183</v>
      </c>
      <c r="C174" s="198" t="s">
        <v>289</v>
      </c>
      <c r="D174" s="111" t="s">
        <v>274</v>
      </c>
      <c r="E174" s="33">
        <f t="shared" si="11"/>
        <v>26845</v>
      </c>
      <c r="F174" s="90" t="str">
        <f t="shared" si="12"/>
        <v>Date check - OK</v>
      </c>
      <c r="H174" s="115"/>
      <c r="I174" s="26"/>
      <c r="J174" s="98">
        <f t="shared" si="13"/>
        <v>0.40416869135089106</v>
      </c>
      <c r="K174" s="36"/>
      <c r="L174" s="26">
        <v>19</v>
      </c>
      <c r="M174" s="26" t="s">
        <v>206</v>
      </c>
      <c r="N174" s="26">
        <v>494.22763864959256</v>
      </c>
      <c r="O174" s="93">
        <f t="shared" si="14"/>
        <v>9390.325134342258</v>
      </c>
      <c r="P174" s="95">
        <f t="shared" si="15"/>
        <v>3795.2754209064906</v>
      </c>
      <c r="Q174" s="196">
        <v>1</v>
      </c>
    </row>
    <row r="175" spans="1:17" x14ac:dyDescent="0.25">
      <c r="A175" s="243">
        <v>1973</v>
      </c>
      <c r="B175" s="243" t="s">
        <v>183</v>
      </c>
      <c r="C175" s="198" t="s">
        <v>290</v>
      </c>
      <c r="D175" s="111" t="s">
        <v>291</v>
      </c>
      <c r="E175" s="33">
        <f t="shared" si="11"/>
        <v>26845</v>
      </c>
      <c r="F175" s="90" t="str">
        <f t="shared" si="12"/>
        <v>Date check - OK</v>
      </c>
      <c r="H175" s="115"/>
      <c r="I175" s="26"/>
      <c r="J175" s="98">
        <f t="shared" si="13"/>
        <v>0.40416869135089106</v>
      </c>
      <c r="K175" s="36"/>
      <c r="L175" s="26">
        <v>487.3</v>
      </c>
      <c r="M175" s="26" t="s">
        <v>206</v>
      </c>
      <c r="N175" s="26">
        <v>567.62778300349237</v>
      </c>
      <c r="O175" s="93">
        <f t="shared" si="14"/>
        <v>276605.01865760185</v>
      </c>
      <c r="P175" s="95">
        <f t="shared" si="15"/>
        <v>111795.08841193175</v>
      </c>
      <c r="Q175" s="196">
        <v>1</v>
      </c>
    </row>
    <row r="176" spans="1:17" x14ac:dyDescent="0.25">
      <c r="A176" s="243">
        <v>1973</v>
      </c>
      <c r="B176" s="243" t="s">
        <v>183</v>
      </c>
      <c r="C176" s="198" t="s">
        <v>292</v>
      </c>
      <c r="D176" s="111" t="s">
        <v>293</v>
      </c>
      <c r="E176" s="33">
        <f t="shared" si="11"/>
        <v>26845</v>
      </c>
      <c r="F176" s="90" t="str">
        <f t="shared" si="12"/>
        <v>Date check - OK</v>
      </c>
      <c r="H176" s="115"/>
      <c r="I176" s="26"/>
      <c r="J176" s="98">
        <f t="shared" si="13"/>
        <v>0.40416869135089106</v>
      </c>
      <c r="K176" s="36"/>
      <c r="L176" s="26">
        <v>23</v>
      </c>
      <c r="M176" s="26" t="s">
        <v>206</v>
      </c>
      <c r="N176" s="26">
        <v>567.62778300349237</v>
      </c>
      <c r="O176" s="93">
        <f t="shared" si="14"/>
        <v>13055.439009080324</v>
      </c>
      <c r="P176" s="95">
        <f t="shared" si="15"/>
        <v>5276.5996993113686</v>
      </c>
      <c r="Q176" s="196">
        <v>1</v>
      </c>
    </row>
    <row r="177" spans="1:17" x14ac:dyDescent="0.25">
      <c r="A177" s="243">
        <v>1973</v>
      </c>
      <c r="B177" s="243" t="s">
        <v>183</v>
      </c>
      <c r="C177" s="198" t="s">
        <v>292</v>
      </c>
      <c r="D177" s="111" t="s">
        <v>294</v>
      </c>
      <c r="E177" s="33">
        <f t="shared" si="11"/>
        <v>26845</v>
      </c>
      <c r="F177" s="90" t="str">
        <f t="shared" si="12"/>
        <v>Date check - OK</v>
      </c>
      <c r="H177" s="115"/>
      <c r="I177" s="26"/>
      <c r="J177" s="98">
        <f t="shared" si="13"/>
        <v>0.40416869135089106</v>
      </c>
      <c r="K177" s="36"/>
      <c r="L177" s="26">
        <v>17</v>
      </c>
      <c r="M177" s="26" t="s">
        <v>206</v>
      </c>
      <c r="N177" s="26">
        <v>6428.2215310826541</v>
      </c>
      <c r="O177" s="93">
        <f t="shared" si="14"/>
        <v>109279.76602840512</v>
      </c>
      <c r="P177" s="95">
        <f t="shared" si="15"/>
        <v>44167.460026832057</v>
      </c>
      <c r="Q177" s="196">
        <v>1</v>
      </c>
    </row>
    <row r="178" spans="1:17" x14ac:dyDescent="0.25">
      <c r="A178" s="243">
        <v>1973</v>
      </c>
      <c r="B178" s="243" t="s">
        <v>183</v>
      </c>
      <c r="C178" s="198" t="s">
        <v>292</v>
      </c>
      <c r="D178" s="111" t="s">
        <v>295</v>
      </c>
      <c r="E178" s="33">
        <f t="shared" si="11"/>
        <v>26845</v>
      </c>
      <c r="F178" s="90" t="str">
        <f t="shared" si="12"/>
        <v>Date check - OK</v>
      </c>
      <c r="H178" s="115"/>
      <c r="I178" s="26"/>
      <c r="J178" s="98">
        <f t="shared" si="13"/>
        <v>0.40416869135089106</v>
      </c>
      <c r="K178" s="36"/>
      <c r="L178" s="26">
        <v>101</v>
      </c>
      <c r="M178" s="26" t="s">
        <v>206</v>
      </c>
      <c r="N178" s="26">
        <v>6428.2215310826541</v>
      </c>
      <c r="O178" s="93">
        <f t="shared" si="14"/>
        <v>649250.37463934801</v>
      </c>
      <c r="P178" s="95">
        <f t="shared" si="15"/>
        <v>262406.67427706101</v>
      </c>
      <c r="Q178" s="196">
        <v>1</v>
      </c>
    </row>
    <row r="179" spans="1:17" x14ac:dyDescent="0.25">
      <c r="A179" s="243">
        <v>1973</v>
      </c>
      <c r="B179" s="243" t="s">
        <v>183</v>
      </c>
      <c r="C179" s="198" t="s">
        <v>296</v>
      </c>
      <c r="D179" s="111" t="s">
        <v>297</v>
      </c>
      <c r="E179" s="33">
        <f t="shared" si="11"/>
        <v>26845</v>
      </c>
      <c r="F179" s="90" t="str">
        <f t="shared" si="12"/>
        <v>Date check - OK</v>
      </c>
      <c r="H179" s="115"/>
      <c r="I179" s="26"/>
      <c r="J179" s="98">
        <f t="shared" si="13"/>
        <v>0.40416869135089106</v>
      </c>
      <c r="K179" s="36"/>
      <c r="L179" s="26">
        <v>83</v>
      </c>
      <c r="M179" s="26" t="s">
        <v>206</v>
      </c>
      <c r="N179" s="26">
        <v>709.53472875436546</v>
      </c>
      <c r="O179" s="93">
        <f t="shared" si="14"/>
        <v>58891.382486612332</v>
      </c>
      <c r="P179" s="95">
        <f t="shared" si="15"/>
        <v>23802.052991458891</v>
      </c>
      <c r="Q179" s="196">
        <v>1</v>
      </c>
    </row>
    <row r="180" spans="1:17" x14ac:dyDescent="0.25">
      <c r="A180" s="243">
        <v>1973</v>
      </c>
      <c r="B180" s="243" t="s">
        <v>183</v>
      </c>
      <c r="C180" s="198" t="s">
        <v>298</v>
      </c>
      <c r="D180" s="111" t="s">
        <v>299</v>
      </c>
      <c r="E180" s="33">
        <f t="shared" si="11"/>
        <v>26845</v>
      </c>
      <c r="F180" s="90" t="str">
        <f t="shared" si="12"/>
        <v>Date check - OK</v>
      </c>
      <c r="H180" s="115"/>
      <c r="I180" s="26"/>
      <c r="J180" s="98">
        <f t="shared" si="13"/>
        <v>0.40416869135089106</v>
      </c>
      <c r="K180" s="36"/>
      <c r="L180" s="26">
        <v>39</v>
      </c>
      <c r="M180" s="26" t="s">
        <v>206</v>
      </c>
      <c r="N180" s="26">
        <v>751.94370104772986</v>
      </c>
      <c r="O180" s="93">
        <f t="shared" si="14"/>
        <v>29325.804340861465</v>
      </c>
      <c r="P180" s="95">
        <f t="shared" si="15"/>
        <v>11852.571963258259</v>
      </c>
      <c r="Q180" s="196">
        <v>1</v>
      </c>
    </row>
    <row r="181" spans="1:17" x14ac:dyDescent="0.25">
      <c r="A181" s="243">
        <v>1973</v>
      </c>
      <c r="B181" s="243" t="s">
        <v>183</v>
      </c>
      <c r="C181" s="198" t="s">
        <v>300</v>
      </c>
      <c r="D181" s="111" t="s">
        <v>299</v>
      </c>
      <c r="E181" s="33">
        <f t="shared" si="11"/>
        <v>26845</v>
      </c>
      <c r="F181" s="90" t="str">
        <f t="shared" si="12"/>
        <v>Date check - OK</v>
      </c>
      <c r="H181" s="115"/>
      <c r="I181" s="26"/>
      <c r="J181" s="98">
        <f t="shared" si="13"/>
        <v>0.40416869135089106</v>
      </c>
      <c r="K181" s="36"/>
      <c r="L181" s="26">
        <v>629</v>
      </c>
      <c r="M181" s="26" t="s">
        <v>206</v>
      </c>
      <c r="N181" s="26">
        <v>685.06801396973219</v>
      </c>
      <c r="O181" s="93">
        <f t="shared" si="14"/>
        <v>430907.78078696155</v>
      </c>
      <c r="P181" s="95">
        <f t="shared" si="15"/>
        <v>174159.43385358289</v>
      </c>
      <c r="Q181" s="196">
        <v>1</v>
      </c>
    </row>
    <row r="182" spans="1:17" x14ac:dyDescent="0.25">
      <c r="A182" s="243">
        <v>1973</v>
      </c>
      <c r="B182" s="243" t="s">
        <v>183</v>
      </c>
      <c r="C182" s="198" t="s">
        <v>301</v>
      </c>
      <c r="D182" s="111" t="s">
        <v>299</v>
      </c>
      <c r="E182" s="33">
        <f t="shared" si="11"/>
        <v>26845</v>
      </c>
      <c r="F182" s="90" t="str">
        <f t="shared" si="12"/>
        <v>Date check - OK</v>
      </c>
      <c r="H182" s="115"/>
      <c r="I182" s="26"/>
      <c r="J182" s="98">
        <f t="shared" si="13"/>
        <v>0.40416869135089106</v>
      </c>
      <c r="K182" s="36"/>
      <c r="L182" s="26">
        <v>320</v>
      </c>
      <c r="M182" s="26" t="s">
        <v>206</v>
      </c>
      <c r="N182" s="26">
        <v>685.06801396973219</v>
      </c>
      <c r="O182" s="93">
        <f t="shared" si="14"/>
        <v>219221.76447031432</v>
      </c>
      <c r="P182" s="95">
        <f t="shared" si="15"/>
        <v>88602.57366160021</v>
      </c>
      <c r="Q182" s="196">
        <v>1</v>
      </c>
    </row>
    <row r="183" spans="1:17" x14ac:dyDescent="0.25">
      <c r="A183" s="243">
        <v>1973</v>
      </c>
      <c r="B183" s="243" t="s">
        <v>183</v>
      </c>
      <c r="C183" s="198" t="s">
        <v>302</v>
      </c>
      <c r="D183" s="111" t="s">
        <v>282</v>
      </c>
      <c r="E183" s="33">
        <f t="shared" si="11"/>
        <v>26845</v>
      </c>
      <c r="F183" s="90" t="str">
        <f t="shared" si="12"/>
        <v>Date check - OK</v>
      </c>
      <c r="H183" s="115"/>
      <c r="I183" s="26"/>
      <c r="J183" s="98">
        <f t="shared" si="13"/>
        <v>0.40416869135089106</v>
      </c>
      <c r="K183" s="36"/>
      <c r="L183" s="26">
        <v>161</v>
      </c>
      <c r="M183" s="26" t="s">
        <v>206</v>
      </c>
      <c r="N183" s="26">
        <v>709.53472875436546</v>
      </c>
      <c r="O183" s="93">
        <f t="shared" si="14"/>
        <v>114235.09132945284</v>
      </c>
      <c r="P183" s="95">
        <f t="shared" si="15"/>
        <v>46170.24736897448</v>
      </c>
      <c r="Q183" s="196">
        <v>1</v>
      </c>
    </row>
    <row r="184" spans="1:17" x14ac:dyDescent="0.25">
      <c r="A184" s="243">
        <v>1973</v>
      </c>
      <c r="B184" s="243" t="s">
        <v>183</v>
      </c>
      <c r="C184" s="198" t="s">
        <v>303</v>
      </c>
      <c r="D184" s="111" t="s">
        <v>304</v>
      </c>
      <c r="E184" s="33">
        <f t="shared" si="11"/>
        <v>26845</v>
      </c>
      <c r="F184" s="90" t="str">
        <f t="shared" si="12"/>
        <v>Date check - OK</v>
      </c>
      <c r="H184" s="115"/>
      <c r="I184" s="26"/>
      <c r="J184" s="98">
        <f t="shared" si="13"/>
        <v>0.40416869135089106</v>
      </c>
      <c r="K184" s="36"/>
      <c r="L184" s="26">
        <v>2557</v>
      </c>
      <c r="M184" s="26" t="s">
        <v>206</v>
      </c>
      <c r="N184" s="26">
        <v>2560.8494807916181</v>
      </c>
      <c r="O184" s="93">
        <f t="shared" si="14"/>
        <v>6548092.1223841673</v>
      </c>
      <c r="P184" s="95">
        <f t="shared" si="15"/>
        <v>2646533.8239490879</v>
      </c>
      <c r="Q184" s="196">
        <v>1</v>
      </c>
    </row>
    <row r="185" spans="1:17" x14ac:dyDescent="0.25">
      <c r="A185" s="243">
        <v>1973</v>
      </c>
      <c r="B185" s="243" t="s">
        <v>183</v>
      </c>
      <c r="C185" s="198" t="s">
        <v>305</v>
      </c>
      <c r="D185" s="111" t="s">
        <v>306</v>
      </c>
      <c r="E185" s="33">
        <f t="shared" si="11"/>
        <v>26845</v>
      </c>
      <c r="F185" s="90" t="str">
        <f t="shared" si="12"/>
        <v>Date check - OK</v>
      </c>
      <c r="H185" s="115"/>
      <c r="I185" s="26"/>
      <c r="J185" s="98">
        <f t="shared" si="13"/>
        <v>0.40416869135089106</v>
      </c>
      <c r="K185" s="36"/>
      <c r="L185" s="26">
        <v>32</v>
      </c>
      <c r="M185" s="26" t="s">
        <v>206</v>
      </c>
      <c r="N185" s="26">
        <v>946.04630500582073</v>
      </c>
      <c r="O185" s="93">
        <f t="shared" si="14"/>
        <v>30273.481760186263</v>
      </c>
      <c r="P185" s="95">
        <f t="shared" si="15"/>
        <v>12235.593505649553</v>
      </c>
      <c r="Q185" s="196">
        <v>1</v>
      </c>
    </row>
    <row r="186" spans="1:17" x14ac:dyDescent="0.25">
      <c r="A186" s="243">
        <v>1973</v>
      </c>
      <c r="B186" s="243" t="s">
        <v>183</v>
      </c>
      <c r="C186" s="198"/>
      <c r="D186" s="111" t="s">
        <v>306</v>
      </c>
      <c r="E186" s="33">
        <f t="shared" si="11"/>
        <v>26845</v>
      </c>
      <c r="F186" s="90" t="str">
        <f t="shared" si="12"/>
        <v>Date check - OK</v>
      </c>
      <c r="H186" s="115"/>
      <c r="I186" s="26"/>
      <c r="J186" s="98">
        <f t="shared" si="13"/>
        <v>0.40416869135089106</v>
      </c>
      <c r="K186" s="36"/>
      <c r="L186" s="26">
        <v>412</v>
      </c>
      <c r="M186" s="26" t="s">
        <v>206</v>
      </c>
      <c r="N186" s="26">
        <v>520.32546775320145</v>
      </c>
      <c r="O186" s="93">
        <f t="shared" si="14"/>
        <v>214374.09271431901</v>
      </c>
      <c r="P186" s="95">
        <f t="shared" si="15"/>
        <v>86643.296511880908</v>
      </c>
      <c r="Q186" s="196">
        <v>1</v>
      </c>
    </row>
    <row r="187" spans="1:17" x14ac:dyDescent="0.25">
      <c r="A187" s="243">
        <v>1973</v>
      </c>
      <c r="B187" s="243" t="s">
        <v>183</v>
      </c>
      <c r="C187" s="198"/>
      <c r="D187" s="111" t="s">
        <v>306</v>
      </c>
      <c r="E187" s="33">
        <f t="shared" si="11"/>
        <v>26845</v>
      </c>
      <c r="F187" s="90" t="str">
        <f t="shared" si="12"/>
        <v>Date check - OK</v>
      </c>
      <c r="H187" s="115"/>
      <c r="I187" s="26"/>
      <c r="J187" s="98">
        <f t="shared" si="13"/>
        <v>0.40416869135089106</v>
      </c>
      <c r="K187" s="36"/>
      <c r="L187" s="26">
        <v>422</v>
      </c>
      <c r="M187" s="26" t="s">
        <v>206</v>
      </c>
      <c r="N187" s="26">
        <v>567.62778300349237</v>
      </c>
      <c r="O187" s="93">
        <f t="shared" si="14"/>
        <v>239538.92442747377</v>
      </c>
      <c r="P187" s="95">
        <f t="shared" si="15"/>
        <v>96814.133613452068</v>
      </c>
      <c r="Q187" s="196">
        <v>1</v>
      </c>
    </row>
    <row r="188" spans="1:17" x14ac:dyDescent="0.25">
      <c r="A188" s="243">
        <v>1973</v>
      </c>
      <c r="B188" s="243" t="s">
        <v>183</v>
      </c>
      <c r="C188" s="198" t="s">
        <v>303</v>
      </c>
      <c r="D188" s="111" t="s">
        <v>307</v>
      </c>
      <c r="E188" s="33">
        <f t="shared" si="11"/>
        <v>26845</v>
      </c>
      <c r="F188" s="90" t="str">
        <f t="shared" si="12"/>
        <v>Date check - OK</v>
      </c>
      <c r="H188" s="115"/>
      <c r="I188" s="26"/>
      <c r="J188" s="98">
        <f t="shared" si="13"/>
        <v>0.40416869135089106</v>
      </c>
      <c r="K188" s="36"/>
      <c r="L188" s="26">
        <v>38</v>
      </c>
      <c r="M188" s="26" t="s">
        <v>206</v>
      </c>
      <c r="N188" s="26">
        <v>1528.354116880093</v>
      </c>
      <c r="O188" s="93">
        <f t="shared" si="14"/>
        <v>58077.45644144353</v>
      </c>
      <c r="P188" s="95">
        <f t="shared" si="15"/>
        <v>23473.08956692661</v>
      </c>
      <c r="Q188" s="196">
        <v>1</v>
      </c>
    </row>
    <row r="189" spans="1:17" x14ac:dyDescent="0.25">
      <c r="A189" s="243">
        <v>1973</v>
      </c>
      <c r="B189" s="243" t="s">
        <v>183</v>
      </c>
      <c r="C189" s="198"/>
      <c r="D189" s="111" t="s">
        <v>307</v>
      </c>
      <c r="E189" s="33">
        <f t="shared" si="11"/>
        <v>26845</v>
      </c>
      <c r="F189" s="90" t="str">
        <f t="shared" si="12"/>
        <v>Date check - OK</v>
      </c>
      <c r="H189" s="115"/>
      <c r="I189" s="26"/>
      <c r="J189" s="98">
        <f t="shared" si="13"/>
        <v>0.40416869135089106</v>
      </c>
      <c r="K189" s="36"/>
      <c r="L189" s="26">
        <v>325</v>
      </c>
      <c r="M189" s="26" t="s">
        <v>206</v>
      </c>
      <c r="N189" s="26">
        <v>1177.6645383003492</v>
      </c>
      <c r="O189" s="93">
        <f t="shared" si="14"/>
        <v>382740.97494761349</v>
      </c>
      <c r="P189" s="95">
        <f t="shared" si="15"/>
        <v>154691.91897094113</v>
      </c>
      <c r="Q189" s="196">
        <v>1</v>
      </c>
    </row>
    <row r="190" spans="1:17" x14ac:dyDescent="0.25">
      <c r="A190" s="243">
        <v>1973</v>
      </c>
      <c r="B190" s="243" t="s">
        <v>183</v>
      </c>
      <c r="C190" s="198"/>
      <c r="D190" s="111" t="s">
        <v>307</v>
      </c>
      <c r="E190" s="33">
        <f t="shared" si="11"/>
        <v>26845</v>
      </c>
      <c r="F190" s="90" t="str">
        <f t="shared" si="12"/>
        <v>Date check - OK</v>
      </c>
      <c r="H190" s="115"/>
      <c r="I190" s="26"/>
      <c r="J190" s="98">
        <f t="shared" si="13"/>
        <v>0.40416869135089106</v>
      </c>
      <c r="K190" s="36"/>
      <c r="L190" s="26">
        <v>511</v>
      </c>
      <c r="M190" s="26" t="s">
        <v>206</v>
      </c>
      <c r="N190" s="26">
        <v>450.18755203725266</v>
      </c>
      <c r="O190" s="93">
        <f t="shared" si="14"/>
        <v>230045.83909103612</v>
      </c>
      <c r="P190" s="95">
        <f t="shared" si="15"/>
        <v>92977.32573614172</v>
      </c>
      <c r="Q190" s="196">
        <v>1</v>
      </c>
    </row>
    <row r="191" spans="1:17" x14ac:dyDescent="0.25">
      <c r="A191" s="243">
        <v>1973</v>
      </c>
      <c r="B191" s="243" t="s">
        <v>183</v>
      </c>
      <c r="C191" s="198" t="s">
        <v>308</v>
      </c>
      <c r="D191" s="111" t="s">
        <v>309</v>
      </c>
      <c r="E191" s="33">
        <f t="shared" si="11"/>
        <v>26845</v>
      </c>
      <c r="F191" s="90" t="str">
        <f t="shared" si="12"/>
        <v>Date check - OK</v>
      </c>
      <c r="H191" s="115"/>
      <c r="I191" s="26"/>
      <c r="J191" s="98">
        <f t="shared" si="13"/>
        <v>0.40416869135089106</v>
      </c>
      <c r="K191" s="36"/>
      <c r="L191" s="26">
        <v>310</v>
      </c>
      <c r="M191" s="26" t="s">
        <v>206</v>
      </c>
      <c r="N191" s="26">
        <v>494.22763864959256</v>
      </c>
      <c r="O191" s="93">
        <f t="shared" si="14"/>
        <v>153210.56798137369</v>
      </c>
      <c r="P191" s="95">
        <f t="shared" si="15"/>
        <v>61922.914762158536</v>
      </c>
      <c r="Q191" s="196">
        <v>1</v>
      </c>
    </row>
    <row r="192" spans="1:17" x14ac:dyDescent="0.25">
      <c r="A192" s="243">
        <v>1974</v>
      </c>
      <c r="B192" s="243" t="s">
        <v>183</v>
      </c>
      <c r="C192" s="198">
        <v>47043</v>
      </c>
      <c r="D192" s="111" t="s">
        <v>310</v>
      </c>
      <c r="E192" s="33">
        <f t="shared" si="11"/>
        <v>27210</v>
      </c>
      <c r="F192" s="90" t="str">
        <f t="shared" si="12"/>
        <v>Date check - OK</v>
      </c>
      <c r="H192" s="115"/>
      <c r="I192" s="26"/>
      <c r="J192" s="98">
        <f t="shared" si="13"/>
        <v>0.40416869135089106</v>
      </c>
      <c r="K192" s="36"/>
      <c r="L192" s="26">
        <v>324</v>
      </c>
      <c r="M192" s="26" t="s">
        <v>206</v>
      </c>
      <c r="N192" s="26">
        <v>567.62778300349237</v>
      </c>
      <c r="O192" s="93">
        <f t="shared" si="14"/>
        <v>183911.40169313154</v>
      </c>
      <c r="P192" s="95">
        <f t="shared" si="15"/>
        <v>74331.230546821025</v>
      </c>
      <c r="Q192" s="196">
        <v>1</v>
      </c>
    </row>
    <row r="193" spans="1:17" x14ac:dyDescent="0.25">
      <c r="A193" s="243">
        <v>1974</v>
      </c>
      <c r="B193" s="243" t="s">
        <v>183</v>
      </c>
      <c r="C193" s="198">
        <v>36621</v>
      </c>
      <c r="D193" s="111" t="s">
        <v>311</v>
      </c>
      <c r="E193" s="33">
        <f t="shared" si="11"/>
        <v>27210</v>
      </c>
      <c r="F193" s="90" t="str">
        <f t="shared" si="12"/>
        <v>Date check - OK</v>
      </c>
      <c r="H193" s="115"/>
      <c r="I193" s="26"/>
      <c r="J193" s="98">
        <f t="shared" si="13"/>
        <v>0.40416869135089106</v>
      </c>
      <c r="K193" s="36"/>
      <c r="L193" s="26">
        <v>594</v>
      </c>
      <c r="M193" s="26" t="s">
        <v>206</v>
      </c>
      <c r="N193" s="26">
        <v>468.12980954598368</v>
      </c>
      <c r="O193" s="93">
        <f t="shared" si="14"/>
        <v>278069.10687031428</v>
      </c>
      <c r="P193" s="95">
        <f t="shared" si="15"/>
        <v>112386.82702888599</v>
      </c>
      <c r="Q193" s="196">
        <v>1</v>
      </c>
    </row>
    <row r="194" spans="1:17" x14ac:dyDescent="0.25">
      <c r="A194" s="243">
        <v>1974</v>
      </c>
      <c r="B194" s="243" t="s">
        <v>183</v>
      </c>
      <c r="C194" s="198"/>
      <c r="D194" s="111" t="s">
        <v>311</v>
      </c>
      <c r="E194" s="33">
        <f t="shared" si="11"/>
        <v>27210</v>
      </c>
      <c r="F194" s="90" t="str">
        <f t="shared" si="12"/>
        <v>Date check - OK</v>
      </c>
      <c r="H194" s="115"/>
      <c r="I194" s="26"/>
      <c r="J194" s="98">
        <f t="shared" si="13"/>
        <v>0.40416869135089106</v>
      </c>
      <c r="K194" s="36"/>
      <c r="L194" s="26">
        <v>392</v>
      </c>
      <c r="M194" s="26" t="s">
        <v>206</v>
      </c>
      <c r="N194" s="26">
        <v>494.22763864959256</v>
      </c>
      <c r="O194" s="93">
        <f t="shared" si="14"/>
        <v>193737.2343506403</v>
      </c>
      <c r="P194" s="95">
        <f t="shared" si="15"/>
        <v>78302.524473439189</v>
      </c>
      <c r="Q194" s="196">
        <v>1</v>
      </c>
    </row>
    <row r="195" spans="1:17" x14ac:dyDescent="0.25">
      <c r="A195" s="243">
        <v>1974</v>
      </c>
      <c r="B195" s="243" t="s">
        <v>183</v>
      </c>
      <c r="C195" s="198">
        <v>46936</v>
      </c>
      <c r="D195" s="111" t="s">
        <v>312</v>
      </c>
      <c r="E195" s="33">
        <f t="shared" si="11"/>
        <v>27210</v>
      </c>
      <c r="F195" s="90" t="str">
        <f t="shared" si="12"/>
        <v>Date check - OK</v>
      </c>
      <c r="H195" s="115"/>
      <c r="I195" s="26"/>
      <c r="J195" s="98">
        <f t="shared" si="13"/>
        <v>0.40416869135089106</v>
      </c>
      <c r="K195" s="36"/>
      <c r="L195" s="26">
        <v>307</v>
      </c>
      <c r="M195" s="26" t="s">
        <v>206</v>
      </c>
      <c r="N195" s="26">
        <v>1024.3397923166472</v>
      </c>
      <c r="O195" s="93">
        <f t="shared" si="14"/>
        <v>314472.31624121068</v>
      </c>
      <c r="P195" s="95">
        <f t="shared" si="15"/>
        <v>127099.86452129368</v>
      </c>
      <c r="Q195" s="196">
        <v>1</v>
      </c>
    </row>
    <row r="196" spans="1:17" x14ac:dyDescent="0.25">
      <c r="A196" s="243">
        <v>1974</v>
      </c>
      <c r="B196" s="243" t="s">
        <v>183</v>
      </c>
      <c r="C196" s="198"/>
      <c r="D196" s="111" t="s">
        <v>312</v>
      </c>
      <c r="E196" s="33">
        <f t="shared" si="11"/>
        <v>27210</v>
      </c>
      <c r="F196" s="90" t="str">
        <f t="shared" si="12"/>
        <v>Date check - OK</v>
      </c>
      <c r="H196" s="115"/>
      <c r="I196" s="26"/>
      <c r="J196" s="98">
        <f t="shared" si="13"/>
        <v>0.40416869135089106</v>
      </c>
      <c r="K196" s="36"/>
      <c r="L196" s="26">
        <v>20</v>
      </c>
      <c r="M196" s="26" t="s">
        <v>206</v>
      </c>
      <c r="N196" s="26">
        <v>1149.9355948777647</v>
      </c>
      <c r="O196" s="93">
        <f t="shared" si="14"/>
        <v>22998.711897555295</v>
      </c>
      <c r="P196" s="95">
        <f t="shared" si="15"/>
        <v>9295.3592903910921</v>
      </c>
      <c r="Q196" s="196">
        <v>1</v>
      </c>
    </row>
    <row r="197" spans="1:17" x14ac:dyDescent="0.25">
      <c r="A197" s="243">
        <v>1974</v>
      </c>
      <c r="B197" s="243" t="s">
        <v>183</v>
      </c>
      <c r="C197" s="198"/>
      <c r="D197" s="111" t="s">
        <v>312</v>
      </c>
      <c r="E197" s="33">
        <f t="shared" si="11"/>
        <v>27210</v>
      </c>
      <c r="F197" s="90" t="str">
        <f t="shared" si="12"/>
        <v>Date check - OK</v>
      </c>
      <c r="H197" s="115"/>
      <c r="I197" s="26"/>
      <c r="J197" s="98">
        <f t="shared" si="13"/>
        <v>0.40416869135089106</v>
      </c>
      <c r="K197" s="36"/>
      <c r="L197" s="26">
        <v>370</v>
      </c>
      <c r="M197" s="26" t="s">
        <v>206</v>
      </c>
      <c r="N197" s="26">
        <v>709.53472875436546</v>
      </c>
      <c r="O197" s="93">
        <f t="shared" si="14"/>
        <v>262527.84963911521</v>
      </c>
      <c r="P197" s="95">
        <f t="shared" si="15"/>
        <v>106105.5374318047</v>
      </c>
      <c r="Q197" s="196">
        <v>1</v>
      </c>
    </row>
    <row r="198" spans="1:17" x14ac:dyDescent="0.25">
      <c r="A198" s="243">
        <v>1974</v>
      </c>
      <c r="B198" s="243" t="s">
        <v>183</v>
      </c>
      <c r="C198" s="198"/>
      <c r="D198" s="111" t="s">
        <v>312</v>
      </c>
      <c r="E198" s="33">
        <f t="shared" si="11"/>
        <v>27210</v>
      </c>
      <c r="F198" s="90" t="str">
        <f t="shared" si="12"/>
        <v>Date check - OK</v>
      </c>
      <c r="H198" s="115"/>
      <c r="I198" s="26"/>
      <c r="J198" s="98">
        <f t="shared" si="13"/>
        <v>0.40416869135089106</v>
      </c>
      <c r="K198" s="36"/>
      <c r="L198" s="26">
        <v>612</v>
      </c>
      <c r="M198" s="26" t="s">
        <v>206</v>
      </c>
      <c r="N198" s="26">
        <v>624.71678416763677</v>
      </c>
      <c r="O198" s="93">
        <f t="shared" si="14"/>
        <v>382326.67191059369</v>
      </c>
      <c r="P198" s="95">
        <f t="shared" si="15"/>
        <v>154524.47065464614</v>
      </c>
      <c r="Q198" s="196">
        <v>1</v>
      </c>
    </row>
    <row r="199" spans="1:17" x14ac:dyDescent="0.25">
      <c r="A199" s="243">
        <v>1974</v>
      </c>
      <c r="B199" s="243" t="s">
        <v>183</v>
      </c>
      <c r="C199" s="198" t="s">
        <v>313</v>
      </c>
      <c r="D199" s="111" t="s">
        <v>314</v>
      </c>
      <c r="E199" s="33">
        <f t="shared" si="11"/>
        <v>27210</v>
      </c>
      <c r="F199" s="90" t="str">
        <f t="shared" si="12"/>
        <v>Date check - OK</v>
      </c>
      <c r="H199" s="115"/>
      <c r="I199" s="26"/>
      <c r="J199" s="98">
        <f t="shared" si="13"/>
        <v>0.40416869135089106</v>
      </c>
      <c r="K199" s="36"/>
      <c r="L199" s="26">
        <v>584</v>
      </c>
      <c r="M199" s="26" t="s">
        <v>206</v>
      </c>
      <c r="N199" s="26">
        <v>567.62778300349237</v>
      </c>
      <c r="O199" s="93">
        <f t="shared" si="14"/>
        <v>331494.62527403957</v>
      </c>
      <c r="P199" s="95">
        <f t="shared" si="15"/>
        <v>133979.7488868626</v>
      </c>
      <c r="Q199" s="196">
        <v>1</v>
      </c>
    </row>
    <row r="200" spans="1:17" x14ac:dyDescent="0.25">
      <c r="A200" s="243">
        <v>1974</v>
      </c>
      <c r="B200" s="243" t="s">
        <v>183</v>
      </c>
      <c r="C200" s="198" t="s">
        <v>315</v>
      </c>
      <c r="D200" s="111" t="s">
        <v>314</v>
      </c>
      <c r="E200" s="33">
        <f t="shared" si="11"/>
        <v>27210</v>
      </c>
      <c r="F200" s="90" t="str">
        <f t="shared" si="12"/>
        <v>Date check - OK</v>
      </c>
      <c r="H200" s="115"/>
      <c r="I200" s="26"/>
      <c r="J200" s="98">
        <f t="shared" si="13"/>
        <v>0.40416869135089106</v>
      </c>
      <c r="K200" s="36"/>
      <c r="L200" s="26">
        <v>23</v>
      </c>
      <c r="M200" s="26" t="s">
        <v>206</v>
      </c>
      <c r="N200" s="26">
        <v>520.32546775320145</v>
      </c>
      <c r="O200" s="93">
        <f t="shared" si="14"/>
        <v>11967.485758323633</v>
      </c>
      <c r="P200" s="95">
        <f t="shared" si="15"/>
        <v>4836.883057702089</v>
      </c>
      <c r="Q200" s="196">
        <v>1</v>
      </c>
    </row>
    <row r="201" spans="1:17" x14ac:dyDescent="0.25">
      <c r="A201" s="243">
        <v>1974</v>
      </c>
      <c r="B201" s="243" t="s">
        <v>183</v>
      </c>
      <c r="C201" s="198" t="s">
        <v>316</v>
      </c>
      <c r="D201" s="111" t="s">
        <v>317</v>
      </c>
      <c r="E201" s="33">
        <f t="shared" si="11"/>
        <v>27210</v>
      </c>
      <c r="F201" s="90" t="str">
        <f t="shared" si="12"/>
        <v>Date check - OK</v>
      </c>
      <c r="H201" s="115"/>
      <c r="I201" s="26"/>
      <c r="J201" s="98">
        <f t="shared" si="13"/>
        <v>0.40416869135089106</v>
      </c>
      <c r="K201" s="36"/>
      <c r="L201" s="26">
        <v>125</v>
      </c>
      <c r="M201" s="26" t="s">
        <v>206</v>
      </c>
      <c r="N201" s="26">
        <v>1177.6645383003492</v>
      </c>
      <c r="O201" s="93">
        <f t="shared" si="14"/>
        <v>147208.06728754364</v>
      </c>
      <c r="P201" s="95">
        <f t="shared" si="15"/>
        <v>59496.891911900428</v>
      </c>
      <c r="Q201" s="196">
        <v>1</v>
      </c>
    </row>
    <row r="202" spans="1:17" x14ac:dyDescent="0.25">
      <c r="A202" s="243">
        <v>1974</v>
      </c>
      <c r="B202" s="243" t="s">
        <v>183</v>
      </c>
      <c r="C202" s="198" t="s">
        <v>316</v>
      </c>
      <c r="D202" s="111" t="s">
        <v>317</v>
      </c>
      <c r="E202" s="33">
        <f t="shared" si="11"/>
        <v>27210</v>
      </c>
      <c r="F202" s="90" t="str">
        <f t="shared" si="12"/>
        <v>Date check - OK</v>
      </c>
      <c r="H202" s="115"/>
      <c r="I202" s="26"/>
      <c r="J202" s="98">
        <f t="shared" si="13"/>
        <v>0.40416869135089106</v>
      </c>
      <c r="K202" s="36"/>
      <c r="L202" s="26">
        <v>1056</v>
      </c>
      <c r="M202" s="26" t="s">
        <v>206</v>
      </c>
      <c r="N202" s="26">
        <v>1177.6645383003492</v>
      </c>
      <c r="O202" s="93">
        <f t="shared" si="14"/>
        <v>1243613.7524451688</v>
      </c>
      <c r="P202" s="95">
        <f t="shared" si="15"/>
        <v>502629.7428717349</v>
      </c>
      <c r="Q202" s="196">
        <v>1</v>
      </c>
    </row>
    <row r="203" spans="1:17" x14ac:dyDescent="0.25">
      <c r="A203" s="243">
        <v>1974</v>
      </c>
      <c r="B203" s="243" t="s">
        <v>183</v>
      </c>
      <c r="C203" s="198" t="s">
        <v>316</v>
      </c>
      <c r="D203" s="111" t="s">
        <v>317</v>
      </c>
      <c r="E203" s="33">
        <f t="shared" si="11"/>
        <v>27210</v>
      </c>
      <c r="F203" s="90" t="str">
        <f t="shared" si="12"/>
        <v>Date check - OK</v>
      </c>
      <c r="H203" s="115"/>
      <c r="I203" s="26"/>
      <c r="J203" s="98">
        <f t="shared" si="13"/>
        <v>0.40416869135089106</v>
      </c>
      <c r="K203" s="36"/>
      <c r="L203" s="26">
        <v>17.5</v>
      </c>
      <c r="M203" s="26" t="s">
        <v>206</v>
      </c>
      <c r="N203" s="26">
        <v>567.62778300349237</v>
      </c>
      <c r="O203" s="93">
        <f t="shared" si="14"/>
        <v>9933.4862025611164</v>
      </c>
      <c r="P203" s="95">
        <f t="shared" si="15"/>
        <v>4014.8041190412587</v>
      </c>
      <c r="Q203" s="196">
        <v>1</v>
      </c>
    </row>
    <row r="204" spans="1:17" x14ac:dyDescent="0.25">
      <c r="A204" s="243">
        <v>1974</v>
      </c>
      <c r="B204" s="243" t="s">
        <v>183</v>
      </c>
      <c r="C204" s="198" t="s">
        <v>318</v>
      </c>
      <c r="D204" s="111" t="s">
        <v>319</v>
      </c>
      <c r="E204" s="33">
        <f t="shared" si="11"/>
        <v>27210</v>
      </c>
      <c r="F204" s="90" t="str">
        <f t="shared" si="12"/>
        <v>Date check - OK</v>
      </c>
      <c r="H204" s="115"/>
      <c r="I204" s="26"/>
      <c r="J204" s="98">
        <f t="shared" si="13"/>
        <v>0.40416869135089106</v>
      </c>
      <c r="K204" s="36"/>
      <c r="L204" s="26">
        <v>286.5</v>
      </c>
      <c r="M204" s="26" t="s">
        <v>206</v>
      </c>
      <c r="N204" s="26">
        <v>624.71678416763677</v>
      </c>
      <c r="O204" s="93">
        <f t="shared" si="14"/>
        <v>178981.35866402794</v>
      </c>
      <c r="P204" s="95">
        <f t="shared" si="15"/>
        <v>72338.661507444645</v>
      </c>
      <c r="Q204" s="196">
        <v>1</v>
      </c>
    </row>
    <row r="205" spans="1:17" x14ac:dyDescent="0.25">
      <c r="A205" s="243">
        <v>1974</v>
      </c>
      <c r="B205" s="243" t="s">
        <v>183</v>
      </c>
      <c r="C205" s="198" t="s">
        <v>318</v>
      </c>
      <c r="D205" s="111" t="s">
        <v>319</v>
      </c>
      <c r="E205" s="33">
        <f t="shared" si="11"/>
        <v>27210</v>
      </c>
      <c r="F205" s="90" t="str">
        <f t="shared" si="12"/>
        <v>Date check - OK</v>
      </c>
      <c r="H205" s="115"/>
      <c r="I205" s="26"/>
      <c r="J205" s="98">
        <f t="shared" si="13"/>
        <v>0.40416869135089106</v>
      </c>
      <c r="K205" s="36"/>
      <c r="L205" s="26">
        <v>11.9</v>
      </c>
      <c r="M205" s="26" t="s">
        <v>206</v>
      </c>
      <c r="N205" s="26">
        <v>567.62778300349237</v>
      </c>
      <c r="O205" s="93">
        <f t="shared" si="14"/>
        <v>6754.7706177415594</v>
      </c>
      <c r="P205" s="95">
        <f t="shared" si="15"/>
        <v>2730.066800948056</v>
      </c>
      <c r="Q205" s="196">
        <v>1</v>
      </c>
    </row>
    <row r="206" spans="1:17" x14ac:dyDescent="0.25">
      <c r="A206" s="243">
        <v>1974</v>
      </c>
      <c r="B206" s="243" t="s">
        <v>183</v>
      </c>
      <c r="C206" s="198" t="s">
        <v>320</v>
      </c>
      <c r="D206" s="111" t="s">
        <v>321</v>
      </c>
      <c r="E206" s="33">
        <f t="shared" si="11"/>
        <v>27210</v>
      </c>
      <c r="F206" s="90" t="str">
        <f t="shared" si="12"/>
        <v>Date check - OK</v>
      </c>
      <c r="H206" s="115"/>
      <c r="I206" s="26"/>
      <c r="J206" s="98">
        <f t="shared" si="13"/>
        <v>0.40416869135089106</v>
      </c>
      <c r="K206" s="36"/>
      <c r="L206" s="26">
        <v>280.66000000000003</v>
      </c>
      <c r="M206" s="26" t="s">
        <v>206</v>
      </c>
      <c r="N206" s="26">
        <v>567.62778300349237</v>
      </c>
      <c r="O206" s="93">
        <f t="shared" si="14"/>
        <v>159310.41357776019</v>
      </c>
      <c r="P206" s="95">
        <f t="shared" si="15"/>
        <v>64388.281374292565</v>
      </c>
      <c r="Q206" s="196">
        <v>1</v>
      </c>
    </row>
    <row r="207" spans="1:17" x14ac:dyDescent="0.25">
      <c r="A207" s="243">
        <v>1974</v>
      </c>
      <c r="B207" s="243" t="s">
        <v>183</v>
      </c>
      <c r="C207" s="198" t="s">
        <v>320</v>
      </c>
      <c r="D207" s="111" t="s">
        <v>321</v>
      </c>
      <c r="E207" s="33">
        <f t="shared" si="11"/>
        <v>27210</v>
      </c>
      <c r="F207" s="90" t="str">
        <f t="shared" si="12"/>
        <v>Date check - OK</v>
      </c>
      <c r="H207" s="115"/>
      <c r="I207" s="26"/>
      <c r="J207" s="98">
        <f t="shared" si="13"/>
        <v>0.40416869135089106</v>
      </c>
      <c r="K207" s="36"/>
      <c r="L207" s="26">
        <v>8.8000000000000007</v>
      </c>
      <c r="M207" s="26" t="s">
        <v>206</v>
      </c>
      <c r="N207" s="26">
        <v>468.12980954598368</v>
      </c>
      <c r="O207" s="93">
        <f t="shared" si="14"/>
        <v>4119.5423240046566</v>
      </c>
      <c r="P207" s="95">
        <f t="shared" si="15"/>
        <v>1664.9900300575705</v>
      </c>
      <c r="Q207" s="196">
        <v>1</v>
      </c>
    </row>
    <row r="208" spans="1:17" ht="23" x14ac:dyDescent="0.25">
      <c r="A208" s="243">
        <v>1974</v>
      </c>
      <c r="B208" s="243" t="s">
        <v>183</v>
      </c>
      <c r="C208" s="198" t="s">
        <v>322</v>
      </c>
      <c r="D208" s="111" t="s">
        <v>323</v>
      </c>
      <c r="E208" s="33">
        <f t="shared" si="11"/>
        <v>27210</v>
      </c>
      <c r="F208" s="90" t="str">
        <f t="shared" si="12"/>
        <v>Date check - OK</v>
      </c>
      <c r="H208" s="115"/>
      <c r="I208" s="26"/>
      <c r="J208" s="98">
        <f t="shared" si="13"/>
        <v>0.40416869135089106</v>
      </c>
      <c r="K208" s="36"/>
      <c r="L208" s="26">
        <v>415</v>
      </c>
      <c r="M208" s="26" t="s">
        <v>206</v>
      </c>
      <c r="N208" s="26">
        <v>946.04630500582073</v>
      </c>
      <c r="O208" s="93">
        <f t="shared" si="14"/>
        <v>392609.21657741559</v>
      </c>
      <c r="P208" s="95">
        <f t="shared" si="15"/>
        <v>158680.35327639262</v>
      </c>
      <c r="Q208" s="196">
        <v>1</v>
      </c>
    </row>
    <row r="209" spans="1:17" x14ac:dyDescent="0.25">
      <c r="A209" s="243">
        <v>1974</v>
      </c>
      <c r="B209" s="243" t="s">
        <v>183</v>
      </c>
      <c r="C209" s="198" t="s">
        <v>324</v>
      </c>
      <c r="D209" s="111" t="s">
        <v>297</v>
      </c>
      <c r="E209" s="33">
        <f t="shared" si="11"/>
        <v>27210</v>
      </c>
      <c r="F209" s="90" t="str">
        <f t="shared" si="12"/>
        <v>Date check - OK</v>
      </c>
      <c r="H209" s="115"/>
      <c r="I209" s="26"/>
      <c r="J209" s="98">
        <f t="shared" si="13"/>
        <v>0.40416869135089106</v>
      </c>
      <c r="K209" s="36"/>
      <c r="L209" s="26">
        <v>344</v>
      </c>
      <c r="M209" s="26" t="s">
        <v>206</v>
      </c>
      <c r="N209" s="26">
        <v>709.53472875436546</v>
      </c>
      <c r="O209" s="93">
        <f t="shared" si="14"/>
        <v>244079.94669150171</v>
      </c>
      <c r="P209" s="95">
        <f t="shared" si="15"/>
        <v>98649.472639299493</v>
      </c>
      <c r="Q209" s="196">
        <v>1</v>
      </c>
    </row>
    <row r="210" spans="1:17" x14ac:dyDescent="0.25">
      <c r="A210" s="243">
        <v>1974</v>
      </c>
      <c r="B210" s="243" t="s">
        <v>183</v>
      </c>
      <c r="C210" s="198" t="s">
        <v>325</v>
      </c>
      <c r="D210" s="111" t="s">
        <v>297</v>
      </c>
      <c r="E210" s="33">
        <f t="shared" si="11"/>
        <v>27210</v>
      </c>
      <c r="F210" s="90" t="str">
        <f t="shared" si="12"/>
        <v>Date check - OK</v>
      </c>
      <c r="H210" s="115"/>
      <c r="I210" s="26"/>
      <c r="J210" s="98">
        <f t="shared" si="13"/>
        <v>0.40416869135089106</v>
      </c>
      <c r="K210" s="36"/>
      <c r="L210" s="26">
        <v>61</v>
      </c>
      <c r="M210" s="26" t="s">
        <v>206</v>
      </c>
      <c r="N210" s="26">
        <v>709.53472875436546</v>
      </c>
      <c r="O210" s="93">
        <f t="shared" si="14"/>
        <v>43281.618454016294</v>
      </c>
      <c r="P210" s="95">
        <f t="shared" si="15"/>
        <v>17493.075090108341</v>
      </c>
      <c r="Q210" s="196">
        <v>1</v>
      </c>
    </row>
    <row r="211" spans="1:17" x14ac:dyDescent="0.25">
      <c r="A211" s="243">
        <v>1974</v>
      </c>
      <c r="B211" s="243" t="s">
        <v>183</v>
      </c>
      <c r="C211" s="198" t="s">
        <v>326</v>
      </c>
      <c r="D211" s="111" t="s">
        <v>327</v>
      </c>
      <c r="E211" s="33">
        <f t="shared" si="11"/>
        <v>27210</v>
      </c>
      <c r="F211" s="90" t="str">
        <f t="shared" si="12"/>
        <v>Date check - OK</v>
      </c>
      <c r="H211" s="115"/>
      <c r="I211" s="26"/>
      <c r="J211" s="98">
        <f t="shared" si="13"/>
        <v>0.40416869135089106</v>
      </c>
      <c r="K211" s="36"/>
      <c r="L211" s="26">
        <v>175</v>
      </c>
      <c r="M211" s="26" t="s">
        <v>206</v>
      </c>
      <c r="N211" s="26">
        <v>624.71678416763677</v>
      </c>
      <c r="O211" s="93">
        <f t="shared" si="14"/>
        <v>109325.43722933643</v>
      </c>
      <c r="P211" s="95">
        <f t="shared" si="15"/>
        <v>44185.918896344891</v>
      </c>
      <c r="Q211" s="196">
        <v>1</v>
      </c>
    </row>
    <row r="212" spans="1:17" x14ac:dyDescent="0.25">
      <c r="A212" s="243">
        <v>1974</v>
      </c>
      <c r="B212" s="243" t="s">
        <v>183</v>
      </c>
      <c r="C212" s="198" t="s">
        <v>328</v>
      </c>
      <c r="D212" s="111" t="s">
        <v>329</v>
      </c>
      <c r="E212" s="33">
        <f t="shared" si="11"/>
        <v>27210</v>
      </c>
      <c r="F212" s="90" t="str">
        <f t="shared" si="12"/>
        <v>Date check - OK</v>
      </c>
      <c r="H212" s="115"/>
      <c r="I212" s="26"/>
      <c r="J212" s="98">
        <f t="shared" si="13"/>
        <v>0.40416869135089106</v>
      </c>
      <c r="K212" s="36"/>
      <c r="L212" s="26">
        <v>1034</v>
      </c>
      <c r="M212" s="26" t="s">
        <v>206</v>
      </c>
      <c r="N212" s="26">
        <v>2926.2190882421423</v>
      </c>
      <c r="O212" s="93">
        <f t="shared" si="14"/>
        <v>3025710.5372423753</v>
      </c>
      <c r="P212" s="95">
        <f t="shared" si="15"/>
        <v>1222897.4682438523</v>
      </c>
      <c r="Q212" s="196">
        <v>1</v>
      </c>
    </row>
    <row r="213" spans="1:17" x14ac:dyDescent="0.25">
      <c r="A213" s="243">
        <v>1974</v>
      </c>
      <c r="B213" s="243" t="s">
        <v>183</v>
      </c>
      <c r="C213" s="198"/>
      <c r="D213" s="111" t="s">
        <v>330</v>
      </c>
      <c r="E213" s="33">
        <f t="shared" si="11"/>
        <v>27210</v>
      </c>
      <c r="F213" s="90" t="str">
        <f t="shared" si="12"/>
        <v>Date check - OK</v>
      </c>
      <c r="H213" s="115"/>
      <c r="I213" s="26"/>
      <c r="J213" s="98">
        <f t="shared" si="13"/>
        <v>0.40416869135089106</v>
      </c>
      <c r="K213" s="36"/>
      <c r="L213" s="26">
        <v>37</v>
      </c>
      <c r="M213" s="26" t="s">
        <v>206</v>
      </c>
      <c r="N213" s="26">
        <v>699.7480428405122</v>
      </c>
      <c r="O213" s="93">
        <f t="shared" si="14"/>
        <v>25890.677585098951</v>
      </c>
      <c r="P213" s="95">
        <f t="shared" si="15"/>
        <v>10464.201277757291</v>
      </c>
      <c r="Q213" s="196">
        <v>1</v>
      </c>
    </row>
    <row r="214" spans="1:17" x14ac:dyDescent="0.25">
      <c r="A214" s="243">
        <v>1974</v>
      </c>
      <c r="B214" s="243" t="s">
        <v>183</v>
      </c>
      <c r="C214" s="198" t="s">
        <v>331</v>
      </c>
      <c r="D214" s="111" t="s">
        <v>332</v>
      </c>
      <c r="E214" s="33">
        <f t="shared" si="11"/>
        <v>27210</v>
      </c>
      <c r="F214" s="90" t="str">
        <f t="shared" si="12"/>
        <v>Date check - OK</v>
      </c>
      <c r="H214" s="115"/>
      <c r="I214" s="26"/>
      <c r="J214" s="98">
        <f t="shared" si="13"/>
        <v>0.40416869135089106</v>
      </c>
      <c r="K214" s="36"/>
      <c r="L214" s="26">
        <v>32</v>
      </c>
      <c r="M214" s="26" t="s">
        <v>206</v>
      </c>
      <c r="N214" s="26">
        <v>833.49941699650753</v>
      </c>
      <c r="O214" s="93">
        <f t="shared" si="14"/>
        <v>26671.981343888241</v>
      </c>
      <c r="P214" s="95">
        <f t="shared" si="15"/>
        <v>10779.979795494692</v>
      </c>
      <c r="Q214" s="196">
        <v>1</v>
      </c>
    </row>
    <row r="215" spans="1:17" x14ac:dyDescent="0.25">
      <c r="A215" s="243">
        <v>1974</v>
      </c>
      <c r="B215" s="243" t="s">
        <v>183</v>
      </c>
      <c r="C215" s="198"/>
      <c r="D215" s="111" t="s">
        <v>332</v>
      </c>
      <c r="E215" s="33">
        <f t="shared" ref="E215:E278" si="16">DATEVALUE("30 Jun "&amp;A215)</f>
        <v>27210</v>
      </c>
      <c r="F215" s="90" t="str">
        <f t="shared" ref="F215:F278" si="17">IF(E215="","-",IF(OR(E215&lt;$E$15,E215&gt;$E$16),"ERROR - date outside of range","Date check - OK"))</f>
        <v>Date check - OK</v>
      </c>
      <c r="H215" s="115"/>
      <c r="I215" s="26"/>
      <c r="J215" s="98">
        <f t="shared" si="13"/>
        <v>0.40416869135089106</v>
      </c>
      <c r="K215" s="36"/>
      <c r="L215" s="26">
        <v>191</v>
      </c>
      <c r="M215" s="26" t="s">
        <v>206</v>
      </c>
      <c r="N215" s="26">
        <v>946.04630500582073</v>
      </c>
      <c r="O215" s="93">
        <f t="shared" si="14"/>
        <v>180694.84425611177</v>
      </c>
      <c r="P215" s="95">
        <f t="shared" si="15"/>
        <v>73031.198736845763</v>
      </c>
      <c r="Q215" s="196">
        <v>1</v>
      </c>
    </row>
    <row r="216" spans="1:17" x14ac:dyDescent="0.25">
      <c r="A216" s="243">
        <v>1974</v>
      </c>
      <c r="B216" s="243" t="s">
        <v>183</v>
      </c>
      <c r="C216" s="198"/>
      <c r="D216" s="111" t="s">
        <v>332</v>
      </c>
      <c r="E216" s="33">
        <f t="shared" si="16"/>
        <v>27210</v>
      </c>
      <c r="F216" s="90" t="str">
        <f t="shared" si="17"/>
        <v>Date check - OK</v>
      </c>
      <c r="H216" s="115"/>
      <c r="I216" s="26"/>
      <c r="J216" s="98">
        <f t="shared" ref="J216:J279" si="18">J215</f>
        <v>0.40416869135089106</v>
      </c>
      <c r="K216" s="36"/>
      <c r="L216" s="26">
        <v>976</v>
      </c>
      <c r="M216" s="26" t="s">
        <v>206</v>
      </c>
      <c r="N216" s="26">
        <v>468.12980954598368</v>
      </c>
      <c r="O216" s="93">
        <f t="shared" ref="O216:O279" si="19">IF(N216="","-",L216*N216)</f>
        <v>456894.69411688007</v>
      </c>
      <c r="P216" s="95">
        <f t="shared" ref="P216:P279" si="20">IF(O216="-","-",IF(OR(E216&lt;$E$15,E216&gt;$E$16),0,O216*J216))*Q216</f>
        <v>184662.53060638509</v>
      </c>
      <c r="Q216" s="196">
        <v>1</v>
      </c>
    </row>
    <row r="217" spans="1:17" x14ac:dyDescent="0.25">
      <c r="A217" s="243">
        <v>1974</v>
      </c>
      <c r="B217" s="243" t="s">
        <v>183</v>
      </c>
      <c r="C217" s="198" t="s">
        <v>333</v>
      </c>
      <c r="D217" s="111" t="s">
        <v>334</v>
      </c>
      <c r="E217" s="33">
        <f t="shared" si="16"/>
        <v>27210</v>
      </c>
      <c r="F217" s="90" t="str">
        <f t="shared" si="17"/>
        <v>Date check - OK</v>
      </c>
      <c r="H217" s="115"/>
      <c r="I217" s="26"/>
      <c r="J217" s="98">
        <f t="shared" si="18"/>
        <v>0.40416869135089106</v>
      </c>
      <c r="K217" s="36"/>
      <c r="L217" s="26">
        <v>500</v>
      </c>
      <c r="M217" s="26" t="s">
        <v>206</v>
      </c>
      <c r="N217" s="26">
        <v>494.22763864959256</v>
      </c>
      <c r="O217" s="93">
        <f t="shared" si="19"/>
        <v>247113.81932479629</v>
      </c>
      <c r="P217" s="95">
        <f t="shared" si="20"/>
        <v>99875.668971223451</v>
      </c>
      <c r="Q217" s="196">
        <v>1</v>
      </c>
    </row>
    <row r="218" spans="1:17" x14ac:dyDescent="0.25">
      <c r="A218" s="243">
        <v>1974</v>
      </c>
      <c r="B218" s="243" t="s">
        <v>183</v>
      </c>
      <c r="C218" s="198" t="s">
        <v>335</v>
      </c>
      <c r="D218" s="111" t="s">
        <v>336</v>
      </c>
      <c r="E218" s="33">
        <f t="shared" si="16"/>
        <v>27210</v>
      </c>
      <c r="F218" s="90" t="str">
        <f t="shared" si="17"/>
        <v>Date check - OK</v>
      </c>
      <c r="H218" s="115"/>
      <c r="I218" s="26"/>
      <c r="J218" s="98">
        <f t="shared" si="18"/>
        <v>0.40416869135089106</v>
      </c>
      <c r="K218" s="36"/>
      <c r="L218" s="26">
        <v>985</v>
      </c>
      <c r="M218" s="26" t="s">
        <v>206</v>
      </c>
      <c r="N218" s="26">
        <v>494.22763864959256</v>
      </c>
      <c r="O218" s="93">
        <f t="shared" si="19"/>
        <v>486814.22406984866</v>
      </c>
      <c r="P218" s="95">
        <f t="shared" si="20"/>
        <v>196755.06787331018</v>
      </c>
      <c r="Q218" s="196">
        <v>1</v>
      </c>
    </row>
    <row r="219" spans="1:17" x14ac:dyDescent="0.25">
      <c r="A219" s="243">
        <v>1975</v>
      </c>
      <c r="B219" s="243" t="s">
        <v>183</v>
      </c>
      <c r="C219" s="198">
        <v>36727</v>
      </c>
      <c r="D219" s="111" t="s">
        <v>231</v>
      </c>
      <c r="E219" s="33">
        <f t="shared" si="16"/>
        <v>27575</v>
      </c>
      <c r="F219" s="90" t="str">
        <f t="shared" si="17"/>
        <v>Date check - OK</v>
      </c>
      <c r="H219" s="115"/>
      <c r="I219" s="26"/>
      <c r="J219" s="98">
        <f t="shared" si="18"/>
        <v>0.40416869135089106</v>
      </c>
      <c r="K219" s="36"/>
      <c r="L219" s="26">
        <v>1126</v>
      </c>
      <c r="M219" s="26" t="s">
        <v>206</v>
      </c>
      <c r="N219" s="26">
        <v>833.49941699650753</v>
      </c>
      <c r="O219" s="93">
        <f t="shared" si="19"/>
        <v>938520.34353806754</v>
      </c>
      <c r="P219" s="95">
        <f t="shared" si="20"/>
        <v>379320.53905396949</v>
      </c>
      <c r="Q219" s="196">
        <v>1</v>
      </c>
    </row>
    <row r="220" spans="1:17" x14ac:dyDescent="0.25">
      <c r="A220" s="243">
        <v>1975</v>
      </c>
      <c r="B220" s="243" t="s">
        <v>183</v>
      </c>
      <c r="C220" s="198"/>
      <c r="D220" s="111" t="s">
        <v>231</v>
      </c>
      <c r="E220" s="33">
        <f t="shared" si="16"/>
        <v>27575</v>
      </c>
      <c r="F220" s="90" t="str">
        <f t="shared" si="17"/>
        <v>Date check - OK</v>
      </c>
      <c r="H220" s="115"/>
      <c r="I220" s="26"/>
      <c r="J220" s="98">
        <f t="shared" si="18"/>
        <v>0.40416869135089106</v>
      </c>
      <c r="K220" s="36"/>
      <c r="L220" s="26">
        <v>100</v>
      </c>
      <c r="M220" s="26" t="s">
        <v>206</v>
      </c>
      <c r="N220" s="26">
        <v>520.32546775320145</v>
      </c>
      <c r="O220" s="93">
        <f t="shared" si="19"/>
        <v>52032.546775320145</v>
      </c>
      <c r="P220" s="95">
        <f t="shared" si="20"/>
        <v>21029.926337835168</v>
      </c>
      <c r="Q220" s="196">
        <v>1</v>
      </c>
    </row>
    <row r="221" spans="1:17" x14ac:dyDescent="0.25">
      <c r="A221" s="243">
        <v>1975</v>
      </c>
      <c r="B221" s="243" t="s">
        <v>183</v>
      </c>
      <c r="C221" s="198"/>
      <c r="D221" s="111" t="s">
        <v>231</v>
      </c>
      <c r="E221" s="33">
        <f t="shared" si="16"/>
        <v>27575</v>
      </c>
      <c r="F221" s="90" t="str">
        <f t="shared" si="17"/>
        <v>Date check - OK</v>
      </c>
      <c r="H221" s="115"/>
      <c r="I221" s="26"/>
      <c r="J221" s="98">
        <f t="shared" si="18"/>
        <v>0.40416869135089106</v>
      </c>
      <c r="K221" s="36"/>
      <c r="L221" s="26">
        <v>92</v>
      </c>
      <c r="M221" s="26" t="s">
        <v>206</v>
      </c>
      <c r="N221" s="26">
        <v>567.62778300349237</v>
      </c>
      <c r="O221" s="93">
        <f t="shared" si="19"/>
        <v>52221.756036321298</v>
      </c>
      <c r="P221" s="95">
        <f t="shared" si="20"/>
        <v>21106.398797245474</v>
      </c>
      <c r="Q221" s="196">
        <v>1</v>
      </c>
    </row>
    <row r="222" spans="1:17" x14ac:dyDescent="0.25">
      <c r="A222" s="243">
        <v>1975</v>
      </c>
      <c r="B222" s="243" t="s">
        <v>183</v>
      </c>
      <c r="C222" s="198" t="s">
        <v>337</v>
      </c>
      <c r="D222" s="111" t="s">
        <v>338</v>
      </c>
      <c r="E222" s="33">
        <f t="shared" si="16"/>
        <v>27575</v>
      </c>
      <c r="F222" s="90" t="str">
        <f t="shared" si="17"/>
        <v>Date check - OK</v>
      </c>
      <c r="H222" s="115"/>
      <c r="I222" s="26"/>
      <c r="J222" s="98">
        <f t="shared" si="18"/>
        <v>0.40416869135089106</v>
      </c>
      <c r="K222" s="36"/>
      <c r="L222" s="26">
        <v>219</v>
      </c>
      <c r="M222" s="26" t="s">
        <v>206</v>
      </c>
      <c r="N222" s="26">
        <v>567.62778300349237</v>
      </c>
      <c r="O222" s="93">
        <f t="shared" si="19"/>
        <v>124310.48447776482</v>
      </c>
      <c r="P222" s="95">
        <f t="shared" si="20"/>
        <v>50242.405832573466</v>
      </c>
      <c r="Q222" s="196">
        <v>1</v>
      </c>
    </row>
    <row r="223" spans="1:17" x14ac:dyDescent="0.25">
      <c r="A223" s="243">
        <v>1975</v>
      </c>
      <c r="B223" s="243" t="s">
        <v>183</v>
      </c>
      <c r="C223" s="198" t="s">
        <v>339</v>
      </c>
      <c r="D223" s="111" t="s">
        <v>340</v>
      </c>
      <c r="E223" s="33">
        <f t="shared" si="16"/>
        <v>27575</v>
      </c>
      <c r="F223" s="90" t="str">
        <f t="shared" si="17"/>
        <v>Date check - OK</v>
      </c>
      <c r="H223" s="115"/>
      <c r="I223" s="26"/>
      <c r="J223" s="98">
        <f t="shared" si="18"/>
        <v>0.40416869135089106</v>
      </c>
      <c r="K223" s="36"/>
      <c r="L223" s="26">
        <v>1211</v>
      </c>
      <c r="M223" s="26" t="s">
        <v>206</v>
      </c>
      <c r="N223" s="26">
        <v>494.22763864959256</v>
      </c>
      <c r="O223" s="93">
        <f t="shared" si="19"/>
        <v>598509.67040465656</v>
      </c>
      <c r="P223" s="95">
        <f t="shared" si="20"/>
        <v>241898.87024830317</v>
      </c>
      <c r="Q223" s="196">
        <v>1</v>
      </c>
    </row>
    <row r="224" spans="1:17" x14ac:dyDescent="0.25">
      <c r="A224" s="243">
        <v>1975</v>
      </c>
      <c r="B224" s="243" t="s">
        <v>183</v>
      </c>
      <c r="C224" s="198">
        <v>47458</v>
      </c>
      <c r="D224" s="111" t="s">
        <v>341</v>
      </c>
      <c r="E224" s="33">
        <f t="shared" si="16"/>
        <v>27575</v>
      </c>
      <c r="F224" s="90" t="str">
        <f t="shared" si="17"/>
        <v>Date check - OK</v>
      </c>
      <c r="H224" s="115"/>
      <c r="I224" s="26"/>
      <c r="J224" s="98">
        <f t="shared" si="18"/>
        <v>0.40416869135089106</v>
      </c>
      <c r="K224" s="36"/>
      <c r="L224" s="26">
        <v>212</v>
      </c>
      <c r="M224" s="26" t="s">
        <v>206</v>
      </c>
      <c r="N224" s="26">
        <v>494.22763864959256</v>
      </c>
      <c r="O224" s="93">
        <f t="shared" si="19"/>
        <v>104776.25939371363</v>
      </c>
      <c r="P224" s="95">
        <f t="shared" si="20"/>
        <v>42347.283643798743</v>
      </c>
      <c r="Q224" s="196">
        <v>1</v>
      </c>
    </row>
    <row r="225" spans="1:17" x14ac:dyDescent="0.25">
      <c r="A225" s="243">
        <v>1975</v>
      </c>
      <c r="B225" s="243" t="s">
        <v>183</v>
      </c>
      <c r="C225" s="198" t="s">
        <v>342</v>
      </c>
      <c r="D225" s="111" t="s">
        <v>269</v>
      </c>
      <c r="E225" s="33">
        <f t="shared" si="16"/>
        <v>27575</v>
      </c>
      <c r="F225" s="90" t="str">
        <f t="shared" si="17"/>
        <v>Date check - OK</v>
      </c>
      <c r="H225" s="115"/>
      <c r="I225" s="26"/>
      <c r="J225" s="98">
        <f t="shared" si="18"/>
        <v>0.40416869135089106</v>
      </c>
      <c r="K225" s="36"/>
      <c r="L225" s="26">
        <v>35.200000000000003</v>
      </c>
      <c r="M225" s="26" t="s">
        <v>206</v>
      </c>
      <c r="N225" s="26">
        <v>468.12980954598368</v>
      </c>
      <c r="O225" s="93">
        <f t="shared" si="19"/>
        <v>16478.169296018626</v>
      </c>
      <c r="P225" s="95">
        <f t="shared" si="20"/>
        <v>6659.960120230282</v>
      </c>
      <c r="Q225" s="196">
        <v>1</v>
      </c>
    </row>
    <row r="226" spans="1:17" x14ac:dyDescent="0.25">
      <c r="A226" s="243">
        <v>1975</v>
      </c>
      <c r="B226" s="243" t="s">
        <v>183</v>
      </c>
      <c r="C226" s="198" t="s">
        <v>342</v>
      </c>
      <c r="D226" s="111" t="s">
        <v>269</v>
      </c>
      <c r="E226" s="33">
        <f t="shared" si="16"/>
        <v>27575</v>
      </c>
      <c r="F226" s="90" t="str">
        <f t="shared" si="17"/>
        <v>Date check - OK</v>
      </c>
      <c r="H226" s="115"/>
      <c r="I226" s="26"/>
      <c r="J226" s="98">
        <f t="shared" si="18"/>
        <v>0.40416869135089106</v>
      </c>
      <c r="K226" s="36"/>
      <c r="L226" s="26">
        <v>401.5</v>
      </c>
      <c r="M226" s="26" t="s">
        <v>206</v>
      </c>
      <c r="N226" s="26">
        <v>1096.1088223515715</v>
      </c>
      <c r="O226" s="93">
        <f t="shared" si="19"/>
        <v>440087.69217415596</v>
      </c>
      <c r="P226" s="95">
        <f t="shared" si="20"/>
        <v>177869.66662566239</v>
      </c>
      <c r="Q226" s="196">
        <v>1</v>
      </c>
    </row>
    <row r="227" spans="1:17" x14ac:dyDescent="0.25">
      <c r="A227" s="243">
        <v>1975</v>
      </c>
      <c r="B227" s="243" t="s">
        <v>183</v>
      </c>
      <c r="C227" s="198" t="s">
        <v>342</v>
      </c>
      <c r="D227" s="111" t="s">
        <v>269</v>
      </c>
      <c r="E227" s="33">
        <f t="shared" si="16"/>
        <v>27575</v>
      </c>
      <c r="F227" s="90" t="str">
        <f t="shared" si="17"/>
        <v>Date check - OK</v>
      </c>
      <c r="H227" s="115"/>
      <c r="I227" s="26"/>
      <c r="J227" s="98">
        <f t="shared" si="18"/>
        <v>0.40416869135089106</v>
      </c>
      <c r="K227" s="36"/>
      <c r="L227" s="26">
        <v>529.79999999999995</v>
      </c>
      <c r="M227" s="26" t="s">
        <v>206</v>
      </c>
      <c r="N227" s="26">
        <v>567.62778300349237</v>
      </c>
      <c r="O227" s="93">
        <f t="shared" si="19"/>
        <v>300729.19943525025</v>
      </c>
      <c r="P227" s="95">
        <f t="shared" si="20"/>
        <v>121545.32698674622</v>
      </c>
      <c r="Q227" s="196">
        <v>1</v>
      </c>
    </row>
    <row r="228" spans="1:17" x14ac:dyDescent="0.25">
      <c r="A228" s="243">
        <v>1975</v>
      </c>
      <c r="B228" s="243" t="s">
        <v>183</v>
      </c>
      <c r="C228" s="198" t="s">
        <v>343</v>
      </c>
      <c r="D228" s="111" t="s">
        <v>344</v>
      </c>
      <c r="E228" s="33">
        <f t="shared" si="16"/>
        <v>27575</v>
      </c>
      <c r="F228" s="90" t="str">
        <f t="shared" si="17"/>
        <v>Date check - OK</v>
      </c>
      <c r="H228" s="115"/>
      <c r="I228" s="26"/>
      <c r="J228" s="98">
        <f t="shared" si="18"/>
        <v>0.40416869135089106</v>
      </c>
      <c r="K228" s="36"/>
      <c r="L228" s="26">
        <v>319.5</v>
      </c>
      <c r="M228" s="26" t="s">
        <v>206</v>
      </c>
      <c r="N228" s="26">
        <v>1386.4471711292199</v>
      </c>
      <c r="O228" s="93">
        <f t="shared" si="19"/>
        <v>442969.87117578578</v>
      </c>
      <c r="P228" s="95">
        <f t="shared" si="20"/>
        <v>179034.55314099015</v>
      </c>
      <c r="Q228" s="196">
        <v>1</v>
      </c>
    </row>
    <row r="229" spans="1:17" x14ac:dyDescent="0.25">
      <c r="A229" s="243">
        <v>1975</v>
      </c>
      <c r="B229" s="243" t="s">
        <v>183</v>
      </c>
      <c r="C229" s="198" t="s">
        <v>343</v>
      </c>
      <c r="D229" s="111" t="s">
        <v>344</v>
      </c>
      <c r="E229" s="33">
        <f t="shared" si="16"/>
        <v>27575</v>
      </c>
      <c r="F229" s="90" t="str">
        <f t="shared" si="17"/>
        <v>Date check - OK</v>
      </c>
      <c r="H229" s="115"/>
      <c r="I229" s="26"/>
      <c r="J229" s="98">
        <f t="shared" si="18"/>
        <v>0.40416869135089106</v>
      </c>
      <c r="K229" s="36"/>
      <c r="L229" s="26">
        <v>203.1</v>
      </c>
      <c r="M229" s="26" t="s">
        <v>206</v>
      </c>
      <c r="N229" s="26">
        <v>1578.9186607683353</v>
      </c>
      <c r="O229" s="93">
        <f t="shared" si="19"/>
        <v>320678.38000204886</v>
      </c>
      <c r="P229" s="95">
        <f t="shared" si="20"/>
        <v>129608.16118995185</v>
      </c>
      <c r="Q229" s="196">
        <v>1</v>
      </c>
    </row>
    <row r="230" spans="1:17" x14ac:dyDescent="0.25">
      <c r="A230" s="243">
        <v>1975</v>
      </c>
      <c r="B230" s="243" t="s">
        <v>183</v>
      </c>
      <c r="C230" s="198" t="s">
        <v>343</v>
      </c>
      <c r="D230" s="111" t="s">
        <v>344</v>
      </c>
      <c r="E230" s="33">
        <f t="shared" si="16"/>
        <v>27575</v>
      </c>
      <c r="F230" s="90" t="str">
        <f t="shared" si="17"/>
        <v>Date check - OK</v>
      </c>
      <c r="H230" s="115"/>
      <c r="I230" s="26"/>
      <c r="J230" s="98">
        <f t="shared" si="18"/>
        <v>0.40416869135089106</v>
      </c>
      <c r="K230" s="36"/>
      <c r="L230" s="26">
        <v>434.1</v>
      </c>
      <c r="M230" s="26" t="s">
        <v>206</v>
      </c>
      <c r="N230" s="26">
        <v>1861.1014379511059</v>
      </c>
      <c r="O230" s="93">
        <f t="shared" si="19"/>
        <v>807904.13421457517</v>
      </c>
      <c r="P230" s="95">
        <f t="shared" si="20"/>
        <v>326529.55666247947</v>
      </c>
      <c r="Q230" s="196">
        <v>1</v>
      </c>
    </row>
    <row r="231" spans="1:17" x14ac:dyDescent="0.25">
      <c r="A231" s="243">
        <v>1975</v>
      </c>
      <c r="B231" s="243" t="s">
        <v>183</v>
      </c>
      <c r="C231" s="198" t="s">
        <v>343</v>
      </c>
      <c r="D231" s="111" t="s">
        <v>344</v>
      </c>
      <c r="E231" s="33">
        <f t="shared" si="16"/>
        <v>27575</v>
      </c>
      <c r="F231" s="90" t="str">
        <f t="shared" si="17"/>
        <v>Date check - OK</v>
      </c>
      <c r="H231" s="115"/>
      <c r="I231" s="26"/>
      <c r="J231" s="98">
        <f t="shared" si="18"/>
        <v>0.40416869135089106</v>
      </c>
      <c r="K231" s="36"/>
      <c r="L231" s="26">
        <v>8.5</v>
      </c>
      <c r="M231" s="26" t="s">
        <v>206</v>
      </c>
      <c r="N231" s="26">
        <v>494.22763864959256</v>
      </c>
      <c r="O231" s="93">
        <f t="shared" si="19"/>
        <v>4200.9349285215367</v>
      </c>
      <c r="P231" s="95">
        <f t="shared" si="20"/>
        <v>1697.8863725107985</v>
      </c>
      <c r="Q231" s="196">
        <v>1</v>
      </c>
    </row>
    <row r="232" spans="1:17" x14ac:dyDescent="0.25">
      <c r="A232" s="243">
        <v>1975</v>
      </c>
      <c r="B232" s="243" t="s">
        <v>183</v>
      </c>
      <c r="C232" s="198" t="s">
        <v>343</v>
      </c>
      <c r="D232" s="111" t="s">
        <v>344</v>
      </c>
      <c r="E232" s="33">
        <f t="shared" si="16"/>
        <v>27575</v>
      </c>
      <c r="F232" s="90" t="str">
        <f t="shared" si="17"/>
        <v>Date check - OK</v>
      </c>
      <c r="H232" s="115"/>
      <c r="I232" s="26"/>
      <c r="J232" s="98">
        <f t="shared" si="18"/>
        <v>0.40416869135089106</v>
      </c>
      <c r="K232" s="36"/>
      <c r="L232" s="26">
        <v>22</v>
      </c>
      <c r="M232" s="26" t="s">
        <v>206</v>
      </c>
      <c r="N232" s="26">
        <v>494.22763864959256</v>
      </c>
      <c r="O232" s="93">
        <f t="shared" si="19"/>
        <v>10873.008050291037</v>
      </c>
      <c r="P232" s="95">
        <f t="shared" si="20"/>
        <v>4394.5294347338322</v>
      </c>
      <c r="Q232" s="196">
        <v>1</v>
      </c>
    </row>
    <row r="233" spans="1:17" x14ac:dyDescent="0.25">
      <c r="A233" s="243">
        <v>1975</v>
      </c>
      <c r="B233" s="243" t="s">
        <v>183</v>
      </c>
      <c r="C233" s="198" t="s">
        <v>345</v>
      </c>
      <c r="D233" s="111" t="s">
        <v>346</v>
      </c>
      <c r="E233" s="33">
        <f t="shared" si="16"/>
        <v>27575</v>
      </c>
      <c r="F233" s="90" t="str">
        <f t="shared" si="17"/>
        <v>Date check - OK</v>
      </c>
      <c r="H233" s="115"/>
      <c r="I233" s="26"/>
      <c r="J233" s="98">
        <f t="shared" si="18"/>
        <v>0.40416869135089106</v>
      </c>
      <c r="K233" s="36"/>
      <c r="L233" s="26">
        <v>745</v>
      </c>
      <c r="M233" s="26" t="s">
        <v>206</v>
      </c>
      <c r="N233" s="26">
        <v>1074.9043362048894</v>
      </c>
      <c r="O233" s="93">
        <f t="shared" si="19"/>
        <v>800803.73047264258</v>
      </c>
      <c r="P233" s="95">
        <f t="shared" si="20"/>
        <v>323659.79577403964</v>
      </c>
      <c r="Q233" s="196">
        <v>1</v>
      </c>
    </row>
    <row r="234" spans="1:17" x14ac:dyDescent="0.25">
      <c r="A234" s="243">
        <v>1975</v>
      </c>
      <c r="B234" s="243" t="s">
        <v>183</v>
      </c>
      <c r="C234" s="198" t="s">
        <v>345</v>
      </c>
      <c r="D234" s="111" t="s">
        <v>346</v>
      </c>
      <c r="E234" s="33">
        <f t="shared" si="16"/>
        <v>27575</v>
      </c>
      <c r="F234" s="90" t="str">
        <f t="shared" si="17"/>
        <v>Date check - OK</v>
      </c>
      <c r="H234" s="115"/>
      <c r="I234" s="26"/>
      <c r="J234" s="98">
        <f t="shared" si="18"/>
        <v>0.40416869135089106</v>
      </c>
      <c r="K234" s="36"/>
      <c r="L234" s="26">
        <v>1151</v>
      </c>
      <c r="M234" s="26" t="s">
        <v>206</v>
      </c>
      <c r="N234" s="26">
        <v>833.49941699650753</v>
      </c>
      <c r="O234" s="93">
        <f t="shared" si="19"/>
        <v>959357.82896298019</v>
      </c>
      <c r="P234" s="95">
        <f t="shared" si="20"/>
        <v>387742.39826919965</v>
      </c>
      <c r="Q234" s="196">
        <v>1</v>
      </c>
    </row>
    <row r="235" spans="1:17" x14ac:dyDescent="0.25">
      <c r="A235" s="243">
        <v>1975</v>
      </c>
      <c r="B235" s="243" t="s">
        <v>183</v>
      </c>
      <c r="C235" s="198" t="s">
        <v>345</v>
      </c>
      <c r="D235" s="111" t="s">
        <v>346</v>
      </c>
      <c r="E235" s="33">
        <f t="shared" si="16"/>
        <v>27575</v>
      </c>
      <c r="F235" s="90" t="str">
        <f t="shared" si="17"/>
        <v>Date check - OK</v>
      </c>
      <c r="H235" s="115"/>
      <c r="I235" s="26"/>
      <c r="J235" s="98">
        <f t="shared" si="18"/>
        <v>0.40416869135089106</v>
      </c>
      <c r="K235" s="36"/>
      <c r="L235" s="26">
        <v>578</v>
      </c>
      <c r="M235" s="26" t="s">
        <v>206</v>
      </c>
      <c r="N235" s="26">
        <v>567.62778300349237</v>
      </c>
      <c r="O235" s="93">
        <f t="shared" si="19"/>
        <v>328088.8585760186</v>
      </c>
      <c r="P235" s="95">
        <f t="shared" si="20"/>
        <v>132603.244617477</v>
      </c>
      <c r="Q235" s="196">
        <v>1</v>
      </c>
    </row>
    <row r="236" spans="1:17" x14ac:dyDescent="0.25">
      <c r="A236" s="243">
        <v>1975</v>
      </c>
      <c r="B236" s="243" t="s">
        <v>183</v>
      </c>
      <c r="C236" s="198" t="s">
        <v>347</v>
      </c>
      <c r="D236" s="111" t="s">
        <v>348</v>
      </c>
      <c r="E236" s="33">
        <f t="shared" si="16"/>
        <v>27575</v>
      </c>
      <c r="F236" s="90" t="str">
        <f t="shared" si="17"/>
        <v>Date check - OK</v>
      </c>
      <c r="H236" s="115"/>
      <c r="I236" s="26"/>
      <c r="J236" s="98">
        <f t="shared" si="18"/>
        <v>0.40416869135089106</v>
      </c>
      <c r="K236" s="36"/>
      <c r="L236" s="26">
        <v>4</v>
      </c>
      <c r="M236" s="26" t="s">
        <v>206</v>
      </c>
      <c r="N236" s="26">
        <v>494.22763864959256</v>
      </c>
      <c r="O236" s="93">
        <f t="shared" si="19"/>
        <v>1976.9105545983703</v>
      </c>
      <c r="P236" s="95">
        <f t="shared" si="20"/>
        <v>799.00535176978758</v>
      </c>
      <c r="Q236" s="196">
        <v>1</v>
      </c>
    </row>
    <row r="237" spans="1:17" x14ac:dyDescent="0.25">
      <c r="A237" s="243">
        <v>1975</v>
      </c>
      <c r="B237" s="243" t="s">
        <v>183</v>
      </c>
      <c r="C237" s="198" t="s">
        <v>347</v>
      </c>
      <c r="D237" s="111" t="s">
        <v>348</v>
      </c>
      <c r="E237" s="33">
        <f t="shared" si="16"/>
        <v>27575</v>
      </c>
      <c r="F237" s="90" t="str">
        <f t="shared" si="17"/>
        <v>Date check - OK</v>
      </c>
      <c r="H237" s="115"/>
      <c r="I237" s="26"/>
      <c r="J237" s="98">
        <f t="shared" si="18"/>
        <v>0.40416869135089106</v>
      </c>
      <c r="K237" s="36"/>
      <c r="L237" s="26">
        <v>94.2</v>
      </c>
      <c r="M237" s="26" t="s">
        <v>206</v>
      </c>
      <c r="N237" s="26">
        <v>833.49941699650753</v>
      </c>
      <c r="O237" s="93">
        <f t="shared" si="19"/>
        <v>78515.645081071008</v>
      </c>
      <c r="P237" s="95">
        <f t="shared" si="20"/>
        <v>31733.565522987497</v>
      </c>
      <c r="Q237" s="196">
        <v>1</v>
      </c>
    </row>
    <row r="238" spans="1:17" x14ac:dyDescent="0.25">
      <c r="A238" s="243">
        <v>1975</v>
      </c>
      <c r="B238" s="243" t="s">
        <v>183</v>
      </c>
      <c r="C238" s="198" t="s">
        <v>347</v>
      </c>
      <c r="D238" s="111" t="s">
        <v>348</v>
      </c>
      <c r="E238" s="33">
        <f t="shared" si="16"/>
        <v>27575</v>
      </c>
      <c r="F238" s="90" t="str">
        <f t="shared" si="17"/>
        <v>Date check - OK</v>
      </c>
      <c r="H238" s="115"/>
      <c r="I238" s="26"/>
      <c r="J238" s="98">
        <f t="shared" si="18"/>
        <v>0.40416869135089106</v>
      </c>
      <c r="K238" s="36"/>
      <c r="L238" s="26">
        <v>599</v>
      </c>
      <c r="M238" s="26" t="s">
        <v>206</v>
      </c>
      <c r="N238" s="26">
        <v>946.04630500582073</v>
      </c>
      <c r="O238" s="93">
        <f t="shared" si="19"/>
        <v>566681.73669848661</v>
      </c>
      <c r="P238" s="95">
        <f t="shared" si="20"/>
        <v>229035.01593387756</v>
      </c>
      <c r="Q238" s="196">
        <v>1</v>
      </c>
    </row>
    <row r="239" spans="1:17" x14ac:dyDescent="0.25">
      <c r="A239" s="243">
        <v>1975</v>
      </c>
      <c r="B239" s="243" t="s">
        <v>183</v>
      </c>
      <c r="C239" s="198" t="s">
        <v>347</v>
      </c>
      <c r="D239" s="111" t="s">
        <v>348</v>
      </c>
      <c r="E239" s="33">
        <f t="shared" si="16"/>
        <v>27575</v>
      </c>
      <c r="F239" s="90" t="str">
        <f t="shared" si="17"/>
        <v>Date check - OK</v>
      </c>
      <c r="H239" s="115"/>
      <c r="I239" s="26"/>
      <c r="J239" s="98">
        <f t="shared" si="18"/>
        <v>0.40416869135089106</v>
      </c>
      <c r="K239" s="36"/>
      <c r="L239" s="26">
        <v>339.6</v>
      </c>
      <c r="M239" s="26" t="s">
        <v>206</v>
      </c>
      <c r="N239" s="26">
        <v>1177.6645383003492</v>
      </c>
      <c r="O239" s="93">
        <f t="shared" si="19"/>
        <v>399934.87720679864</v>
      </c>
      <c r="P239" s="95">
        <f t="shared" si="20"/>
        <v>161641.15594625112</v>
      </c>
      <c r="Q239" s="196">
        <v>1</v>
      </c>
    </row>
    <row r="240" spans="1:17" x14ac:dyDescent="0.25">
      <c r="A240" s="243">
        <v>1975</v>
      </c>
      <c r="B240" s="243" t="s">
        <v>183</v>
      </c>
      <c r="C240" s="198" t="s">
        <v>349</v>
      </c>
      <c r="D240" s="111" t="s">
        <v>350</v>
      </c>
      <c r="E240" s="33">
        <f t="shared" si="16"/>
        <v>27575</v>
      </c>
      <c r="F240" s="90" t="str">
        <f t="shared" si="17"/>
        <v>Date check - OK</v>
      </c>
      <c r="H240" s="115"/>
      <c r="I240" s="26"/>
      <c r="J240" s="98">
        <f t="shared" si="18"/>
        <v>0.40416869135089106</v>
      </c>
      <c r="K240" s="36"/>
      <c r="L240" s="26">
        <v>23</v>
      </c>
      <c r="M240" s="26" t="s">
        <v>206</v>
      </c>
      <c r="N240" s="26">
        <v>494.22763864959256</v>
      </c>
      <c r="O240" s="93">
        <f t="shared" si="19"/>
        <v>11367.235688940629</v>
      </c>
      <c r="P240" s="95">
        <f t="shared" si="20"/>
        <v>4594.2807726762785</v>
      </c>
      <c r="Q240" s="196">
        <v>1</v>
      </c>
    </row>
    <row r="241" spans="1:17" x14ac:dyDescent="0.25">
      <c r="A241" s="243">
        <v>1975</v>
      </c>
      <c r="B241" s="243" t="s">
        <v>183</v>
      </c>
      <c r="C241" s="198" t="s">
        <v>351</v>
      </c>
      <c r="D241" s="111" t="s">
        <v>352</v>
      </c>
      <c r="E241" s="33">
        <f t="shared" si="16"/>
        <v>27575</v>
      </c>
      <c r="F241" s="90" t="str">
        <f t="shared" si="17"/>
        <v>Date check - OK</v>
      </c>
      <c r="H241" s="115"/>
      <c r="I241" s="26"/>
      <c r="J241" s="98">
        <f t="shared" si="18"/>
        <v>0.40416869135089106</v>
      </c>
      <c r="K241" s="36"/>
      <c r="L241" s="26">
        <v>6.1</v>
      </c>
      <c r="M241" s="26" t="s">
        <v>206</v>
      </c>
      <c r="N241" s="26">
        <v>567.62778300349237</v>
      </c>
      <c r="O241" s="93">
        <f t="shared" si="19"/>
        <v>3462.5294763213033</v>
      </c>
      <c r="P241" s="95">
        <f t="shared" si="20"/>
        <v>1399.4460072086672</v>
      </c>
      <c r="Q241" s="196">
        <v>1</v>
      </c>
    </row>
    <row r="242" spans="1:17" x14ac:dyDescent="0.25">
      <c r="A242" s="243">
        <v>1975</v>
      </c>
      <c r="B242" s="243" t="s">
        <v>183</v>
      </c>
      <c r="C242" s="198" t="s">
        <v>353</v>
      </c>
      <c r="D242" s="111" t="s">
        <v>354</v>
      </c>
      <c r="E242" s="33">
        <f t="shared" si="16"/>
        <v>27575</v>
      </c>
      <c r="F242" s="90" t="str">
        <f t="shared" si="17"/>
        <v>Date check - OK</v>
      </c>
      <c r="H242" s="115"/>
      <c r="I242" s="26"/>
      <c r="J242" s="98">
        <f t="shared" si="18"/>
        <v>0.40416869135089106</v>
      </c>
      <c r="K242" s="36"/>
      <c r="L242" s="26">
        <v>18</v>
      </c>
      <c r="M242" s="26" t="s">
        <v>206</v>
      </c>
      <c r="N242" s="26">
        <v>567.62778300349237</v>
      </c>
      <c r="O242" s="93">
        <f t="shared" si="19"/>
        <v>10217.300094062863</v>
      </c>
      <c r="P242" s="95">
        <f t="shared" si="20"/>
        <v>4129.5128081567236</v>
      </c>
      <c r="Q242" s="196">
        <v>1</v>
      </c>
    </row>
    <row r="243" spans="1:17" x14ac:dyDescent="0.25">
      <c r="A243" s="243">
        <v>1975</v>
      </c>
      <c r="B243" s="243" t="s">
        <v>183</v>
      </c>
      <c r="C243" s="198" t="s">
        <v>355</v>
      </c>
      <c r="D243" s="111" t="s">
        <v>354</v>
      </c>
      <c r="E243" s="33">
        <f t="shared" si="16"/>
        <v>27575</v>
      </c>
      <c r="F243" s="90" t="str">
        <f t="shared" si="17"/>
        <v>Date check - OK</v>
      </c>
      <c r="H243" s="115"/>
      <c r="I243" s="26"/>
      <c r="J243" s="98">
        <f t="shared" si="18"/>
        <v>0.40416869135089106</v>
      </c>
      <c r="K243" s="36"/>
      <c r="L243" s="26">
        <v>332</v>
      </c>
      <c r="M243" s="26" t="s">
        <v>206</v>
      </c>
      <c r="N243" s="26">
        <v>1177.6645383003492</v>
      </c>
      <c r="O243" s="93">
        <f t="shared" si="19"/>
        <v>390984.62671571597</v>
      </c>
      <c r="P243" s="95">
        <f t="shared" si="20"/>
        <v>158023.74491800758</v>
      </c>
      <c r="Q243" s="196">
        <v>1</v>
      </c>
    </row>
    <row r="244" spans="1:17" x14ac:dyDescent="0.25">
      <c r="A244" s="243">
        <v>1975</v>
      </c>
      <c r="B244" s="243" t="s">
        <v>183</v>
      </c>
      <c r="C244" s="198" t="s">
        <v>355</v>
      </c>
      <c r="D244" s="111" t="s">
        <v>354</v>
      </c>
      <c r="E244" s="33">
        <f t="shared" si="16"/>
        <v>27575</v>
      </c>
      <c r="F244" s="90" t="str">
        <f t="shared" si="17"/>
        <v>Date check - OK</v>
      </c>
      <c r="H244" s="115"/>
      <c r="I244" s="26"/>
      <c r="J244" s="98">
        <f t="shared" si="18"/>
        <v>0.40416869135089106</v>
      </c>
      <c r="K244" s="36"/>
      <c r="L244" s="26">
        <v>308</v>
      </c>
      <c r="M244" s="26" t="s">
        <v>206</v>
      </c>
      <c r="N244" s="26">
        <v>946.04630500582073</v>
      </c>
      <c r="O244" s="93">
        <f t="shared" si="19"/>
        <v>291382.26194179279</v>
      </c>
      <c r="P244" s="95">
        <f t="shared" si="20"/>
        <v>117767.58749187694</v>
      </c>
      <c r="Q244" s="196">
        <v>1</v>
      </c>
    </row>
    <row r="245" spans="1:17" x14ac:dyDescent="0.25">
      <c r="A245" s="243">
        <v>1975</v>
      </c>
      <c r="B245" s="243" t="s">
        <v>183</v>
      </c>
      <c r="C245" s="198" t="s">
        <v>355</v>
      </c>
      <c r="D245" s="111" t="s">
        <v>354</v>
      </c>
      <c r="E245" s="33">
        <f t="shared" si="16"/>
        <v>27575</v>
      </c>
      <c r="F245" s="90" t="str">
        <f t="shared" si="17"/>
        <v>Date check - OK</v>
      </c>
      <c r="H245" s="115"/>
      <c r="I245" s="26"/>
      <c r="J245" s="98">
        <f t="shared" si="18"/>
        <v>0.40416869135089106</v>
      </c>
      <c r="K245" s="36"/>
      <c r="L245" s="26">
        <v>8</v>
      </c>
      <c r="M245" s="26" t="s">
        <v>206</v>
      </c>
      <c r="N245" s="26">
        <v>567.62778300349237</v>
      </c>
      <c r="O245" s="93">
        <f t="shared" si="19"/>
        <v>4541.0222640279389</v>
      </c>
      <c r="P245" s="95">
        <f t="shared" si="20"/>
        <v>1835.3390258474326</v>
      </c>
      <c r="Q245" s="196">
        <v>1</v>
      </c>
    </row>
    <row r="246" spans="1:17" x14ac:dyDescent="0.25">
      <c r="A246" s="243">
        <v>1975</v>
      </c>
      <c r="B246" s="243" t="s">
        <v>183</v>
      </c>
      <c r="C246" s="198" t="s">
        <v>356</v>
      </c>
      <c r="D246" s="111" t="s">
        <v>354</v>
      </c>
      <c r="E246" s="33">
        <f t="shared" si="16"/>
        <v>27575</v>
      </c>
      <c r="F246" s="90" t="str">
        <f t="shared" si="17"/>
        <v>Date check - OK</v>
      </c>
      <c r="H246" s="115"/>
      <c r="I246" s="26"/>
      <c r="J246" s="98">
        <f t="shared" si="18"/>
        <v>0.40416869135089106</v>
      </c>
      <c r="K246" s="36"/>
      <c r="L246" s="26">
        <v>525</v>
      </c>
      <c r="M246" s="26" t="s">
        <v>206</v>
      </c>
      <c r="N246" s="26">
        <v>567.62778300349237</v>
      </c>
      <c r="O246" s="93">
        <f t="shared" si="19"/>
        <v>298004.58607683348</v>
      </c>
      <c r="P246" s="95">
        <f t="shared" si="20"/>
        <v>120444.12357123775</v>
      </c>
      <c r="Q246" s="196">
        <v>1</v>
      </c>
    </row>
    <row r="247" spans="1:17" x14ac:dyDescent="0.25">
      <c r="A247" s="243">
        <v>1975</v>
      </c>
      <c r="B247" s="243" t="s">
        <v>183</v>
      </c>
      <c r="C247" s="198" t="s">
        <v>357</v>
      </c>
      <c r="D247" s="111" t="s">
        <v>358</v>
      </c>
      <c r="E247" s="33">
        <f t="shared" si="16"/>
        <v>27575</v>
      </c>
      <c r="F247" s="90" t="str">
        <f t="shared" si="17"/>
        <v>Date check - OK</v>
      </c>
      <c r="H247" s="115"/>
      <c r="I247" s="26"/>
      <c r="J247" s="98">
        <f t="shared" si="18"/>
        <v>0.40416869135089106</v>
      </c>
      <c r="K247" s="36"/>
      <c r="L247" s="26">
        <v>148</v>
      </c>
      <c r="M247" s="26" t="s">
        <v>206</v>
      </c>
      <c r="N247" s="26">
        <v>4413.7953471478459</v>
      </c>
      <c r="O247" s="93">
        <f t="shared" si="19"/>
        <v>653241.71137788123</v>
      </c>
      <c r="P247" s="95">
        <f t="shared" si="20"/>
        <v>264019.84762341477</v>
      </c>
      <c r="Q247" s="196">
        <v>1</v>
      </c>
    </row>
    <row r="248" spans="1:17" x14ac:dyDescent="0.25">
      <c r="A248" s="243">
        <v>1975</v>
      </c>
      <c r="B248" s="243" t="s">
        <v>183</v>
      </c>
      <c r="C248" s="198"/>
      <c r="D248" s="111" t="s">
        <v>359</v>
      </c>
      <c r="E248" s="33">
        <f t="shared" si="16"/>
        <v>27575</v>
      </c>
      <c r="F248" s="90" t="str">
        <f t="shared" si="17"/>
        <v>Date check - OK</v>
      </c>
      <c r="H248" s="115"/>
      <c r="I248" s="26"/>
      <c r="J248" s="98">
        <f t="shared" si="18"/>
        <v>0.40416869135089106</v>
      </c>
      <c r="K248" s="36"/>
      <c r="L248" s="26">
        <v>918</v>
      </c>
      <c r="M248" s="26" t="s">
        <v>206</v>
      </c>
      <c r="N248" s="26">
        <v>6922.4491697322464</v>
      </c>
      <c r="O248" s="93">
        <f t="shared" si="19"/>
        <v>6354808.3378142025</v>
      </c>
      <c r="P248" s="95">
        <f t="shared" si="20"/>
        <v>2568414.5696800975</v>
      </c>
      <c r="Q248" s="196">
        <v>1</v>
      </c>
    </row>
    <row r="249" spans="1:17" x14ac:dyDescent="0.25">
      <c r="A249" s="243">
        <v>1975</v>
      </c>
      <c r="B249" s="243" t="s">
        <v>183</v>
      </c>
      <c r="C249" s="198" t="s">
        <v>360</v>
      </c>
      <c r="D249" s="111" t="s">
        <v>361</v>
      </c>
      <c r="E249" s="33">
        <f t="shared" si="16"/>
        <v>27575</v>
      </c>
      <c r="F249" s="90" t="str">
        <f t="shared" si="17"/>
        <v>Date check - OK</v>
      </c>
      <c r="H249" s="115"/>
      <c r="I249" s="26"/>
      <c r="J249" s="98">
        <f t="shared" si="18"/>
        <v>0.40416869135089106</v>
      </c>
      <c r="K249" s="36"/>
      <c r="L249" s="26">
        <v>5348</v>
      </c>
      <c r="M249" s="26" t="s">
        <v>206</v>
      </c>
      <c r="N249" s="26">
        <v>2926.2190882421423</v>
      </c>
      <c r="O249" s="93">
        <f t="shared" si="19"/>
        <v>15649419.683918977</v>
      </c>
      <c r="P249" s="95">
        <f t="shared" si="20"/>
        <v>6325005.4740504082</v>
      </c>
      <c r="Q249" s="196">
        <v>1</v>
      </c>
    </row>
    <row r="250" spans="1:17" ht="23" x14ac:dyDescent="0.25">
      <c r="A250" s="243">
        <v>1975</v>
      </c>
      <c r="B250" s="243" t="s">
        <v>183</v>
      </c>
      <c r="C250" s="198" t="s">
        <v>357</v>
      </c>
      <c r="D250" s="111" t="s">
        <v>362</v>
      </c>
      <c r="E250" s="33">
        <f t="shared" si="16"/>
        <v>27575</v>
      </c>
      <c r="F250" s="90" t="str">
        <f t="shared" si="17"/>
        <v>Date check - OK</v>
      </c>
      <c r="H250" s="115"/>
      <c r="I250" s="26"/>
      <c r="J250" s="98">
        <f t="shared" si="18"/>
        <v>0.40416869135089106</v>
      </c>
      <c r="K250" s="36"/>
      <c r="L250" s="26">
        <v>212</v>
      </c>
      <c r="M250" s="26" t="s">
        <v>206</v>
      </c>
      <c r="N250" s="26">
        <v>3395.9800121071012</v>
      </c>
      <c r="O250" s="93">
        <f t="shared" si="19"/>
        <v>719947.76256670547</v>
      </c>
      <c r="P250" s="95">
        <f t="shared" si="20"/>
        <v>290980.34503758739</v>
      </c>
      <c r="Q250" s="196">
        <v>1</v>
      </c>
    </row>
    <row r="251" spans="1:17" ht="23" x14ac:dyDescent="0.25">
      <c r="A251" s="243">
        <v>1975</v>
      </c>
      <c r="B251" s="243" t="s">
        <v>183</v>
      </c>
      <c r="C251" s="198"/>
      <c r="D251" s="111" t="s">
        <v>362</v>
      </c>
      <c r="E251" s="33">
        <f t="shared" si="16"/>
        <v>27575</v>
      </c>
      <c r="F251" s="90" t="str">
        <f t="shared" si="17"/>
        <v>Date check - OK</v>
      </c>
      <c r="H251" s="115"/>
      <c r="I251" s="26"/>
      <c r="J251" s="98">
        <f t="shared" si="18"/>
        <v>0.40416869135089106</v>
      </c>
      <c r="K251" s="36"/>
      <c r="L251" s="26">
        <v>87</v>
      </c>
      <c r="M251" s="26" t="s">
        <v>206</v>
      </c>
      <c r="N251" s="26">
        <v>3849.429792782305</v>
      </c>
      <c r="O251" s="93">
        <f t="shared" si="19"/>
        <v>334900.39197206055</v>
      </c>
      <c r="P251" s="95">
        <f t="shared" si="20"/>
        <v>135356.25315624819</v>
      </c>
      <c r="Q251" s="196">
        <v>1</v>
      </c>
    </row>
    <row r="252" spans="1:17" x14ac:dyDescent="0.25">
      <c r="A252" s="243">
        <v>1975</v>
      </c>
      <c r="B252" s="243" t="s">
        <v>183</v>
      </c>
      <c r="C252" s="198" t="s">
        <v>363</v>
      </c>
      <c r="D252" s="111" t="s">
        <v>364</v>
      </c>
      <c r="E252" s="33">
        <f t="shared" si="16"/>
        <v>27575</v>
      </c>
      <c r="F252" s="90" t="str">
        <f t="shared" si="17"/>
        <v>Date check - OK</v>
      </c>
      <c r="H252" s="115"/>
      <c r="I252" s="26"/>
      <c r="J252" s="98">
        <f t="shared" si="18"/>
        <v>0.40416869135089106</v>
      </c>
      <c r="K252" s="36"/>
      <c r="L252" s="26">
        <v>620</v>
      </c>
      <c r="M252" s="26" t="s">
        <v>206</v>
      </c>
      <c r="N252" s="26">
        <v>567.62778300349237</v>
      </c>
      <c r="O252" s="93">
        <f t="shared" si="19"/>
        <v>351929.22546216525</v>
      </c>
      <c r="P252" s="95">
        <f t="shared" si="20"/>
        <v>142238.77450317601</v>
      </c>
      <c r="Q252" s="196">
        <v>1</v>
      </c>
    </row>
    <row r="253" spans="1:17" x14ac:dyDescent="0.25">
      <c r="A253" s="243">
        <v>1976</v>
      </c>
      <c r="B253" s="243" t="s">
        <v>183</v>
      </c>
      <c r="C253" s="198">
        <v>36834</v>
      </c>
      <c r="D253" s="111" t="s">
        <v>365</v>
      </c>
      <c r="E253" s="33">
        <f t="shared" si="16"/>
        <v>27941</v>
      </c>
      <c r="F253" s="90" t="str">
        <f t="shared" si="17"/>
        <v>Date check - OK</v>
      </c>
      <c r="H253" s="115"/>
      <c r="I253" s="26"/>
      <c r="J253" s="98">
        <f t="shared" si="18"/>
        <v>0.40416869135089106</v>
      </c>
      <c r="K253" s="36"/>
      <c r="L253" s="26">
        <v>152</v>
      </c>
      <c r="M253" s="26" t="s">
        <v>206</v>
      </c>
      <c r="N253" s="26">
        <v>1528.354116880093</v>
      </c>
      <c r="O253" s="93">
        <f t="shared" si="19"/>
        <v>232309.82576577412</v>
      </c>
      <c r="P253" s="95">
        <f t="shared" si="20"/>
        <v>93892.358267706441</v>
      </c>
      <c r="Q253" s="196">
        <v>1</v>
      </c>
    </row>
    <row r="254" spans="1:17" x14ac:dyDescent="0.25">
      <c r="A254" s="243">
        <v>1976</v>
      </c>
      <c r="B254" s="243" t="s">
        <v>183</v>
      </c>
      <c r="C254" s="198"/>
      <c r="D254" s="111" t="s">
        <v>365</v>
      </c>
      <c r="E254" s="33">
        <f t="shared" si="16"/>
        <v>27941</v>
      </c>
      <c r="F254" s="90" t="str">
        <f t="shared" si="17"/>
        <v>Date check - OK</v>
      </c>
      <c r="H254" s="115"/>
      <c r="I254" s="26"/>
      <c r="J254" s="98">
        <f t="shared" si="18"/>
        <v>0.40416869135089106</v>
      </c>
      <c r="K254" s="36"/>
      <c r="L254" s="26">
        <v>62</v>
      </c>
      <c r="M254" s="26" t="s">
        <v>206</v>
      </c>
      <c r="N254" s="26">
        <v>1861.1014379511059</v>
      </c>
      <c r="O254" s="93">
        <f t="shared" si="19"/>
        <v>115388.28915296857</v>
      </c>
      <c r="P254" s="95">
        <f t="shared" si="20"/>
        <v>46636.333824173525</v>
      </c>
      <c r="Q254" s="196">
        <v>1</v>
      </c>
    </row>
    <row r="255" spans="1:17" x14ac:dyDescent="0.25">
      <c r="A255" s="243">
        <v>1976</v>
      </c>
      <c r="B255" s="243" t="s">
        <v>183</v>
      </c>
      <c r="C255" s="198"/>
      <c r="D255" s="111" t="s">
        <v>365</v>
      </c>
      <c r="E255" s="33">
        <f t="shared" si="16"/>
        <v>27941</v>
      </c>
      <c r="F255" s="90" t="str">
        <f t="shared" si="17"/>
        <v>Date check - OK</v>
      </c>
      <c r="H255" s="115"/>
      <c r="I255" s="26"/>
      <c r="J255" s="98">
        <f t="shared" si="18"/>
        <v>0.40416869135089106</v>
      </c>
      <c r="K255" s="36"/>
      <c r="L255" s="26">
        <v>117</v>
      </c>
      <c r="M255" s="26" t="s">
        <v>206</v>
      </c>
      <c r="N255" s="26">
        <v>946.04630500582073</v>
      </c>
      <c r="O255" s="93">
        <f t="shared" si="19"/>
        <v>110687.41768568102</v>
      </c>
      <c r="P255" s="95">
        <f t="shared" si="20"/>
        <v>44736.388755031177</v>
      </c>
      <c r="Q255" s="196">
        <v>1</v>
      </c>
    </row>
    <row r="256" spans="1:17" x14ac:dyDescent="0.25">
      <c r="A256" s="243">
        <v>1976</v>
      </c>
      <c r="B256" s="243" t="s">
        <v>183</v>
      </c>
      <c r="C256" s="198">
        <v>36835</v>
      </c>
      <c r="D256" s="111" t="s">
        <v>366</v>
      </c>
      <c r="E256" s="33">
        <f t="shared" si="16"/>
        <v>27941</v>
      </c>
      <c r="F256" s="90" t="str">
        <f t="shared" si="17"/>
        <v>Date check - OK</v>
      </c>
      <c r="H256" s="115"/>
      <c r="I256" s="26"/>
      <c r="J256" s="98">
        <f t="shared" si="18"/>
        <v>0.40416869135089106</v>
      </c>
      <c r="K256" s="36"/>
      <c r="L256" s="26">
        <v>1048</v>
      </c>
      <c r="M256" s="26" t="s">
        <v>206</v>
      </c>
      <c r="N256" s="26">
        <v>946.04630500582073</v>
      </c>
      <c r="O256" s="93">
        <f t="shared" si="19"/>
        <v>991456.52764610015</v>
      </c>
      <c r="P256" s="95">
        <f t="shared" si="20"/>
        <v>400715.68731002283</v>
      </c>
      <c r="Q256" s="196">
        <v>1</v>
      </c>
    </row>
    <row r="257" spans="1:17" x14ac:dyDescent="0.25">
      <c r="A257" s="243">
        <v>1976</v>
      </c>
      <c r="B257" s="243" t="s">
        <v>183</v>
      </c>
      <c r="C257" s="198"/>
      <c r="D257" s="111" t="s">
        <v>366</v>
      </c>
      <c r="E257" s="33">
        <f t="shared" si="16"/>
        <v>27941</v>
      </c>
      <c r="F257" s="90" t="str">
        <f t="shared" si="17"/>
        <v>Date check - OK</v>
      </c>
      <c r="H257" s="115"/>
      <c r="I257" s="26"/>
      <c r="J257" s="98">
        <f t="shared" si="18"/>
        <v>0.40416869135089106</v>
      </c>
      <c r="K257" s="36"/>
      <c r="L257" s="26">
        <v>219</v>
      </c>
      <c r="M257" s="26" t="s">
        <v>206</v>
      </c>
      <c r="N257" s="26">
        <v>833.49941699650753</v>
      </c>
      <c r="O257" s="93">
        <f t="shared" si="19"/>
        <v>182536.37232223514</v>
      </c>
      <c r="P257" s="95">
        <f t="shared" si="20"/>
        <v>73775.486725416791</v>
      </c>
      <c r="Q257" s="196">
        <v>1</v>
      </c>
    </row>
    <row r="258" spans="1:17" x14ac:dyDescent="0.25">
      <c r="A258" s="243">
        <v>1976</v>
      </c>
      <c r="B258" s="243" t="s">
        <v>183</v>
      </c>
      <c r="C258" s="198"/>
      <c r="D258" s="111" t="s">
        <v>366</v>
      </c>
      <c r="E258" s="33">
        <f t="shared" si="16"/>
        <v>27941</v>
      </c>
      <c r="F258" s="90" t="str">
        <f t="shared" si="17"/>
        <v>Date check - OK</v>
      </c>
      <c r="H258" s="115"/>
      <c r="I258" s="26"/>
      <c r="J258" s="98">
        <f t="shared" si="18"/>
        <v>0.40416869135089106</v>
      </c>
      <c r="K258" s="36"/>
      <c r="L258" s="26">
        <v>27</v>
      </c>
      <c r="M258" s="26" t="s">
        <v>206</v>
      </c>
      <c r="N258" s="26">
        <v>450.18755203725266</v>
      </c>
      <c r="O258" s="93">
        <f t="shared" si="19"/>
        <v>12155.063905005822</v>
      </c>
      <c r="P258" s="95">
        <f t="shared" si="20"/>
        <v>4912.6962717726547</v>
      </c>
      <c r="Q258" s="196">
        <v>1</v>
      </c>
    </row>
    <row r="259" spans="1:17" x14ac:dyDescent="0.25">
      <c r="A259" s="243">
        <v>1976</v>
      </c>
      <c r="B259" s="243" t="s">
        <v>183</v>
      </c>
      <c r="C259" s="198">
        <v>47456</v>
      </c>
      <c r="D259" s="111" t="s">
        <v>367</v>
      </c>
      <c r="E259" s="33">
        <f t="shared" si="16"/>
        <v>27941</v>
      </c>
      <c r="F259" s="90" t="str">
        <f t="shared" si="17"/>
        <v>Date check - OK</v>
      </c>
      <c r="H259" s="115"/>
      <c r="I259" s="26"/>
      <c r="J259" s="98">
        <f t="shared" si="18"/>
        <v>0.40416869135089106</v>
      </c>
      <c r="K259" s="36"/>
      <c r="L259" s="26">
        <v>339</v>
      </c>
      <c r="M259" s="26" t="s">
        <v>206</v>
      </c>
      <c r="N259" s="26">
        <v>751.94370104772986</v>
      </c>
      <c r="O259" s="93">
        <f t="shared" si="19"/>
        <v>254908.91465518042</v>
      </c>
      <c r="P259" s="95">
        <f t="shared" si="20"/>
        <v>103026.20244986024</v>
      </c>
      <c r="Q259" s="196">
        <v>1</v>
      </c>
    </row>
    <row r="260" spans="1:17" x14ac:dyDescent="0.25">
      <c r="A260" s="243">
        <v>1976</v>
      </c>
      <c r="B260" s="243" t="s">
        <v>183</v>
      </c>
      <c r="C260" s="198" t="s">
        <v>368</v>
      </c>
      <c r="D260" s="111" t="s">
        <v>354</v>
      </c>
      <c r="E260" s="33">
        <f t="shared" si="16"/>
        <v>27941</v>
      </c>
      <c r="F260" s="90" t="str">
        <f t="shared" si="17"/>
        <v>Date check - OK</v>
      </c>
      <c r="H260" s="115"/>
      <c r="I260" s="26"/>
      <c r="J260" s="98">
        <f t="shared" si="18"/>
        <v>0.40416869135089106</v>
      </c>
      <c r="K260" s="36"/>
      <c r="L260" s="26">
        <v>73.400000000000006</v>
      </c>
      <c r="M260" s="26" t="s">
        <v>206</v>
      </c>
      <c r="N260" s="26">
        <v>1024.3397923166472</v>
      </c>
      <c r="O260" s="93">
        <f t="shared" si="19"/>
        <v>75186.540756041912</v>
      </c>
      <c r="P260" s="95">
        <f t="shared" si="20"/>
        <v>30388.045784569895</v>
      </c>
      <c r="Q260" s="196">
        <v>1</v>
      </c>
    </row>
    <row r="261" spans="1:17" x14ac:dyDescent="0.25">
      <c r="A261" s="243">
        <v>1976</v>
      </c>
      <c r="B261" s="243" t="s">
        <v>183</v>
      </c>
      <c r="C261" s="198" t="s">
        <v>369</v>
      </c>
      <c r="D261" s="111" t="s">
        <v>370</v>
      </c>
      <c r="E261" s="33">
        <f t="shared" si="16"/>
        <v>27941</v>
      </c>
      <c r="F261" s="90" t="str">
        <f t="shared" si="17"/>
        <v>Date check - OK</v>
      </c>
      <c r="H261" s="115"/>
      <c r="I261" s="26"/>
      <c r="J261" s="98">
        <f t="shared" si="18"/>
        <v>0.40416869135089106</v>
      </c>
      <c r="K261" s="36"/>
      <c r="L261" s="26">
        <v>364.6</v>
      </c>
      <c r="M261" s="26" t="s">
        <v>206</v>
      </c>
      <c r="N261" s="26">
        <v>709.53472875436546</v>
      </c>
      <c r="O261" s="93">
        <f t="shared" si="19"/>
        <v>258696.36210384167</v>
      </c>
      <c r="P261" s="95">
        <f t="shared" si="20"/>
        <v>104556.97012874593</v>
      </c>
      <c r="Q261" s="196">
        <v>1</v>
      </c>
    </row>
    <row r="262" spans="1:17" x14ac:dyDescent="0.25">
      <c r="A262" s="243">
        <v>1976</v>
      </c>
      <c r="B262" s="243" t="s">
        <v>183</v>
      </c>
      <c r="C262" s="198" t="s">
        <v>371</v>
      </c>
      <c r="D262" s="111" t="s">
        <v>370</v>
      </c>
      <c r="E262" s="33">
        <f t="shared" si="16"/>
        <v>27941</v>
      </c>
      <c r="F262" s="90" t="str">
        <f t="shared" si="17"/>
        <v>Date check - OK</v>
      </c>
      <c r="H262" s="115"/>
      <c r="I262" s="26"/>
      <c r="J262" s="98">
        <f t="shared" si="18"/>
        <v>0.40416869135089106</v>
      </c>
      <c r="K262" s="36"/>
      <c r="L262" s="26">
        <v>23</v>
      </c>
      <c r="M262" s="26" t="s">
        <v>206</v>
      </c>
      <c r="N262" s="26">
        <v>624.71678416763677</v>
      </c>
      <c r="O262" s="93">
        <f t="shared" si="19"/>
        <v>14368.486035855645</v>
      </c>
      <c r="P262" s="95">
        <f t="shared" si="20"/>
        <v>5807.2921978053282</v>
      </c>
      <c r="Q262" s="196">
        <v>1</v>
      </c>
    </row>
    <row r="263" spans="1:17" x14ac:dyDescent="0.25">
      <c r="A263" s="243">
        <v>1976</v>
      </c>
      <c r="B263" s="243" t="s">
        <v>183</v>
      </c>
      <c r="C263" s="198" t="s">
        <v>372</v>
      </c>
      <c r="D263" s="111" t="s">
        <v>373</v>
      </c>
      <c r="E263" s="33">
        <f t="shared" si="16"/>
        <v>27941</v>
      </c>
      <c r="F263" s="90" t="str">
        <f t="shared" si="17"/>
        <v>Date check - OK</v>
      </c>
      <c r="H263" s="115"/>
      <c r="I263" s="26"/>
      <c r="J263" s="98">
        <f t="shared" si="18"/>
        <v>0.40416869135089106</v>
      </c>
      <c r="K263" s="36"/>
      <c r="L263" s="26">
        <v>116</v>
      </c>
      <c r="M263" s="26" t="s">
        <v>206</v>
      </c>
      <c r="N263" s="26">
        <v>567.62778300349237</v>
      </c>
      <c r="O263" s="93">
        <f t="shared" si="19"/>
        <v>65844.822828405115</v>
      </c>
      <c r="P263" s="95">
        <f t="shared" si="20"/>
        <v>26612.415874787774</v>
      </c>
      <c r="Q263" s="196">
        <v>1</v>
      </c>
    </row>
    <row r="264" spans="1:17" x14ac:dyDescent="0.25">
      <c r="A264" s="243">
        <v>1976</v>
      </c>
      <c r="B264" s="243" t="s">
        <v>183</v>
      </c>
      <c r="C264" s="198" t="s">
        <v>374</v>
      </c>
      <c r="D264" s="111" t="s">
        <v>375</v>
      </c>
      <c r="E264" s="33">
        <f t="shared" si="16"/>
        <v>27941</v>
      </c>
      <c r="F264" s="90" t="str">
        <f t="shared" si="17"/>
        <v>Date check - OK</v>
      </c>
      <c r="H264" s="115"/>
      <c r="I264" s="26"/>
      <c r="J264" s="98">
        <f t="shared" si="18"/>
        <v>0.40416869135089106</v>
      </c>
      <c r="K264" s="36"/>
      <c r="L264" s="26">
        <v>149.4</v>
      </c>
      <c r="M264" s="26" t="s">
        <v>206</v>
      </c>
      <c r="N264" s="26">
        <v>1008.0286491268917</v>
      </c>
      <c r="O264" s="93">
        <f t="shared" si="19"/>
        <v>150599.48017955761</v>
      </c>
      <c r="P264" s="95">
        <f t="shared" si="20"/>
        <v>60867.594822296254</v>
      </c>
      <c r="Q264" s="196">
        <v>1</v>
      </c>
    </row>
    <row r="265" spans="1:17" x14ac:dyDescent="0.25">
      <c r="A265" s="243">
        <v>1976</v>
      </c>
      <c r="B265" s="243" t="s">
        <v>183</v>
      </c>
      <c r="C265" s="198" t="s">
        <v>374</v>
      </c>
      <c r="D265" s="111" t="s">
        <v>375</v>
      </c>
      <c r="E265" s="33">
        <f t="shared" si="16"/>
        <v>27941</v>
      </c>
      <c r="F265" s="90" t="str">
        <f t="shared" si="17"/>
        <v>Date check - OK</v>
      </c>
      <c r="H265" s="115"/>
      <c r="I265" s="26"/>
      <c r="J265" s="98">
        <f t="shared" si="18"/>
        <v>0.40416869135089106</v>
      </c>
      <c r="K265" s="36"/>
      <c r="L265" s="26">
        <v>194</v>
      </c>
      <c r="M265" s="26" t="s">
        <v>206</v>
      </c>
      <c r="N265" s="26">
        <v>833.49941699650753</v>
      </c>
      <c r="O265" s="93">
        <f t="shared" si="19"/>
        <v>161698.88689732246</v>
      </c>
      <c r="P265" s="95">
        <f t="shared" si="20"/>
        <v>65353.627510186561</v>
      </c>
      <c r="Q265" s="196">
        <v>1</v>
      </c>
    </row>
    <row r="266" spans="1:17" x14ac:dyDescent="0.25">
      <c r="A266" s="243">
        <v>1976</v>
      </c>
      <c r="B266" s="243" t="s">
        <v>183</v>
      </c>
      <c r="C266" s="198" t="s">
        <v>374</v>
      </c>
      <c r="D266" s="111" t="s">
        <v>375</v>
      </c>
      <c r="E266" s="33">
        <f t="shared" si="16"/>
        <v>27941</v>
      </c>
      <c r="F266" s="90" t="str">
        <f t="shared" si="17"/>
        <v>Date check - OK</v>
      </c>
      <c r="H266" s="115"/>
      <c r="I266" s="26"/>
      <c r="J266" s="98">
        <f t="shared" si="18"/>
        <v>0.40416869135089106</v>
      </c>
      <c r="K266" s="36"/>
      <c r="L266" s="26">
        <v>267</v>
      </c>
      <c r="M266" s="26" t="s">
        <v>206</v>
      </c>
      <c r="N266" s="26">
        <v>468.12980954598368</v>
      </c>
      <c r="O266" s="93">
        <f t="shared" si="19"/>
        <v>124990.65914877765</v>
      </c>
      <c r="P266" s="95">
        <f t="shared" si="20"/>
        <v>50517.31113924674</v>
      </c>
      <c r="Q266" s="196">
        <v>1</v>
      </c>
    </row>
    <row r="267" spans="1:17" x14ac:dyDescent="0.25">
      <c r="A267" s="243">
        <v>1976</v>
      </c>
      <c r="B267" s="243" t="s">
        <v>183</v>
      </c>
      <c r="C267" s="198" t="s">
        <v>374</v>
      </c>
      <c r="D267" s="111" t="s">
        <v>375</v>
      </c>
      <c r="E267" s="33">
        <f t="shared" si="16"/>
        <v>27941</v>
      </c>
      <c r="F267" s="90" t="str">
        <f t="shared" si="17"/>
        <v>Date check - OK</v>
      </c>
      <c r="H267" s="115"/>
      <c r="I267" s="26"/>
      <c r="J267" s="98">
        <f t="shared" si="18"/>
        <v>0.40416869135089106</v>
      </c>
      <c r="K267" s="36"/>
      <c r="L267" s="26">
        <v>68.2</v>
      </c>
      <c r="M267" s="26" t="s">
        <v>206</v>
      </c>
      <c r="N267" s="26">
        <v>494.22763864959256</v>
      </c>
      <c r="O267" s="93">
        <f t="shared" si="19"/>
        <v>33706.324955902215</v>
      </c>
      <c r="P267" s="95">
        <f t="shared" si="20"/>
        <v>13623.041247674879</v>
      </c>
      <c r="Q267" s="196">
        <v>1</v>
      </c>
    </row>
    <row r="268" spans="1:17" x14ac:dyDescent="0.25">
      <c r="A268" s="243">
        <v>1976</v>
      </c>
      <c r="B268" s="243" t="s">
        <v>183</v>
      </c>
      <c r="C268" s="198" t="s">
        <v>374</v>
      </c>
      <c r="D268" s="111" t="s">
        <v>375</v>
      </c>
      <c r="E268" s="33">
        <f t="shared" si="16"/>
        <v>27941</v>
      </c>
      <c r="F268" s="90" t="str">
        <f t="shared" si="17"/>
        <v>Date check - OK</v>
      </c>
      <c r="H268" s="115"/>
      <c r="I268" s="26"/>
      <c r="J268" s="98">
        <f t="shared" si="18"/>
        <v>0.40416869135089106</v>
      </c>
      <c r="K268" s="36"/>
      <c r="L268" s="26">
        <v>302</v>
      </c>
      <c r="M268" s="26" t="s">
        <v>206</v>
      </c>
      <c r="N268" s="26">
        <v>520.32546775320145</v>
      </c>
      <c r="O268" s="93">
        <f t="shared" si="19"/>
        <v>157138.29126146683</v>
      </c>
      <c r="P268" s="95">
        <f t="shared" si="20"/>
        <v>63510.377540262212</v>
      </c>
      <c r="Q268" s="196">
        <v>1</v>
      </c>
    </row>
    <row r="269" spans="1:17" x14ac:dyDescent="0.25">
      <c r="A269" s="243">
        <v>1976</v>
      </c>
      <c r="B269" s="243" t="s">
        <v>183</v>
      </c>
      <c r="C269" s="198" t="s">
        <v>374</v>
      </c>
      <c r="D269" s="111" t="s">
        <v>375</v>
      </c>
      <c r="E269" s="33">
        <f t="shared" si="16"/>
        <v>27941</v>
      </c>
      <c r="F269" s="90" t="str">
        <f t="shared" si="17"/>
        <v>Date check - OK</v>
      </c>
      <c r="H269" s="115"/>
      <c r="I269" s="26"/>
      <c r="J269" s="98">
        <f t="shared" si="18"/>
        <v>0.40416869135089106</v>
      </c>
      <c r="K269" s="36"/>
      <c r="L269" s="26">
        <v>443.9</v>
      </c>
      <c r="M269" s="26" t="s">
        <v>206</v>
      </c>
      <c r="N269" s="26">
        <v>567.62778300349237</v>
      </c>
      <c r="O269" s="93">
        <f t="shared" si="19"/>
        <v>251969.97287525024</v>
      </c>
      <c r="P269" s="95">
        <f t="shared" si="20"/>
        <v>101838.37419670941</v>
      </c>
      <c r="Q269" s="196">
        <v>1</v>
      </c>
    </row>
    <row r="270" spans="1:17" x14ac:dyDescent="0.25">
      <c r="A270" s="243">
        <v>1976</v>
      </c>
      <c r="B270" s="243" t="s">
        <v>183</v>
      </c>
      <c r="C270" s="198" t="s">
        <v>374</v>
      </c>
      <c r="D270" s="111" t="s">
        <v>375</v>
      </c>
      <c r="E270" s="33">
        <f t="shared" si="16"/>
        <v>27941</v>
      </c>
      <c r="F270" s="90" t="str">
        <f t="shared" si="17"/>
        <v>Date check - OK</v>
      </c>
      <c r="H270" s="115"/>
      <c r="I270" s="26"/>
      <c r="J270" s="98">
        <f t="shared" si="18"/>
        <v>0.40416869135089106</v>
      </c>
      <c r="K270" s="36"/>
      <c r="L270" s="26">
        <v>71.84</v>
      </c>
      <c r="M270" s="26" t="s">
        <v>206</v>
      </c>
      <c r="N270" s="26">
        <v>639.39681303841667</v>
      </c>
      <c r="O270" s="93">
        <f t="shared" si="19"/>
        <v>45934.267048679852</v>
      </c>
      <c r="P270" s="95">
        <f t="shared" si="20"/>
        <v>18565.192601227292</v>
      </c>
      <c r="Q270" s="196">
        <v>1</v>
      </c>
    </row>
    <row r="271" spans="1:17" x14ac:dyDescent="0.25">
      <c r="A271" s="243">
        <v>1976</v>
      </c>
      <c r="B271" s="243" t="s">
        <v>183</v>
      </c>
      <c r="C271" s="198" t="s">
        <v>374</v>
      </c>
      <c r="D271" s="111" t="s">
        <v>375</v>
      </c>
      <c r="E271" s="33">
        <f t="shared" si="16"/>
        <v>27941</v>
      </c>
      <c r="F271" s="90" t="str">
        <f t="shared" si="17"/>
        <v>Date check - OK</v>
      </c>
      <c r="H271" s="115"/>
      <c r="I271" s="26"/>
      <c r="J271" s="98">
        <f t="shared" si="18"/>
        <v>0.40416869135089106</v>
      </c>
      <c r="K271" s="36"/>
      <c r="L271" s="26">
        <v>29.05</v>
      </c>
      <c r="M271" s="26" t="s">
        <v>206</v>
      </c>
      <c r="N271" s="26">
        <v>567.62778300349237</v>
      </c>
      <c r="O271" s="93">
        <f t="shared" si="19"/>
        <v>16489.587096251453</v>
      </c>
      <c r="P271" s="95">
        <f t="shared" si="20"/>
        <v>6664.5748376084894</v>
      </c>
      <c r="Q271" s="196">
        <v>1</v>
      </c>
    </row>
    <row r="272" spans="1:17" x14ac:dyDescent="0.25">
      <c r="A272" s="243">
        <v>1976</v>
      </c>
      <c r="B272" s="243" t="s">
        <v>183</v>
      </c>
      <c r="C272" s="198" t="s">
        <v>376</v>
      </c>
      <c r="D272" s="111" t="s">
        <v>377</v>
      </c>
      <c r="E272" s="33">
        <f t="shared" si="16"/>
        <v>27941</v>
      </c>
      <c r="F272" s="90" t="str">
        <f t="shared" si="17"/>
        <v>Date check - OK</v>
      </c>
      <c r="H272" s="115"/>
      <c r="I272" s="26"/>
      <c r="J272" s="98">
        <f t="shared" si="18"/>
        <v>0.40416869135089106</v>
      </c>
      <c r="K272" s="36"/>
      <c r="L272" s="26">
        <v>516</v>
      </c>
      <c r="M272" s="26" t="s">
        <v>206</v>
      </c>
      <c r="N272" s="26">
        <v>946.04630500582073</v>
      </c>
      <c r="O272" s="93">
        <f t="shared" si="19"/>
        <v>488159.89338300348</v>
      </c>
      <c r="P272" s="95">
        <f t="shared" si="20"/>
        <v>197298.94527859901</v>
      </c>
      <c r="Q272" s="196">
        <v>1</v>
      </c>
    </row>
    <row r="273" spans="1:17" x14ac:dyDescent="0.25">
      <c r="A273" s="243">
        <v>1976</v>
      </c>
      <c r="B273" s="243" t="s">
        <v>183</v>
      </c>
      <c r="C273" s="198" t="s">
        <v>376</v>
      </c>
      <c r="D273" s="111" t="s">
        <v>377</v>
      </c>
      <c r="E273" s="33">
        <f t="shared" si="16"/>
        <v>27941</v>
      </c>
      <c r="F273" s="90" t="str">
        <f t="shared" si="17"/>
        <v>Date check - OK</v>
      </c>
      <c r="H273" s="115"/>
      <c r="I273" s="26"/>
      <c r="J273" s="98">
        <f t="shared" si="18"/>
        <v>0.40416869135089106</v>
      </c>
      <c r="K273" s="36"/>
      <c r="L273" s="26">
        <v>816</v>
      </c>
      <c r="M273" s="26" t="s">
        <v>206</v>
      </c>
      <c r="N273" s="26">
        <v>833.49941699650753</v>
      </c>
      <c r="O273" s="93">
        <f t="shared" si="19"/>
        <v>680135.5242691501</v>
      </c>
      <c r="P273" s="95">
        <f t="shared" si="20"/>
        <v>274889.48478511459</v>
      </c>
      <c r="Q273" s="196">
        <v>1</v>
      </c>
    </row>
    <row r="274" spans="1:17" x14ac:dyDescent="0.25">
      <c r="A274" s="243">
        <v>1976</v>
      </c>
      <c r="B274" s="243" t="s">
        <v>183</v>
      </c>
      <c r="C274" s="198" t="s">
        <v>376</v>
      </c>
      <c r="D274" s="111" t="s">
        <v>377</v>
      </c>
      <c r="E274" s="33">
        <f t="shared" si="16"/>
        <v>27941</v>
      </c>
      <c r="F274" s="90" t="str">
        <f t="shared" si="17"/>
        <v>Date check - OK</v>
      </c>
      <c r="H274" s="115"/>
      <c r="I274" s="26"/>
      <c r="J274" s="98">
        <f t="shared" si="18"/>
        <v>0.40416869135089106</v>
      </c>
      <c r="K274" s="36"/>
      <c r="L274" s="26">
        <v>5</v>
      </c>
      <c r="M274" s="26" t="s">
        <v>206</v>
      </c>
      <c r="N274" s="26">
        <v>567.62778300349237</v>
      </c>
      <c r="O274" s="93">
        <f t="shared" si="19"/>
        <v>2838.1389150174618</v>
      </c>
      <c r="P274" s="95">
        <f t="shared" si="20"/>
        <v>1147.0868911546454</v>
      </c>
      <c r="Q274" s="196">
        <v>1</v>
      </c>
    </row>
    <row r="275" spans="1:17" x14ac:dyDescent="0.25">
      <c r="A275" s="243">
        <v>1976</v>
      </c>
      <c r="B275" s="243" t="s">
        <v>183</v>
      </c>
      <c r="C275" s="198" t="s">
        <v>378</v>
      </c>
      <c r="D275" s="111" t="s">
        <v>379</v>
      </c>
      <c r="E275" s="33">
        <f t="shared" si="16"/>
        <v>27941</v>
      </c>
      <c r="F275" s="90" t="str">
        <f t="shared" si="17"/>
        <v>Date check - OK</v>
      </c>
      <c r="H275" s="115"/>
      <c r="I275" s="26"/>
      <c r="J275" s="98">
        <f t="shared" si="18"/>
        <v>0.40416869135089106</v>
      </c>
      <c r="K275" s="36"/>
      <c r="L275" s="26">
        <v>270</v>
      </c>
      <c r="M275" s="26" t="s">
        <v>206</v>
      </c>
      <c r="N275" s="26">
        <v>567.62778300349237</v>
      </c>
      <c r="O275" s="93">
        <f t="shared" si="19"/>
        <v>153259.50141094293</v>
      </c>
      <c r="P275" s="95">
        <f t="shared" si="20"/>
        <v>61942.692122350847</v>
      </c>
      <c r="Q275" s="196">
        <v>1</v>
      </c>
    </row>
    <row r="276" spans="1:17" x14ac:dyDescent="0.25">
      <c r="A276" s="243">
        <v>1976</v>
      </c>
      <c r="B276" s="243" t="s">
        <v>183</v>
      </c>
      <c r="C276" s="198" t="s">
        <v>380</v>
      </c>
      <c r="D276" s="111" t="s">
        <v>381</v>
      </c>
      <c r="E276" s="33">
        <f t="shared" si="16"/>
        <v>27941</v>
      </c>
      <c r="F276" s="90" t="str">
        <f t="shared" si="17"/>
        <v>Date check - OK</v>
      </c>
      <c r="H276" s="115"/>
      <c r="I276" s="26"/>
      <c r="J276" s="98">
        <f t="shared" si="18"/>
        <v>0.40416869135089106</v>
      </c>
      <c r="K276" s="36"/>
      <c r="L276" s="26">
        <v>9</v>
      </c>
      <c r="M276" s="26" t="s">
        <v>206</v>
      </c>
      <c r="N276" s="26">
        <v>567.62778300349237</v>
      </c>
      <c r="O276" s="93">
        <f t="shared" si="19"/>
        <v>5108.6500470314313</v>
      </c>
      <c r="P276" s="95">
        <f t="shared" si="20"/>
        <v>2064.7564040783618</v>
      </c>
      <c r="Q276" s="196">
        <v>1</v>
      </c>
    </row>
    <row r="277" spans="1:17" x14ac:dyDescent="0.25">
      <c r="A277" s="243">
        <v>1976</v>
      </c>
      <c r="B277" s="243" t="s">
        <v>183</v>
      </c>
      <c r="C277" s="198" t="s">
        <v>320</v>
      </c>
      <c r="D277" s="111" t="s">
        <v>382</v>
      </c>
      <c r="E277" s="33">
        <f t="shared" si="16"/>
        <v>27941</v>
      </c>
      <c r="F277" s="90" t="str">
        <f t="shared" si="17"/>
        <v>Date check - OK</v>
      </c>
      <c r="H277" s="115"/>
      <c r="I277" s="26"/>
      <c r="J277" s="98">
        <f t="shared" si="18"/>
        <v>0.40416869135089106</v>
      </c>
      <c r="K277" s="36"/>
      <c r="L277" s="26">
        <v>11</v>
      </c>
      <c r="M277" s="26" t="s">
        <v>206</v>
      </c>
      <c r="N277" s="26">
        <v>567.62778300349237</v>
      </c>
      <c r="O277" s="93">
        <f t="shared" si="19"/>
        <v>6243.905613038416</v>
      </c>
      <c r="P277" s="95">
        <f t="shared" si="20"/>
        <v>2523.5911605402198</v>
      </c>
      <c r="Q277" s="196">
        <v>1</v>
      </c>
    </row>
    <row r="278" spans="1:17" x14ac:dyDescent="0.25">
      <c r="A278" s="243">
        <v>1976</v>
      </c>
      <c r="B278" s="243" t="s">
        <v>183</v>
      </c>
      <c r="C278" s="198" t="s">
        <v>320</v>
      </c>
      <c r="D278" s="111" t="s">
        <v>382</v>
      </c>
      <c r="E278" s="33">
        <f t="shared" si="16"/>
        <v>27941</v>
      </c>
      <c r="F278" s="90" t="str">
        <f t="shared" si="17"/>
        <v>Date check - OK</v>
      </c>
      <c r="H278" s="115"/>
      <c r="I278" s="26"/>
      <c r="J278" s="98">
        <f t="shared" si="18"/>
        <v>0.40416869135089106</v>
      </c>
      <c r="K278" s="36"/>
      <c r="L278" s="26">
        <v>6</v>
      </c>
      <c r="M278" s="26" t="s">
        <v>206</v>
      </c>
      <c r="N278" s="26">
        <v>567.62778300349237</v>
      </c>
      <c r="O278" s="93">
        <f t="shared" si="19"/>
        <v>3405.7666980209542</v>
      </c>
      <c r="P278" s="95">
        <f t="shared" si="20"/>
        <v>1376.5042693855744</v>
      </c>
      <c r="Q278" s="196">
        <v>1</v>
      </c>
    </row>
    <row r="279" spans="1:17" x14ac:dyDescent="0.25">
      <c r="A279" s="243">
        <v>1976</v>
      </c>
      <c r="B279" s="243" t="s">
        <v>183</v>
      </c>
      <c r="C279" s="198" t="s">
        <v>320</v>
      </c>
      <c r="D279" s="111" t="s">
        <v>382</v>
      </c>
      <c r="E279" s="33">
        <f t="shared" ref="E279:E342" si="21">DATEVALUE("30 Jun "&amp;A279)</f>
        <v>27941</v>
      </c>
      <c r="F279" s="90" t="str">
        <f t="shared" ref="F279:F342" si="22">IF(E279="","-",IF(OR(E279&lt;$E$15,E279&gt;$E$16),"ERROR - date outside of range","Date check - OK"))</f>
        <v>Date check - OK</v>
      </c>
      <c r="H279" s="115"/>
      <c r="I279" s="26"/>
      <c r="J279" s="98">
        <f t="shared" si="18"/>
        <v>0.40416869135089106</v>
      </c>
      <c r="K279" s="36"/>
      <c r="L279" s="26">
        <v>62.45</v>
      </c>
      <c r="M279" s="26" t="s">
        <v>206</v>
      </c>
      <c r="N279" s="26">
        <v>685.06801396973219</v>
      </c>
      <c r="O279" s="93">
        <f t="shared" si="19"/>
        <v>42782.497472409777</v>
      </c>
      <c r="P279" s="95">
        <f t="shared" si="20"/>
        <v>17291.346016146665</v>
      </c>
      <c r="Q279" s="196">
        <v>1</v>
      </c>
    </row>
    <row r="280" spans="1:17" x14ac:dyDescent="0.25">
      <c r="A280" s="243">
        <v>1976</v>
      </c>
      <c r="B280" s="243" t="s">
        <v>183</v>
      </c>
      <c r="C280" s="198" t="s">
        <v>383</v>
      </c>
      <c r="D280" s="111" t="s">
        <v>384</v>
      </c>
      <c r="E280" s="33">
        <f t="shared" si="21"/>
        <v>27941</v>
      </c>
      <c r="F280" s="90" t="str">
        <f t="shared" si="22"/>
        <v>Date check - OK</v>
      </c>
      <c r="H280" s="115"/>
      <c r="I280" s="26"/>
      <c r="J280" s="98">
        <f t="shared" ref="J280:J343" si="23">J279</f>
        <v>0.40416869135089106</v>
      </c>
      <c r="K280" s="36"/>
      <c r="L280" s="26">
        <v>9.4</v>
      </c>
      <c r="M280" s="26" t="s">
        <v>206</v>
      </c>
      <c r="N280" s="26">
        <v>567.62778300349237</v>
      </c>
      <c r="O280" s="93">
        <f t="shared" ref="O280:O343" si="24">IF(N280="","-",L280*N280)</f>
        <v>5335.7011602328284</v>
      </c>
      <c r="P280" s="95">
        <f t="shared" ref="P280:P343" si="25">IF(O280="-","-",IF(OR(E280&lt;$E$15,E280&gt;$E$16),0,O280*J280))*Q280</f>
        <v>2156.5233553707335</v>
      </c>
      <c r="Q280" s="196">
        <v>1</v>
      </c>
    </row>
    <row r="281" spans="1:17" x14ac:dyDescent="0.25">
      <c r="A281" s="243">
        <v>1976</v>
      </c>
      <c r="B281" s="243" t="s">
        <v>183</v>
      </c>
      <c r="C281" s="198" t="s">
        <v>385</v>
      </c>
      <c r="D281" s="111" t="s">
        <v>386</v>
      </c>
      <c r="E281" s="33">
        <f t="shared" si="21"/>
        <v>27941</v>
      </c>
      <c r="F281" s="90" t="str">
        <f t="shared" si="22"/>
        <v>Date check - OK</v>
      </c>
      <c r="H281" s="115"/>
      <c r="I281" s="26"/>
      <c r="J281" s="98">
        <f t="shared" si="23"/>
        <v>0.40416869135089106</v>
      </c>
      <c r="K281" s="36"/>
      <c r="L281" s="26">
        <v>548.5</v>
      </c>
      <c r="M281" s="26" t="s">
        <v>206</v>
      </c>
      <c r="N281" s="26">
        <v>567.62778300349237</v>
      </c>
      <c r="O281" s="93">
        <f t="shared" si="24"/>
        <v>311343.83897741558</v>
      </c>
      <c r="P281" s="95">
        <f t="shared" si="25"/>
        <v>125835.43195966461</v>
      </c>
      <c r="Q281" s="196">
        <v>1</v>
      </c>
    </row>
    <row r="282" spans="1:17" x14ac:dyDescent="0.25">
      <c r="A282" s="243">
        <v>1976</v>
      </c>
      <c r="B282" s="243" t="s">
        <v>183</v>
      </c>
      <c r="C282" s="198" t="s">
        <v>387</v>
      </c>
      <c r="D282" s="111" t="s">
        <v>388</v>
      </c>
      <c r="E282" s="33">
        <f t="shared" si="21"/>
        <v>27941</v>
      </c>
      <c r="F282" s="90" t="str">
        <f t="shared" si="22"/>
        <v>Date check - OK</v>
      </c>
      <c r="H282" s="115"/>
      <c r="I282" s="26"/>
      <c r="J282" s="98">
        <f t="shared" si="23"/>
        <v>0.40416869135089106</v>
      </c>
      <c r="K282" s="36"/>
      <c r="L282" s="26">
        <v>621</v>
      </c>
      <c r="M282" s="26" t="s">
        <v>206</v>
      </c>
      <c r="N282" s="26">
        <v>567.62778300349237</v>
      </c>
      <c r="O282" s="93">
        <f t="shared" si="24"/>
        <v>352496.85324516875</v>
      </c>
      <c r="P282" s="95">
        <f t="shared" si="25"/>
        <v>142468.19188140696</v>
      </c>
      <c r="Q282" s="196">
        <v>1</v>
      </c>
    </row>
    <row r="283" spans="1:17" x14ac:dyDescent="0.25">
      <c r="A283" s="243">
        <v>1976</v>
      </c>
      <c r="B283" s="243" t="s">
        <v>183</v>
      </c>
      <c r="C283" s="198" t="s">
        <v>389</v>
      </c>
      <c r="D283" s="111" t="s">
        <v>384</v>
      </c>
      <c r="E283" s="33">
        <f t="shared" si="21"/>
        <v>27941</v>
      </c>
      <c r="F283" s="90" t="str">
        <f t="shared" si="22"/>
        <v>Date check - OK</v>
      </c>
      <c r="H283" s="115"/>
      <c r="I283" s="26"/>
      <c r="J283" s="98">
        <f t="shared" si="23"/>
        <v>0.40416869135089106</v>
      </c>
      <c r="K283" s="36"/>
      <c r="L283" s="26">
        <v>14.3</v>
      </c>
      <c r="M283" s="26" t="s">
        <v>206</v>
      </c>
      <c r="N283" s="26">
        <v>685.06801396973219</v>
      </c>
      <c r="O283" s="93">
        <f t="shared" si="24"/>
        <v>9796.4725997671703</v>
      </c>
      <c r="P283" s="95">
        <f t="shared" si="25"/>
        <v>3959.4275105027587</v>
      </c>
      <c r="Q283" s="196">
        <v>1</v>
      </c>
    </row>
    <row r="284" spans="1:17" x14ac:dyDescent="0.25">
      <c r="A284" s="243">
        <v>1976</v>
      </c>
      <c r="B284" s="243" t="s">
        <v>183</v>
      </c>
      <c r="C284" s="198" t="s">
        <v>389</v>
      </c>
      <c r="D284" s="111" t="s">
        <v>384</v>
      </c>
      <c r="E284" s="33">
        <f t="shared" si="21"/>
        <v>27941</v>
      </c>
      <c r="F284" s="90" t="str">
        <f t="shared" si="22"/>
        <v>Date check - OK</v>
      </c>
      <c r="H284" s="115"/>
      <c r="I284" s="26"/>
      <c r="J284" s="98">
        <f t="shared" si="23"/>
        <v>0.40416869135089106</v>
      </c>
      <c r="K284" s="36"/>
      <c r="L284" s="26">
        <v>6</v>
      </c>
      <c r="M284" s="26" t="s">
        <v>206</v>
      </c>
      <c r="N284" s="26">
        <v>450.18755203725266</v>
      </c>
      <c r="O284" s="93">
        <f t="shared" si="24"/>
        <v>2701.1253122235157</v>
      </c>
      <c r="P284" s="95">
        <f t="shared" si="25"/>
        <v>1091.7102826161454</v>
      </c>
      <c r="Q284" s="196">
        <v>1</v>
      </c>
    </row>
    <row r="285" spans="1:17" x14ac:dyDescent="0.25">
      <c r="A285" s="243">
        <v>1976</v>
      </c>
      <c r="B285" s="243" t="s">
        <v>183</v>
      </c>
      <c r="C285" s="198" t="s">
        <v>390</v>
      </c>
      <c r="D285" s="111" t="s">
        <v>391</v>
      </c>
      <c r="E285" s="33">
        <f t="shared" si="21"/>
        <v>27941</v>
      </c>
      <c r="F285" s="90" t="str">
        <f t="shared" si="22"/>
        <v>Date check - OK</v>
      </c>
      <c r="H285" s="115"/>
      <c r="I285" s="26"/>
      <c r="J285" s="98">
        <f t="shared" si="23"/>
        <v>0.40416869135089106</v>
      </c>
      <c r="K285" s="36"/>
      <c r="L285" s="26">
        <v>10.1</v>
      </c>
      <c r="M285" s="26" t="s">
        <v>206</v>
      </c>
      <c r="N285" s="26">
        <v>567.62778300349237</v>
      </c>
      <c r="O285" s="93">
        <f t="shared" si="24"/>
        <v>5733.0406083352727</v>
      </c>
      <c r="P285" s="95">
        <f t="shared" si="25"/>
        <v>2317.1155201323836</v>
      </c>
      <c r="Q285" s="196">
        <v>1</v>
      </c>
    </row>
    <row r="286" spans="1:17" x14ac:dyDescent="0.25">
      <c r="A286" s="243">
        <v>1976</v>
      </c>
      <c r="B286" s="243" t="s">
        <v>183</v>
      </c>
      <c r="C286" s="198" t="s">
        <v>392</v>
      </c>
      <c r="D286" s="111" t="s">
        <v>393</v>
      </c>
      <c r="E286" s="33">
        <f t="shared" si="21"/>
        <v>27941</v>
      </c>
      <c r="F286" s="90" t="str">
        <f t="shared" si="22"/>
        <v>Date check - OK</v>
      </c>
      <c r="H286" s="115"/>
      <c r="I286" s="26"/>
      <c r="J286" s="98">
        <f t="shared" si="23"/>
        <v>0.40416869135089106</v>
      </c>
      <c r="K286" s="36"/>
      <c r="L286" s="26">
        <v>543</v>
      </c>
      <c r="M286" s="26" t="s">
        <v>206</v>
      </c>
      <c r="N286" s="26">
        <v>709.53472875436546</v>
      </c>
      <c r="O286" s="93">
        <f t="shared" si="24"/>
        <v>385277.35771362047</v>
      </c>
      <c r="P286" s="95">
        <f t="shared" si="25"/>
        <v>155717.04547424312</v>
      </c>
      <c r="Q286" s="196">
        <v>1</v>
      </c>
    </row>
    <row r="287" spans="1:17" x14ac:dyDescent="0.25">
      <c r="A287" s="243">
        <v>1976</v>
      </c>
      <c r="B287" s="243" t="s">
        <v>183</v>
      </c>
      <c r="C287" s="198" t="s">
        <v>392</v>
      </c>
      <c r="D287" s="111" t="s">
        <v>393</v>
      </c>
      <c r="E287" s="33">
        <f t="shared" si="21"/>
        <v>27941</v>
      </c>
      <c r="F287" s="90" t="str">
        <f t="shared" si="22"/>
        <v>Date check - OK</v>
      </c>
      <c r="H287" s="115"/>
      <c r="I287" s="26"/>
      <c r="J287" s="98">
        <f t="shared" si="23"/>
        <v>0.40416869135089106</v>
      </c>
      <c r="K287" s="36"/>
      <c r="L287" s="26">
        <v>9</v>
      </c>
      <c r="M287" s="26" t="s">
        <v>206</v>
      </c>
      <c r="N287" s="26">
        <v>1024.3397923166472</v>
      </c>
      <c r="O287" s="93">
        <f t="shared" si="24"/>
        <v>9219.058130849824</v>
      </c>
      <c r="P287" s="95">
        <f t="shared" si="25"/>
        <v>3726.0546602333652</v>
      </c>
      <c r="Q287" s="196">
        <v>1</v>
      </c>
    </row>
    <row r="288" spans="1:17" x14ac:dyDescent="0.25">
      <c r="A288" s="243">
        <v>1976</v>
      </c>
      <c r="B288" s="243" t="s">
        <v>183</v>
      </c>
      <c r="C288" s="198" t="s">
        <v>394</v>
      </c>
      <c r="D288" s="111" t="s">
        <v>395</v>
      </c>
      <c r="E288" s="33">
        <f t="shared" si="21"/>
        <v>27941</v>
      </c>
      <c r="F288" s="90" t="str">
        <f t="shared" si="22"/>
        <v>Date check - OK</v>
      </c>
      <c r="H288" s="115"/>
      <c r="I288" s="26"/>
      <c r="J288" s="98">
        <f t="shared" si="23"/>
        <v>0.40416869135089106</v>
      </c>
      <c r="K288" s="36"/>
      <c r="L288" s="26">
        <v>40.65</v>
      </c>
      <c r="M288" s="26" t="s">
        <v>206</v>
      </c>
      <c r="N288" s="26">
        <v>624.71678416763677</v>
      </c>
      <c r="O288" s="93">
        <f t="shared" si="24"/>
        <v>25394.737276414435</v>
      </c>
      <c r="P288" s="95">
        <f t="shared" si="25"/>
        <v>10263.757732208114</v>
      </c>
      <c r="Q288" s="196">
        <v>1</v>
      </c>
    </row>
    <row r="289" spans="1:17" x14ac:dyDescent="0.25">
      <c r="A289" s="243">
        <v>1976</v>
      </c>
      <c r="B289" s="243" t="s">
        <v>183</v>
      </c>
      <c r="C289" s="198" t="s">
        <v>396</v>
      </c>
      <c r="D289" s="111" t="s">
        <v>397</v>
      </c>
      <c r="E289" s="33">
        <f t="shared" si="21"/>
        <v>27941</v>
      </c>
      <c r="F289" s="90" t="str">
        <f t="shared" si="22"/>
        <v>Date check - OK</v>
      </c>
      <c r="H289" s="115"/>
      <c r="I289" s="26"/>
      <c r="J289" s="98">
        <f t="shared" si="23"/>
        <v>0.40416869135089106</v>
      </c>
      <c r="K289" s="36"/>
      <c r="L289" s="26">
        <v>23</v>
      </c>
      <c r="M289" s="26" t="s">
        <v>206</v>
      </c>
      <c r="N289" s="26">
        <v>685.06801396973219</v>
      </c>
      <c r="O289" s="93">
        <f t="shared" si="24"/>
        <v>15756.56432130384</v>
      </c>
      <c r="P289" s="95">
        <f t="shared" si="25"/>
        <v>6368.3099819275139</v>
      </c>
      <c r="Q289" s="196">
        <v>1</v>
      </c>
    </row>
    <row r="290" spans="1:17" x14ac:dyDescent="0.25">
      <c r="A290" s="243">
        <v>1976</v>
      </c>
      <c r="B290" s="243" t="s">
        <v>183</v>
      </c>
      <c r="C290" s="198" t="s">
        <v>398</v>
      </c>
      <c r="D290" s="111" t="s">
        <v>399</v>
      </c>
      <c r="E290" s="33">
        <f t="shared" si="21"/>
        <v>27941</v>
      </c>
      <c r="F290" s="90" t="str">
        <f t="shared" si="22"/>
        <v>Date check - OK</v>
      </c>
      <c r="H290" s="115"/>
      <c r="I290" s="26"/>
      <c r="J290" s="98">
        <f t="shared" si="23"/>
        <v>0.40416869135089106</v>
      </c>
      <c r="K290" s="36"/>
      <c r="L290" s="26">
        <v>57.9</v>
      </c>
      <c r="M290" s="26" t="s">
        <v>206</v>
      </c>
      <c r="N290" s="26">
        <v>567.62778300349237</v>
      </c>
      <c r="O290" s="93">
        <f t="shared" si="24"/>
        <v>32865.648635902209</v>
      </c>
      <c r="P290" s="95">
        <f t="shared" si="25"/>
        <v>13283.266199570793</v>
      </c>
      <c r="Q290" s="196">
        <v>1</v>
      </c>
    </row>
    <row r="291" spans="1:17" x14ac:dyDescent="0.25">
      <c r="A291" s="243">
        <v>1976</v>
      </c>
      <c r="B291" s="243" t="s">
        <v>183</v>
      </c>
      <c r="C291" s="198"/>
      <c r="D291" s="111" t="s">
        <v>400</v>
      </c>
      <c r="E291" s="33">
        <f t="shared" si="21"/>
        <v>27941</v>
      </c>
      <c r="F291" s="90" t="str">
        <f t="shared" si="22"/>
        <v>Date check - OK</v>
      </c>
      <c r="H291" s="115"/>
      <c r="I291" s="26"/>
      <c r="J291" s="98">
        <f t="shared" si="23"/>
        <v>0.40416869135089106</v>
      </c>
      <c r="K291" s="36"/>
      <c r="L291" s="26">
        <v>34</v>
      </c>
      <c r="M291" s="26" t="s">
        <v>206</v>
      </c>
      <c r="N291" s="26">
        <v>3847.7986784633295</v>
      </c>
      <c r="O291" s="93">
        <f t="shared" si="24"/>
        <v>130825.15506775321</v>
      </c>
      <c r="P291" s="95">
        <f t="shared" si="25"/>
        <v>52875.431719511209</v>
      </c>
      <c r="Q291" s="196">
        <v>1</v>
      </c>
    </row>
    <row r="292" spans="1:17" x14ac:dyDescent="0.25">
      <c r="A292" s="243">
        <v>1976</v>
      </c>
      <c r="B292" s="243" t="s">
        <v>183</v>
      </c>
      <c r="C292" s="198" t="s">
        <v>401</v>
      </c>
      <c r="D292" s="111" t="s">
        <v>402</v>
      </c>
      <c r="E292" s="33">
        <f t="shared" si="21"/>
        <v>27941</v>
      </c>
      <c r="F292" s="90" t="str">
        <f t="shared" si="22"/>
        <v>Date check - OK</v>
      </c>
      <c r="H292" s="115"/>
      <c r="I292" s="26"/>
      <c r="J292" s="98">
        <f t="shared" si="23"/>
        <v>0.40416869135089106</v>
      </c>
      <c r="K292" s="36"/>
      <c r="L292" s="26">
        <v>681</v>
      </c>
      <c r="M292" s="26" t="s">
        <v>206</v>
      </c>
      <c r="N292" s="26">
        <v>685.06801396973219</v>
      </c>
      <c r="O292" s="93">
        <f t="shared" si="24"/>
        <v>466531.31751338765</v>
      </c>
      <c r="P292" s="95">
        <f t="shared" si="25"/>
        <v>188557.35207359292</v>
      </c>
      <c r="Q292" s="196">
        <v>1</v>
      </c>
    </row>
    <row r="293" spans="1:17" x14ac:dyDescent="0.25">
      <c r="A293" s="243">
        <v>1976</v>
      </c>
      <c r="B293" s="243" t="s">
        <v>183</v>
      </c>
      <c r="C293" s="198" t="s">
        <v>403</v>
      </c>
      <c r="D293" s="111" t="s">
        <v>404</v>
      </c>
      <c r="E293" s="33">
        <f t="shared" si="21"/>
        <v>27941</v>
      </c>
      <c r="F293" s="90" t="str">
        <f t="shared" si="22"/>
        <v>Date check - OK</v>
      </c>
      <c r="H293" s="115"/>
      <c r="I293" s="26"/>
      <c r="J293" s="98">
        <f t="shared" si="23"/>
        <v>0.40416869135089106</v>
      </c>
      <c r="K293" s="36"/>
      <c r="L293" s="26">
        <v>1742</v>
      </c>
      <c r="M293" s="26" t="s">
        <v>206</v>
      </c>
      <c r="N293" s="26">
        <v>494.22763864959256</v>
      </c>
      <c r="O293" s="93">
        <f t="shared" si="24"/>
        <v>860944.54652759025</v>
      </c>
      <c r="P293" s="95">
        <f t="shared" si="25"/>
        <v>347966.83069574251</v>
      </c>
      <c r="Q293" s="196">
        <v>1</v>
      </c>
    </row>
    <row r="294" spans="1:17" x14ac:dyDescent="0.25">
      <c r="A294" s="243">
        <v>1976</v>
      </c>
      <c r="B294" s="243" t="s">
        <v>183</v>
      </c>
      <c r="C294" s="198" t="s">
        <v>405</v>
      </c>
      <c r="D294" s="111" t="s">
        <v>406</v>
      </c>
      <c r="E294" s="33">
        <f t="shared" si="21"/>
        <v>27941</v>
      </c>
      <c r="F294" s="90" t="str">
        <f t="shared" si="22"/>
        <v>Date check - OK</v>
      </c>
      <c r="H294" s="115"/>
      <c r="I294" s="26"/>
      <c r="J294" s="98">
        <f t="shared" si="23"/>
        <v>0.40416869135089106</v>
      </c>
      <c r="K294" s="36"/>
      <c r="L294" s="26">
        <v>334</v>
      </c>
      <c r="M294" s="26" t="s">
        <v>206</v>
      </c>
      <c r="N294" s="26">
        <v>450.18755203725266</v>
      </c>
      <c r="O294" s="93">
        <f t="shared" si="24"/>
        <v>150362.64238044238</v>
      </c>
      <c r="P294" s="95">
        <f t="shared" si="25"/>
        <v>60771.872398965432</v>
      </c>
      <c r="Q294" s="196">
        <v>1</v>
      </c>
    </row>
    <row r="295" spans="1:17" x14ac:dyDescent="0.25">
      <c r="A295" s="243">
        <v>1977</v>
      </c>
      <c r="B295" s="243" t="s">
        <v>183</v>
      </c>
      <c r="C295" s="198" t="s">
        <v>407</v>
      </c>
      <c r="D295" s="111" t="s">
        <v>408</v>
      </c>
      <c r="E295" s="33">
        <f t="shared" si="21"/>
        <v>28306</v>
      </c>
      <c r="F295" s="90" t="str">
        <f t="shared" si="22"/>
        <v>Date check - OK</v>
      </c>
      <c r="H295" s="115"/>
      <c r="I295" s="26"/>
      <c r="J295" s="98">
        <f t="shared" si="23"/>
        <v>0.40416869135089106</v>
      </c>
      <c r="K295" s="36"/>
      <c r="L295" s="26">
        <v>43</v>
      </c>
      <c r="M295" s="26" t="s">
        <v>206</v>
      </c>
      <c r="N295" s="26">
        <v>946.04630500582073</v>
      </c>
      <c r="O295" s="93">
        <f t="shared" si="24"/>
        <v>40679.99111525029</v>
      </c>
      <c r="P295" s="95">
        <f t="shared" si="25"/>
        <v>4932.4736319649755</v>
      </c>
      <c r="Q295" s="196">
        <v>0.3</v>
      </c>
    </row>
    <row r="296" spans="1:17" x14ac:dyDescent="0.25">
      <c r="A296" s="243">
        <v>1977</v>
      </c>
      <c r="B296" s="243" t="s">
        <v>183</v>
      </c>
      <c r="C296" s="198"/>
      <c r="D296" s="111" t="s">
        <v>408</v>
      </c>
      <c r="E296" s="33">
        <f t="shared" si="21"/>
        <v>28306</v>
      </c>
      <c r="F296" s="90" t="str">
        <f t="shared" si="22"/>
        <v>Date check - OK</v>
      </c>
      <c r="H296" s="115"/>
      <c r="I296" s="26"/>
      <c r="J296" s="98">
        <f t="shared" si="23"/>
        <v>0.40416869135089106</v>
      </c>
      <c r="K296" s="36"/>
      <c r="L296" s="26">
        <v>325</v>
      </c>
      <c r="M296" s="26" t="s">
        <v>206</v>
      </c>
      <c r="N296" s="26">
        <v>833.49941699650753</v>
      </c>
      <c r="O296" s="93">
        <f t="shared" si="24"/>
        <v>270887.31052386493</v>
      </c>
      <c r="P296" s="95">
        <f t="shared" si="25"/>
        <v>32845.250939397883</v>
      </c>
      <c r="Q296" s="196">
        <v>0.3</v>
      </c>
    </row>
    <row r="297" spans="1:17" x14ac:dyDescent="0.25">
      <c r="A297" s="243">
        <v>1977</v>
      </c>
      <c r="B297" s="243" t="s">
        <v>183</v>
      </c>
      <c r="C297" s="198"/>
      <c r="D297" s="111" t="s">
        <v>408</v>
      </c>
      <c r="E297" s="33">
        <f t="shared" si="21"/>
        <v>28306</v>
      </c>
      <c r="F297" s="90" t="str">
        <f t="shared" si="22"/>
        <v>Date check - OK</v>
      </c>
      <c r="H297" s="115"/>
      <c r="I297" s="26"/>
      <c r="J297" s="98">
        <f t="shared" si="23"/>
        <v>0.40416869135089106</v>
      </c>
      <c r="K297" s="36"/>
      <c r="L297" s="26">
        <v>82</v>
      </c>
      <c r="M297" s="26" t="s">
        <v>206</v>
      </c>
      <c r="N297" s="26">
        <v>520.32546775320145</v>
      </c>
      <c r="O297" s="93">
        <f t="shared" si="24"/>
        <v>42666.688355762519</v>
      </c>
      <c r="P297" s="95">
        <f t="shared" si="25"/>
        <v>5173.3618791074514</v>
      </c>
      <c r="Q297" s="196">
        <v>0.3</v>
      </c>
    </row>
    <row r="298" spans="1:17" x14ac:dyDescent="0.25">
      <c r="A298" s="243">
        <v>1977</v>
      </c>
      <c r="B298" s="243" t="s">
        <v>183</v>
      </c>
      <c r="C298" s="198" t="s">
        <v>409</v>
      </c>
      <c r="D298" s="111" t="s">
        <v>410</v>
      </c>
      <c r="E298" s="33">
        <f t="shared" si="21"/>
        <v>28306</v>
      </c>
      <c r="F298" s="90" t="str">
        <f t="shared" si="22"/>
        <v>Date check - OK</v>
      </c>
      <c r="H298" s="115"/>
      <c r="I298" s="26"/>
      <c r="J298" s="98">
        <f t="shared" si="23"/>
        <v>0.40416869135089106</v>
      </c>
      <c r="K298" s="36"/>
      <c r="L298" s="26">
        <v>287</v>
      </c>
      <c r="M298" s="26" t="s">
        <v>206</v>
      </c>
      <c r="N298" s="26">
        <v>685.06801396973219</v>
      </c>
      <c r="O298" s="93">
        <f t="shared" si="24"/>
        <v>196614.52000931313</v>
      </c>
      <c r="P298" s="95">
        <f t="shared" si="25"/>
        <v>79465.433252747665</v>
      </c>
      <c r="Q298" s="196">
        <v>1</v>
      </c>
    </row>
    <row r="299" spans="1:17" x14ac:dyDescent="0.25">
      <c r="A299" s="243">
        <v>1977</v>
      </c>
      <c r="B299" s="243" t="s">
        <v>183</v>
      </c>
      <c r="C299" s="198" t="s">
        <v>411</v>
      </c>
      <c r="D299" s="111" t="s">
        <v>412</v>
      </c>
      <c r="E299" s="33">
        <f t="shared" si="21"/>
        <v>28306</v>
      </c>
      <c r="F299" s="90" t="str">
        <f t="shared" si="22"/>
        <v>Date check - OK</v>
      </c>
      <c r="H299" s="115"/>
      <c r="I299" s="26"/>
      <c r="J299" s="98">
        <f t="shared" si="23"/>
        <v>0.40416869135089106</v>
      </c>
      <c r="K299" s="36"/>
      <c r="L299" s="26">
        <v>54</v>
      </c>
      <c r="M299" s="26" t="s">
        <v>206</v>
      </c>
      <c r="N299" s="26">
        <v>624.71678416763677</v>
      </c>
      <c r="O299" s="93">
        <f t="shared" si="24"/>
        <v>33734.706345052386</v>
      </c>
      <c r="P299" s="95">
        <f t="shared" si="25"/>
        <v>13634.512116586424</v>
      </c>
      <c r="Q299" s="196">
        <v>1</v>
      </c>
    </row>
    <row r="300" spans="1:17" x14ac:dyDescent="0.25">
      <c r="A300" s="243">
        <v>1977</v>
      </c>
      <c r="B300" s="243" t="s">
        <v>183</v>
      </c>
      <c r="C300" s="198" t="s">
        <v>413</v>
      </c>
      <c r="D300" s="111" t="s">
        <v>414</v>
      </c>
      <c r="E300" s="33">
        <f t="shared" si="21"/>
        <v>28306</v>
      </c>
      <c r="F300" s="90" t="str">
        <f t="shared" si="22"/>
        <v>Date check - OK</v>
      </c>
      <c r="H300" s="115"/>
      <c r="I300" s="26"/>
      <c r="J300" s="98">
        <f t="shared" si="23"/>
        <v>0.40416869135089106</v>
      </c>
      <c r="K300" s="36"/>
      <c r="L300" s="26">
        <v>94.8</v>
      </c>
      <c r="M300" s="26" t="s">
        <v>206</v>
      </c>
      <c r="N300" s="26">
        <v>624.71678416763677</v>
      </c>
      <c r="O300" s="93">
        <f t="shared" si="24"/>
        <v>59223.151139091962</v>
      </c>
      <c r="P300" s="95">
        <f t="shared" si="25"/>
        <v>23936.143493562831</v>
      </c>
      <c r="Q300" s="196">
        <v>1</v>
      </c>
    </row>
    <row r="301" spans="1:17" x14ac:dyDescent="0.25">
      <c r="A301" s="243">
        <v>1977</v>
      </c>
      <c r="B301" s="243" t="s">
        <v>183</v>
      </c>
      <c r="C301" s="198" t="s">
        <v>415</v>
      </c>
      <c r="D301" s="111" t="s">
        <v>416</v>
      </c>
      <c r="E301" s="33">
        <f t="shared" si="21"/>
        <v>28306</v>
      </c>
      <c r="F301" s="90" t="str">
        <f t="shared" si="22"/>
        <v>Date check - OK</v>
      </c>
      <c r="H301" s="115"/>
      <c r="I301" s="26"/>
      <c r="J301" s="98">
        <f t="shared" si="23"/>
        <v>0.40416869135089106</v>
      </c>
      <c r="K301" s="36"/>
      <c r="L301" s="26">
        <v>255</v>
      </c>
      <c r="M301" s="26" t="s">
        <v>206</v>
      </c>
      <c r="N301" s="26">
        <v>494.22763864959256</v>
      </c>
      <c r="O301" s="93">
        <f t="shared" si="24"/>
        <v>126028.0478556461</v>
      </c>
      <c r="P301" s="95">
        <f t="shared" si="25"/>
        <v>50936.591175323956</v>
      </c>
      <c r="Q301" s="196">
        <v>1</v>
      </c>
    </row>
    <row r="302" spans="1:17" x14ac:dyDescent="0.25">
      <c r="A302" s="243">
        <v>1977</v>
      </c>
      <c r="B302" s="243" t="s">
        <v>183</v>
      </c>
      <c r="C302" s="198" t="s">
        <v>415</v>
      </c>
      <c r="D302" s="111" t="s">
        <v>416</v>
      </c>
      <c r="E302" s="33">
        <f t="shared" si="21"/>
        <v>28306</v>
      </c>
      <c r="F302" s="90" t="str">
        <f t="shared" si="22"/>
        <v>Date check - OK</v>
      </c>
      <c r="H302" s="115"/>
      <c r="I302" s="26"/>
      <c r="J302" s="98">
        <f t="shared" si="23"/>
        <v>0.40416869135089106</v>
      </c>
      <c r="K302" s="36"/>
      <c r="L302" s="26">
        <v>9</v>
      </c>
      <c r="M302" s="26" t="s">
        <v>206</v>
      </c>
      <c r="N302" s="26">
        <v>468.12980954598368</v>
      </c>
      <c r="O302" s="93">
        <f t="shared" si="24"/>
        <v>4213.1682859138527</v>
      </c>
      <c r="P302" s="95">
        <f t="shared" si="25"/>
        <v>1702.8307125588788</v>
      </c>
      <c r="Q302" s="196">
        <v>1</v>
      </c>
    </row>
    <row r="303" spans="1:17" x14ac:dyDescent="0.25">
      <c r="A303" s="243">
        <v>1977</v>
      </c>
      <c r="B303" s="243" t="s">
        <v>183</v>
      </c>
      <c r="C303" s="198" t="s">
        <v>417</v>
      </c>
      <c r="D303" s="111" t="s">
        <v>418</v>
      </c>
      <c r="E303" s="33">
        <f t="shared" si="21"/>
        <v>28306</v>
      </c>
      <c r="F303" s="90" t="str">
        <f t="shared" si="22"/>
        <v>Date check - OK</v>
      </c>
      <c r="H303" s="115"/>
      <c r="I303" s="26"/>
      <c r="J303" s="98">
        <f t="shared" si="23"/>
        <v>0.40416869135089106</v>
      </c>
      <c r="K303" s="36"/>
      <c r="L303" s="26">
        <v>746</v>
      </c>
      <c r="M303" s="26" t="s">
        <v>206</v>
      </c>
      <c r="N303" s="26">
        <v>494.22763864959256</v>
      </c>
      <c r="O303" s="93">
        <f t="shared" si="24"/>
        <v>368693.81843259605</v>
      </c>
      <c r="P303" s="95">
        <f t="shared" si="25"/>
        <v>149014.49810506537</v>
      </c>
      <c r="Q303" s="196">
        <v>1</v>
      </c>
    </row>
    <row r="304" spans="1:17" x14ac:dyDescent="0.25">
      <c r="A304" s="243">
        <v>1977</v>
      </c>
      <c r="B304" s="243" t="s">
        <v>183</v>
      </c>
      <c r="C304" s="198" t="s">
        <v>417</v>
      </c>
      <c r="D304" s="111" t="s">
        <v>418</v>
      </c>
      <c r="E304" s="33">
        <f t="shared" si="21"/>
        <v>28306</v>
      </c>
      <c r="F304" s="90" t="str">
        <f t="shared" si="22"/>
        <v>Date check - OK</v>
      </c>
      <c r="H304" s="115"/>
      <c r="I304" s="26"/>
      <c r="J304" s="98">
        <f t="shared" si="23"/>
        <v>0.40416869135089106</v>
      </c>
      <c r="K304" s="36"/>
      <c r="L304" s="26">
        <v>170</v>
      </c>
      <c r="M304" s="26" t="s">
        <v>206</v>
      </c>
      <c r="N304" s="26">
        <v>580.67669755529687</v>
      </c>
      <c r="O304" s="93">
        <f t="shared" si="24"/>
        <v>98715.038584400463</v>
      </c>
      <c r="P304" s="95">
        <f t="shared" si="25"/>
        <v>39897.527961309854</v>
      </c>
      <c r="Q304" s="196">
        <v>1</v>
      </c>
    </row>
    <row r="305" spans="1:17" x14ac:dyDescent="0.25">
      <c r="A305" s="243">
        <v>1977</v>
      </c>
      <c r="B305" s="243" t="s">
        <v>183</v>
      </c>
      <c r="C305" s="198" t="s">
        <v>417</v>
      </c>
      <c r="D305" s="111" t="s">
        <v>418</v>
      </c>
      <c r="E305" s="33">
        <f t="shared" si="21"/>
        <v>28306</v>
      </c>
      <c r="F305" s="90" t="str">
        <f t="shared" si="22"/>
        <v>Date check - OK</v>
      </c>
      <c r="H305" s="115"/>
      <c r="I305" s="26"/>
      <c r="J305" s="98">
        <f t="shared" si="23"/>
        <v>0.40416869135089106</v>
      </c>
      <c r="K305" s="36"/>
      <c r="L305" s="26">
        <v>470</v>
      </c>
      <c r="M305" s="26" t="s">
        <v>206</v>
      </c>
      <c r="N305" s="26">
        <v>1149.9355948777647</v>
      </c>
      <c r="O305" s="93">
        <f t="shared" si="24"/>
        <v>540469.72959254938</v>
      </c>
      <c r="P305" s="95">
        <f t="shared" si="25"/>
        <v>218440.94332419065</v>
      </c>
      <c r="Q305" s="196">
        <v>1</v>
      </c>
    </row>
    <row r="306" spans="1:17" x14ac:dyDescent="0.25">
      <c r="A306" s="243">
        <v>1977</v>
      </c>
      <c r="B306" s="243" t="s">
        <v>183</v>
      </c>
      <c r="C306" s="198" t="s">
        <v>417</v>
      </c>
      <c r="D306" s="111" t="s">
        <v>418</v>
      </c>
      <c r="E306" s="33">
        <f t="shared" si="21"/>
        <v>28306</v>
      </c>
      <c r="F306" s="90" t="str">
        <f t="shared" si="22"/>
        <v>Date check - OK</v>
      </c>
      <c r="H306" s="115"/>
      <c r="I306" s="26"/>
      <c r="J306" s="98">
        <f t="shared" si="23"/>
        <v>0.40416869135089106</v>
      </c>
      <c r="K306" s="36"/>
      <c r="L306" s="26">
        <v>971</v>
      </c>
      <c r="M306" s="26" t="s">
        <v>206</v>
      </c>
      <c r="N306" s="26">
        <v>887.32618952270082</v>
      </c>
      <c r="O306" s="93">
        <f t="shared" si="24"/>
        <v>861593.73002654244</v>
      </c>
      <c r="P306" s="95">
        <f t="shared" si="25"/>
        <v>348229.21034096059</v>
      </c>
      <c r="Q306" s="196">
        <v>1</v>
      </c>
    </row>
    <row r="307" spans="1:17" x14ac:dyDescent="0.25">
      <c r="A307" s="243">
        <v>1977</v>
      </c>
      <c r="B307" s="243" t="s">
        <v>183</v>
      </c>
      <c r="C307" s="198" t="s">
        <v>419</v>
      </c>
      <c r="D307" s="111" t="s">
        <v>420</v>
      </c>
      <c r="E307" s="33">
        <f t="shared" si="21"/>
        <v>28306</v>
      </c>
      <c r="F307" s="90" t="str">
        <f t="shared" si="22"/>
        <v>Date check - OK</v>
      </c>
      <c r="H307" s="115"/>
      <c r="I307" s="26"/>
      <c r="J307" s="98">
        <f t="shared" si="23"/>
        <v>0.40416869135089106</v>
      </c>
      <c r="K307" s="36"/>
      <c r="L307" s="26">
        <v>11.85</v>
      </c>
      <c r="M307" s="26" t="s">
        <v>206</v>
      </c>
      <c r="N307" s="26">
        <v>567.62778300349237</v>
      </c>
      <c r="O307" s="93">
        <f t="shared" si="24"/>
        <v>6726.3892285913844</v>
      </c>
      <c r="P307" s="95">
        <f t="shared" si="25"/>
        <v>2718.5959320365096</v>
      </c>
      <c r="Q307" s="196">
        <v>1</v>
      </c>
    </row>
    <row r="308" spans="1:17" x14ac:dyDescent="0.25">
      <c r="A308" s="243">
        <v>1977</v>
      </c>
      <c r="B308" s="243" t="s">
        <v>183</v>
      </c>
      <c r="C308" s="198" t="s">
        <v>421</v>
      </c>
      <c r="D308" s="111" t="s">
        <v>422</v>
      </c>
      <c r="E308" s="33">
        <f t="shared" si="21"/>
        <v>28306</v>
      </c>
      <c r="F308" s="90" t="str">
        <f t="shared" si="22"/>
        <v>Date check - OK</v>
      </c>
      <c r="H308" s="115"/>
      <c r="I308" s="26"/>
      <c r="J308" s="98">
        <f t="shared" si="23"/>
        <v>0.40416869135089106</v>
      </c>
      <c r="K308" s="36"/>
      <c r="L308" s="26">
        <v>232</v>
      </c>
      <c r="M308" s="26" t="s">
        <v>206</v>
      </c>
      <c r="N308" s="26">
        <v>709.53472875436546</v>
      </c>
      <c r="O308" s="93">
        <f t="shared" si="24"/>
        <v>164612.05707101279</v>
      </c>
      <c r="P308" s="95">
        <f t="shared" si="25"/>
        <v>66531.039686969438</v>
      </c>
      <c r="Q308" s="196">
        <v>1</v>
      </c>
    </row>
    <row r="309" spans="1:17" x14ac:dyDescent="0.25">
      <c r="A309" s="243">
        <v>1977</v>
      </c>
      <c r="B309" s="243" t="s">
        <v>183</v>
      </c>
      <c r="C309" s="198" t="s">
        <v>421</v>
      </c>
      <c r="D309" s="111" t="s">
        <v>422</v>
      </c>
      <c r="E309" s="33">
        <f t="shared" si="21"/>
        <v>28306</v>
      </c>
      <c r="F309" s="90" t="str">
        <f t="shared" si="22"/>
        <v>Date check - OK</v>
      </c>
      <c r="H309" s="115"/>
      <c r="I309" s="26"/>
      <c r="J309" s="98">
        <f t="shared" si="23"/>
        <v>0.40416869135089106</v>
      </c>
      <c r="K309" s="36"/>
      <c r="L309" s="26">
        <v>432</v>
      </c>
      <c r="M309" s="26" t="s">
        <v>206</v>
      </c>
      <c r="N309" s="26">
        <v>567.62778300349237</v>
      </c>
      <c r="O309" s="93">
        <f t="shared" si="24"/>
        <v>245215.2022575087</v>
      </c>
      <c r="P309" s="95">
        <f t="shared" si="25"/>
        <v>99108.307395761367</v>
      </c>
      <c r="Q309" s="196">
        <v>1</v>
      </c>
    </row>
    <row r="310" spans="1:17" x14ac:dyDescent="0.25">
      <c r="A310" s="243">
        <v>1977</v>
      </c>
      <c r="B310" s="243" t="s">
        <v>183</v>
      </c>
      <c r="C310" s="198" t="s">
        <v>423</v>
      </c>
      <c r="D310" s="111" t="s">
        <v>424</v>
      </c>
      <c r="E310" s="33">
        <f t="shared" si="21"/>
        <v>28306</v>
      </c>
      <c r="F310" s="90" t="str">
        <f t="shared" si="22"/>
        <v>Date check - OK</v>
      </c>
      <c r="H310" s="115"/>
      <c r="I310" s="26"/>
      <c r="J310" s="98">
        <f t="shared" si="23"/>
        <v>0.40416869135089106</v>
      </c>
      <c r="K310" s="36"/>
      <c r="L310" s="26">
        <v>17.7</v>
      </c>
      <c r="M310" s="26" t="s">
        <v>206</v>
      </c>
      <c r="N310" s="26">
        <v>494.22763864959256</v>
      </c>
      <c r="O310" s="93">
        <f t="shared" si="24"/>
        <v>8747.8292040977885</v>
      </c>
      <c r="P310" s="95">
        <f t="shared" si="25"/>
        <v>3535.5986815813103</v>
      </c>
      <c r="Q310" s="196">
        <v>1</v>
      </c>
    </row>
    <row r="311" spans="1:17" x14ac:dyDescent="0.25">
      <c r="A311" s="243">
        <v>1977</v>
      </c>
      <c r="B311" s="243" t="s">
        <v>183</v>
      </c>
      <c r="C311" s="198" t="s">
        <v>425</v>
      </c>
      <c r="D311" s="111" t="s">
        <v>426</v>
      </c>
      <c r="E311" s="33">
        <f t="shared" si="21"/>
        <v>28306</v>
      </c>
      <c r="F311" s="90" t="str">
        <f t="shared" si="22"/>
        <v>Date check - OK</v>
      </c>
      <c r="H311" s="115"/>
      <c r="I311" s="26"/>
      <c r="J311" s="98">
        <f t="shared" si="23"/>
        <v>0.40416869135089106</v>
      </c>
      <c r="K311" s="36"/>
      <c r="L311" s="26">
        <v>64</v>
      </c>
      <c r="M311" s="26" t="s">
        <v>206</v>
      </c>
      <c r="N311" s="26">
        <v>751.94370104772986</v>
      </c>
      <c r="O311" s="93">
        <f t="shared" si="24"/>
        <v>48124.396867054711</v>
      </c>
      <c r="P311" s="95">
        <f t="shared" si="25"/>
        <v>19450.374503808423</v>
      </c>
      <c r="Q311" s="196">
        <v>1</v>
      </c>
    </row>
    <row r="312" spans="1:17" x14ac:dyDescent="0.25">
      <c r="A312" s="243">
        <v>1977</v>
      </c>
      <c r="B312" s="243" t="s">
        <v>183</v>
      </c>
      <c r="C312" s="198" t="s">
        <v>427</v>
      </c>
      <c r="D312" s="111" t="s">
        <v>428</v>
      </c>
      <c r="E312" s="33">
        <f t="shared" si="21"/>
        <v>28306</v>
      </c>
      <c r="F312" s="90" t="str">
        <f t="shared" si="22"/>
        <v>Date check - OK</v>
      </c>
      <c r="H312" s="115"/>
      <c r="I312" s="26"/>
      <c r="J312" s="98">
        <f t="shared" si="23"/>
        <v>0.40416869135089106</v>
      </c>
      <c r="K312" s="36"/>
      <c r="L312" s="26">
        <v>215</v>
      </c>
      <c r="M312" s="26" t="s">
        <v>206</v>
      </c>
      <c r="N312" s="26">
        <v>567.62778300349237</v>
      </c>
      <c r="O312" s="93">
        <f t="shared" si="24"/>
        <v>122039.97334575086</v>
      </c>
      <c r="P312" s="95">
        <f t="shared" si="25"/>
        <v>49324.736319649746</v>
      </c>
      <c r="Q312" s="196">
        <v>1</v>
      </c>
    </row>
    <row r="313" spans="1:17" x14ac:dyDescent="0.25">
      <c r="A313" s="243">
        <v>1978</v>
      </c>
      <c r="B313" s="243" t="s">
        <v>183</v>
      </c>
      <c r="C313" s="198">
        <v>99521</v>
      </c>
      <c r="D313" s="111" t="s">
        <v>429</v>
      </c>
      <c r="E313" s="33">
        <f t="shared" si="21"/>
        <v>28671</v>
      </c>
      <c r="F313" s="90" t="str">
        <f t="shared" si="22"/>
        <v>Date check - OK</v>
      </c>
      <c r="H313" s="115"/>
      <c r="I313" s="26"/>
      <c r="J313" s="98">
        <f t="shared" si="23"/>
        <v>0.40416869135089106</v>
      </c>
      <c r="K313" s="36"/>
      <c r="L313" s="26">
        <v>769</v>
      </c>
      <c r="M313" s="26" t="s">
        <v>206</v>
      </c>
      <c r="N313" s="26">
        <v>1306.5225694994178</v>
      </c>
      <c r="O313" s="93">
        <f t="shared" si="24"/>
        <v>1004715.8559450523</v>
      </c>
      <c r="P313" s="95">
        <f t="shared" si="25"/>
        <v>406074.69267680217</v>
      </c>
      <c r="Q313" s="196">
        <v>1</v>
      </c>
    </row>
    <row r="314" spans="1:17" x14ac:dyDescent="0.25">
      <c r="A314" s="243">
        <v>1978</v>
      </c>
      <c r="B314" s="243" t="s">
        <v>183</v>
      </c>
      <c r="C314" s="198" t="s">
        <v>430</v>
      </c>
      <c r="D314" s="111" t="s">
        <v>431</v>
      </c>
      <c r="E314" s="33">
        <f t="shared" si="21"/>
        <v>28671</v>
      </c>
      <c r="F314" s="90" t="str">
        <f t="shared" si="22"/>
        <v>Date check - OK</v>
      </c>
      <c r="H314" s="115"/>
      <c r="I314" s="26"/>
      <c r="J314" s="98">
        <f t="shared" si="23"/>
        <v>0.40416869135089106</v>
      </c>
      <c r="K314" s="36"/>
      <c r="L314" s="26">
        <v>70</v>
      </c>
      <c r="M314" s="26" t="s">
        <v>206</v>
      </c>
      <c r="N314" s="26">
        <v>751.94370104772986</v>
      </c>
      <c r="O314" s="93">
        <f t="shared" si="24"/>
        <v>52636.059073341094</v>
      </c>
      <c r="P314" s="95">
        <f t="shared" si="25"/>
        <v>21273.847113540465</v>
      </c>
      <c r="Q314" s="196">
        <v>1</v>
      </c>
    </row>
    <row r="315" spans="1:17" x14ac:dyDescent="0.25">
      <c r="A315" s="243">
        <v>1978</v>
      </c>
      <c r="B315" s="243" t="s">
        <v>183</v>
      </c>
      <c r="C315" s="198"/>
      <c r="D315" s="111" t="s">
        <v>432</v>
      </c>
      <c r="E315" s="33">
        <f t="shared" si="21"/>
        <v>28671</v>
      </c>
      <c r="F315" s="90" t="str">
        <f t="shared" si="22"/>
        <v>Date check - OK</v>
      </c>
      <c r="H315" s="115"/>
      <c r="I315" s="26"/>
      <c r="J315" s="98">
        <f t="shared" si="23"/>
        <v>0.40416869135089106</v>
      </c>
      <c r="K315" s="36"/>
      <c r="L315" s="26">
        <v>4844</v>
      </c>
      <c r="M315" s="26" t="s">
        <v>206</v>
      </c>
      <c r="N315" s="26">
        <v>6922.4491697322464</v>
      </c>
      <c r="O315" s="93">
        <f t="shared" si="24"/>
        <v>33532343.778183002</v>
      </c>
      <c r="P315" s="95">
        <f t="shared" si="25"/>
        <v>13552723.502756419</v>
      </c>
      <c r="Q315" s="196">
        <v>1</v>
      </c>
    </row>
    <row r="316" spans="1:17" x14ac:dyDescent="0.25">
      <c r="A316" s="243">
        <v>1978</v>
      </c>
      <c r="B316" s="243" t="s">
        <v>183</v>
      </c>
      <c r="C316" s="198"/>
      <c r="D316" s="111" t="s">
        <v>433</v>
      </c>
      <c r="E316" s="33">
        <f t="shared" si="21"/>
        <v>28671</v>
      </c>
      <c r="F316" s="90" t="str">
        <f t="shared" si="22"/>
        <v>Date check - OK</v>
      </c>
      <c r="H316" s="115"/>
      <c r="I316" s="26"/>
      <c r="J316" s="98">
        <f t="shared" si="23"/>
        <v>0.40416869135089106</v>
      </c>
      <c r="K316" s="36"/>
      <c r="L316" s="26">
        <v>1766</v>
      </c>
      <c r="M316" s="26" t="s">
        <v>206</v>
      </c>
      <c r="N316" s="26">
        <v>6922.4491697322464</v>
      </c>
      <c r="O316" s="93">
        <f t="shared" si="24"/>
        <v>12225045.233747147</v>
      </c>
      <c r="P316" s="95">
        <f t="shared" si="25"/>
        <v>4940980.5338290324</v>
      </c>
      <c r="Q316" s="196">
        <v>1</v>
      </c>
    </row>
    <row r="317" spans="1:17" x14ac:dyDescent="0.25">
      <c r="A317" s="243">
        <v>1978</v>
      </c>
      <c r="B317" s="243" t="s">
        <v>183</v>
      </c>
      <c r="C317" s="198" t="s">
        <v>434</v>
      </c>
      <c r="D317" s="111" t="s">
        <v>435</v>
      </c>
      <c r="E317" s="33">
        <f t="shared" si="21"/>
        <v>28671</v>
      </c>
      <c r="F317" s="90" t="str">
        <f t="shared" si="22"/>
        <v>Date check - OK</v>
      </c>
      <c r="H317" s="115"/>
      <c r="I317" s="26"/>
      <c r="J317" s="98">
        <f t="shared" si="23"/>
        <v>0.40416869135089106</v>
      </c>
      <c r="K317" s="36"/>
      <c r="L317" s="26">
        <v>350</v>
      </c>
      <c r="M317" s="26" t="s">
        <v>206</v>
      </c>
      <c r="N317" s="26">
        <v>450.18755203725266</v>
      </c>
      <c r="O317" s="93">
        <f t="shared" si="24"/>
        <v>157565.64321303842</v>
      </c>
      <c r="P317" s="95">
        <f t="shared" si="25"/>
        <v>63683.09981927515</v>
      </c>
      <c r="Q317" s="196">
        <v>1</v>
      </c>
    </row>
    <row r="318" spans="1:17" x14ac:dyDescent="0.25">
      <c r="A318" s="243">
        <v>1978</v>
      </c>
      <c r="B318" s="243" t="s">
        <v>183</v>
      </c>
      <c r="C318" s="198" t="s">
        <v>436</v>
      </c>
      <c r="D318" s="111" t="s">
        <v>437</v>
      </c>
      <c r="E318" s="33">
        <f t="shared" si="21"/>
        <v>28671</v>
      </c>
      <c r="F318" s="90" t="str">
        <f t="shared" si="22"/>
        <v>Date check - OK</v>
      </c>
      <c r="H318" s="115"/>
      <c r="I318" s="26"/>
      <c r="J318" s="98">
        <f t="shared" si="23"/>
        <v>0.40416869135089106</v>
      </c>
      <c r="K318" s="36"/>
      <c r="L318" s="26">
        <v>292</v>
      </c>
      <c r="M318" s="26" t="s">
        <v>206</v>
      </c>
      <c r="N318" s="26">
        <v>1177.6645383003492</v>
      </c>
      <c r="O318" s="93">
        <f t="shared" si="24"/>
        <v>343878.04518370196</v>
      </c>
      <c r="P318" s="95">
        <f t="shared" si="25"/>
        <v>138984.7395061994</v>
      </c>
      <c r="Q318" s="196">
        <v>1</v>
      </c>
    </row>
    <row r="319" spans="1:17" x14ac:dyDescent="0.25">
      <c r="A319" s="243">
        <v>1978</v>
      </c>
      <c r="B319" s="243" t="s">
        <v>183</v>
      </c>
      <c r="C319" s="198"/>
      <c r="D319" s="111" t="s">
        <v>437</v>
      </c>
      <c r="E319" s="33">
        <f t="shared" si="21"/>
        <v>28671</v>
      </c>
      <c r="F319" s="90" t="str">
        <f t="shared" si="22"/>
        <v>Date check - OK</v>
      </c>
      <c r="H319" s="115"/>
      <c r="I319" s="26"/>
      <c r="J319" s="98">
        <f t="shared" si="23"/>
        <v>0.40416869135089106</v>
      </c>
      <c r="K319" s="36"/>
      <c r="L319" s="26">
        <v>909</v>
      </c>
      <c r="M319" s="26" t="s">
        <v>206</v>
      </c>
      <c r="N319" s="26">
        <v>520.32546775320145</v>
      </c>
      <c r="O319" s="93">
        <f t="shared" si="24"/>
        <v>472975.85018766014</v>
      </c>
      <c r="P319" s="95">
        <f t="shared" si="25"/>
        <v>191162.0304109217</v>
      </c>
      <c r="Q319" s="196">
        <v>1</v>
      </c>
    </row>
    <row r="320" spans="1:17" x14ac:dyDescent="0.25">
      <c r="A320" s="243">
        <v>1978</v>
      </c>
      <c r="B320" s="243" t="s">
        <v>183</v>
      </c>
      <c r="C320" s="198"/>
      <c r="D320" s="111" t="s">
        <v>437</v>
      </c>
      <c r="E320" s="33">
        <f t="shared" si="21"/>
        <v>28671</v>
      </c>
      <c r="F320" s="90" t="str">
        <f t="shared" si="22"/>
        <v>Date check - OK</v>
      </c>
      <c r="H320" s="115"/>
      <c r="I320" s="26"/>
      <c r="J320" s="98">
        <f t="shared" si="23"/>
        <v>0.40416869135089106</v>
      </c>
      <c r="K320" s="36"/>
      <c r="L320" s="26">
        <v>118</v>
      </c>
      <c r="M320" s="26" t="s">
        <v>206</v>
      </c>
      <c r="N320" s="26">
        <v>833.49941699650753</v>
      </c>
      <c r="O320" s="93">
        <f t="shared" si="24"/>
        <v>98352.931205587884</v>
      </c>
      <c r="P320" s="95">
        <f t="shared" si="25"/>
        <v>39751.175495886673</v>
      </c>
      <c r="Q320" s="196">
        <v>1</v>
      </c>
    </row>
    <row r="321" spans="1:17" x14ac:dyDescent="0.25">
      <c r="A321" s="243">
        <v>1978</v>
      </c>
      <c r="B321" s="243" t="s">
        <v>183</v>
      </c>
      <c r="C321" s="198"/>
      <c r="D321" s="111" t="s">
        <v>437</v>
      </c>
      <c r="E321" s="33">
        <f t="shared" si="21"/>
        <v>28671</v>
      </c>
      <c r="F321" s="90" t="str">
        <f t="shared" si="22"/>
        <v>Date check - OK</v>
      </c>
      <c r="H321" s="115"/>
      <c r="I321" s="26"/>
      <c r="J321" s="98">
        <f t="shared" si="23"/>
        <v>0.40416869135089106</v>
      </c>
      <c r="K321" s="36"/>
      <c r="L321" s="26">
        <v>88</v>
      </c>
      <c r="M321" s="26" t="s">
        <v>206</v>
      </c>
      <c r="N321" s="26">
        <v>567.62778300349237</v>
      </c>
      <c r="O321" s="93">
        <f t="shared" si="24"/>
        <v>49951.244904307328</v>
      </c>
      <c r="P321" s="95">
        <f t="shared" si="25"/>
        <v>20188.729284321758</v>
      </c>
      <c r="Q321" s="196">
        <v>1</v>
      </c>
    </row>
    <row r="322" spans="1:17" x14ac:dyDescent="0.25">
      <c r="A322" s="243">
        <v>1978</v>
      </c>
      <c r="B322" s="243" t="s">
        <v>183</v>
      </c>
      <c r="C322" s="198" t="s">
        <v>360</v>
      </c>
      <c r="D322" s="111" t="s">
        <v>438</v>
      </c>
      <c r="E322" s="33">
        <f t="shared" si="21"/>
        <v>28671</v>
      </c>
      <c r="F322" s="90" t="str">
        <f t="shared" si="22"/>
        <v>Date check - OK</v>
      </c>
      <c r="H322" s="115"/>
      <c r="I322" s="26"/>
      <c r="J322" s="98">
        <f t="shared" si="23"/>
        <v>0.40416869135089106</v>
      </c>
      <c r="K322" s="36"/>
      <c r="L322" s="26">
        <v>10</v>
      </c>
      <c r="M322" s="26" t="s">
        <v>206</v>
      </c>
      <c r="N322" s="26">
        <v>2356.960190919674</v>
      </c>
      <c r="O322" s="93">
        <f t="shared" si="24"/>
        <v>23569.601909196739</v>
      </c>
      <c r="P322" s="95">
        <f t="shared" si="25"/>
        <v>9526.0951593015088</v>
      </c>
      <c r="Q322" s="196">
        <v>1</v>
      </c>
    </row>
    <row r="323" spans="1:17" x14ac:dyDescent="0.25">
      <c r="A323" s="243">
        <v>1978</v>
      </c>
      <c r="B323" s="243" t="s">
        <v>183</v>
      </c>
      <c r="C323" s="198" t="s">
        <v>439</v>
      </c>
      <c r="D323" s="111" t="s">
        <v>440</v>
      </c>
      <c r="E323" s="33">
        <f t="shared" si="21"/>
        <v>28671</v>
      </c>
      <c r="F323" s="90" t="str">
        <f t="shared" si="22"/>
        <v>Date check - OK</v>
      </c>
      <c r="H323" s="115"/>
      <c r="I323" s="26"/>
      <c r="J323" s="98">
        <f t="shared" si="23"/>
        <v>0.40416869135089106</v>
      </c>
      <c r="K323" s="36"/>
      <c r="L323" s="26">
        <v>426</v>
      </c>
      <c r="M323" s="26" t="s">
        <v>206</v>
      </c>
      <c r="N323" s="26">
        <v>494.22763864959256</v>
      </c>
      <c r="O323" s="93">
        <f t="shared" si="24"/>
        <v>210540.97406472644</v>
      </c>
      <c r="P323" s="95">
        <f t="shared" si="25"/>
        <v>85094.069963482383</v>
      </c>
      <c r="Q323" s="196">
        <v>1</v>
      </c>
    </row>
    <row r="324" spans="1:17" x14ac:dyDescent="0.25">
      <c r="A324" s="243">
        <v>1979</v>
      </c>
      <c r="B324" s="243" t="s">
        <v>183</v>
      </c>
      <c r="C324" s="198" t="s">
        <v>441</v>
      </c>
      <c r="D324" s="111" t="s">
        <v>442</v>
      </c>
      <c r="E324" s="33">
        <f t="shared" si="21"/>
        <v>29036</v>
      </c>
      <c r="F324" s="90" t="str">
        <f t="shared" si="22"/>
        <v>Date check - OK</v>
      </c>
      <c r="H324" s="115"/>
      <c r="I324" s="26"/>
      <c r="J324" s="98">
        <f t="shared" si="23"/>
        <v>0.40416869135089106</v>
      </c>
      <c r="K324" s="36"/>
      <c r="L324" s="26">
        <v>608</v>
      </c>
      <c r="M324" s="26" t="s">
        <v>206</v>
      </c>
      <c r="N324" s="26">
        <v>580.67669755529687</v>
      </c>
      <c r="O324" s="93">
        <f t="shared" si="24"/>
        <v>353051.43211362051</v>
      </c>
      <c r="P324" s="95">
        <f t="shared" si="25"/>
        <v>71346.167648459974</v>
      </c>
      <c r="Q324" s="196">
        <v>0.5</v>
      </c>
    </row>
    <row r="325" spans="1:17" x14ac:dyDescent="0.25">
      <c r="A325" s="243">
        <v>1979</v>
      </c>
      <c r="B325" s="243" t="s">
        <v>183</v>
      </c>
      <c r="C325" s="198" t="s">
        <v>443</v>
      </c>
      <c r="D325" s="111" t="s">
        <v>444</v>
      </c>
      <c r="E325" s="33">
        <f t="shared" si="21"/>
        <v>29036</v>
      </c>
      <c r="F325" s="90" t="str">
        <f t="shared" si="22"/>
        <v>Date check - OK</v>
      </c>
      <c r="H325" s="115"/>
      <c r="I325" s="26"/>
      <c r="J325" s="98">
        <f t="shared" si="23"/>
        <v>0.40416869135089106</v>
      </c>
      <c r="K325" s="36"/>
      <c r="L325" s="26">
        <v>114</v>
      </c>
      <c r="M325" s="26" t="s">
        <v>206</v>
      </c>
      <c r="N325" s="26">
        <v>709.53472875436546</v>
      </c>
      <c r="O325" s="93">
        <f t="shared" si="24"/>
        <v>80886.959077997657</v>
      </c>
      <c r="P325" s="95">
        <f t="shared" si="25"/>
        <v>32691.97639790739</v>
      </c>
      <c r="Q325" s="196">
        <v>1</v>
      </c>
    </row>
    <row r="326" spans="1:17" x14ac:dyDescent="0.25">
      <c r="A326" s="243">
        <v>1979</v>
      </c>
      <c r="B326" s="243" t="s">
        <v>183</v>
      </c>
      <c r="C326" s="198" t="s">
        <v>445</v>
      </c>
      <c r="D326" s="111" t="s">
        <v>446</v>
      </c>
      <c r="E326" s="33">
        <f t="shared" si="21"/>
        <v>29036</v>
      </c>
      <c r="F326" s="90" t="str">
        <f t="shared" si="22"/>
        <v>Date check - OK</v>
      </c>
      <c r="H326" s="115"/>
      <c r="I326" s="26"/>
      <c r="J326" s="98">
        <f t="shared" si="23"/>
        <v>0.40416869135089106</v>
      </c>
      <c r="K326" s="36"/>
      <c r="L326" s="26">
        <v>55</v>
      </c>
      <c r="M326" s="26" t="s">
        <v>206</v>
      </c>
      <c r="N326" s="26">
        <v>520.32546775320145</v>
      </c>
      <c r="O326" s="93">
        <f t="shared" si="24"/>
        <v>28617.90072642608</v>
      </c>
      <c r="P326" s="95">
        <f t="shared" si="25"/>
        <v>11566.459485809344</v>
      </c>
      <c r="Q326" s="196">
        <v>1</v>
      </c>
    </row>
    <row r="327" spans="1:17" x14ac:dyDescent="0.25">
      <c r="A327" s="243">
        <v>1979</v>
      </c>
      <c r="B327" s="243" t="s">
        <v>183</v>
      </c>
      <c r="C327" s="198" t="s">
        <v>447</v>
      </c>
      <c r="D327" s="111" t="s">
        <v>280</v>
      </c>
      <c r="E327" s="33">
        <f t="shared" si="21"/>
        <v>29036</v>
      </c>
      <c r="F327" s="90" t="str">
        <f t="shared" si="22"/>
        <v>Date check - OK</v>
      </c>
      <c r="H327" s="115"/>
      <c r="I327" s="26"/>
      <c r="J327" s="98">
        <f t="shared" si="23"/>
        <v>0.40416869135089106</v>
      </c>
      <c r="K327" s="36"/>
      <c r="L327" s="26">
        <v>112</v>
      </c>
      <c r="M327" s="26" t="s">
        <v>206</v>
      </c>
      <c r="N327" s="26">
        <v>567.62778300349237</v>
      </c>
      <c r="O327" s="93">
        <f t="shared" si="24"/>
        <v>63574.311696391145</v>
      </c>
      <c r="P327" s="95">
        <f t="shared" si="25"/>
        <v>25694.746361864058</v>
      </c>
      <c r="Q327" s="196">
        <v>1</v>
      </c>
    </row>
    <row r="328" spans="1:17" x14ac:dyDescent="0.25">
      <c r="A328" s="243">
        <v>1980</v>
      </c>
      <c r="B328" s="243" t="s">
        <v>183</v>
      </c>
      <c r="C328" s="198" t="s">
        <v>448</v>
      </c>
      <c r="D328" s="111" t="s">
        <v>449</v>
      </c>
      <c r="E328" s="33">
        <f t="shared" si="21"/>
        <v>29402</v>
      </c>
      <c r="F328" s="90" t="str">
        <f t="shared" si="22"/>
        <v>Date check - OK</v>
      </c>
      <c r="H328" s="115"/>
      <c r="I328" s="26"/>
      <c r="J328" s="98">
        <f t="shared" si="23"/>
        <v>0.40416869135089106</v>
      </c>
      <c r="K328" s="36"/>
      <c r="L328" s="26">
        <v>22</v>
      </c>
      <c r="M328" s="26" t="s">
        <v>206</v>
      </c>
      <c r="N328" s="26">
        <v>1149.9355948777647</v>
      </c>
      <c r="O328" s="93">
        <f t="shared" si="24"/>
        <v>25298.583087310824</v>
      </c>
      <c r="P328" s="95">
        <f t="shared" si="25"/>
        <v>10224.895219430202</v>
      </c>
      <c r="Q328" s="196">
        <v>1</v>
      </c>
    </row>
    <row r="329" spans="1:17" x14ac:dyDescent="0.25">
      <c r="A329" s="243">
        <v>1980</v>
      </c>
      <c r="B329" s="243" t="s">
        <v>183</v>
      </c>
      <c r="C329" s="198" t="s">
        <v>450</v>
      </c>
      <c r="D329" s="111" t="s">
        <v>451</v>
      </c>
      <c r="E329" s="33">
        <f t="shared" si="21"/>
        <v>29402</v>
      </c>
      <c r="F329" s="90" t="str">
        <f t="shared" si="22"/>
        <v>Date check - OK</v>
      </c>
      <c r="H329" s="115"/>
      <c r="I329" s="26"/>
      <c r="J329" s="98">
        <f t="shared" si="23"/>
        <v>0.40416869135089106</v>
      </c>
      <c r="K329" s="36"/>
      <c r="L329" s="26">
        <v>400</v>
      </c>
      <c r="M329" s="26" t="s">
        <v>206</v>
      </c>
      <c r="N329" s="26">
        <v>520.32546775320145</v>
      </c>
      <c r="O329" s="93">
        <f t="shared" si="24"/>
        <v>208130.18710128058</v>
      </c>
      <c r="P329" s="95">
        <f t="shared" si="25"/>
        <v>84119.705351340672</v>
      </c>
      <c r="Q329" s="196">
        <v>1</v>
      </c>
    </row>
    <row r="330" spans="1:17" x14ac:dyDescent="0.25">
      <c r="A330" s="243">
        <v>1980</v>
      </c>
      <c r="B330" s="243" t="s">
        <v>183</v>
      </c>
      <c r="C330" s="198"/>
      <c r="D330" s="111" t="s">
        <v>451</v>
      </c>
      <c r="E330" s="33">
        <f t="shared" si="21"/>
        <v>29402</v>
      </c>
      <c r="F330" s="90" t="str">
        <f t="shared" si="22"/>
        <v>Date check - OK</v>
      </c>
      <c r="H330" s="115"/>
      <c r="I330" s="26"/>
      <c r="J330" s="98">
        <f t="shared" si="23"/>
        <v>0.40416869135089106</v>
      </c>
      <c r="K330" s="36"/>
      <c r="L330" s="26">
        <v>170</v>
      </c>
      <c r="M330" s="26" t="s">
        <v>206</v>
      </c>
      <c r="N330" s="26">
        <v>450.18755203725266</v>
      </c>
      <c r="O330" s="93">
        <f t="shared" si="24"/>
        <v>76531.883846332945</v>
      </c>
      <c r="P330" s="95">
        <f t="shared" si="25"/>
        <v>30931.791340790787</v>
      </c>
      <c r="Q330" s="196">
        <v>1</v>
      </c>
    </row>
    <row r="331" spans="1:17" x14ac:dyDescent="0.25">
      <c r="A331" s="243">
        <v>1980</v>
      </c>
      <c r="B331" s="243" t="s">
        <v>183</v>
      </c>
      <c r="C331" s="198" t="s">
        <v>452</v>
      </c>
      <c r="D331" s="111" t="s">
        <v>453</v>
      </c>
      <c r="E331" s="33">
        <f t="shared" si="21"/>
        <v>29402</v>
      </c>
      <c r="F331" s="90" t="str">
        <f t="shared" si="22"/>
        <v>Date check - OK</v>
      </c>
      <c r="H331" s="115"/>
      <c r="I331" s="26"/>
      <c r="J331" s="98">
        <f t="shared" si="23"/>
        <v>0.40416869135089106</v>
      </c>
      <c r="K331" s="36"/>
      <c r="L331" s="26">
        <v>479</v>
      </c>
      <c r="M331" s="26" t="s">
        <v>206</v>
      </c>
      <c r="N331" s="26">
        <v>567.62778300349237</v>
      </c>
      <c r="O331" s="93">
        <f t="shared" si="24"/>
        <v>271893.70805867284</v>
      </c>
      <c r="P331" s="95">
        <f t="shared" si="25"/>
        <v>109890.92417261502</v>
      </c>
      <c r="Q331" s="196">
        <v>1</v>
      </c>
    </row>
    <row r="332" spans="1:17" x14ac:dyDescent="0.25">
      <c r="A332" s="243">
        <v>1981</v>
      </c>
      <c r="B332" s="243" t="s">
        <v>183</v>
      </c>
      <c r="C332" s="198" t="s">
        <v>454</v>
      </c>
      <c r="D332" s="111" t="s">
        <v>327</v>
      </c>
      <c r="E332" s="33">
        <f t="shared" si="21"/>
        <v>29767</v>
      </c>
      <c r="F332" s="90" t="str">
        <f t="shared" si="22"/>
        <v>Date check - OK</v>
      </c>
      <c r="H332" s="115"/>
      <c r="I332" s="26"/>
      <c r="J332" s="98">
        <f t="shared" si="23"/>
        <v>0.40416869135089106</v>
      </c>
      <c r="K332" s="36"/>
      <c r="L332" s="26">
        <v>56</v>
      </c>
      <c r="M332" s="26" t="s">
        <v>206</v>
      </c>
      <c r="N332" s="26">
        <v>567.62778300349237</v>
      </c>
      <c r="O332" s="93">
        <f t="shared" si="24"/>
        <v>31787.155848195573</v>
      </c>
      <c r="P332" s="95">
        <f t="shared" si="25"/>
        <v>12847.373180932029</v>
      </c>
      <c r="Q332" s="196">
        <v>1</v>
      </c>
    </row>
    <row r="333" spans="1:17" x14ac:dyDescent="0.25">
      <c r="A333" s="243">
        <v>1982</v>
      </c>
      <c r="B333" s="243" t="s">
        <v>183</v>
      </c>
      <c r="C333" s="198" t="s">
        <v>455</v>
      </c>
      <c r="D333" s="111" t="s">
        <v>297</v>
      </c>
      <c r="E333" s="33">
        <f t="shared" si="21"/>
        <v>30132</v>
      </c>
      <c r="F333" s="90" t="str">
        <f t="shared" si="22"/>
        <v>Date check - OK</v>
      </c>
      <c r="H333" s="115"/>
      <c r="I333" s="26"/>
      <c r="J333" s="98">
        <f t="shared" si="23"/>
        <v>0.40416869135089106</v>
      </c>
      <c r="K333" s="36"/>
      <c r="L333" s="26">
        <v>48</v>
      </c>
      <c r="M333" s="26" t="s">
        <v>206</v>
      </c>
      <c r="N333" s="26">
        <v>624.71678416763677</v>
      </c>
      <c r="O333" s="93">
        <f t="shared" si="24"/>
        <v>29986.405640046563</v>
      </c>
      <c r="P333" s="95">
        <f t="shared" si="25"/>
        <v>12119.566325854599</v>
      </c>
      <c r="Q333" s="196">
        <v>1</v>
      </c>
    </row>
    <row r="334" spans="1:17" x14ac:dyDescent="0.25">
      <c r="A334" s="243">
        <v>1983</v>
      </c>
      <c r="B334" s="243" t="s">
        <v>183</v>
      </c>
      <c r="C334" s="198" t="s">
        <v>456</v>
      </c>
      <c r="D334" s="111" t="s">
        <v>457</v>
      </c>
      <c r="E334" s="33">
        <f t="shared" si="21"/>
        <v>30497</v>
      </c>
      <c r="F334" s="90" t="str">
        <f t="shared" si="22"/>
        <v>Date check - OK</v>
      </c>
      <c r="H334" s="115"/>
      <c r="I334" s="26"/>
      <c r="J334" s="98">
        <f t="shared" si="23"/>
        <v>0.40416869135089106</v>
      </c>
      <c r="K334" s="36"/>
      <c r="L334" s="26">
        <v>70.599999999999994</v>
      </c>
      <c r="M334" s="26" t="s">
        <v>206</v>
      </c>
      <c r="N334" s="26">
        <v>580.67669755529687</v>
      </c>
      <c r="O334" s="93">
        <f t="shared" si="24"/>
        <v>40995.774847403954</v>
      </c>
      <c r="P334" s="95">
        <f t="shared" si="25"/>
        <v>16569.208670991033</v>
      </c>
      <c r="Q334" s="196">
        <v>1</v>
      </c>
    </row>
    <row r="335" spans="1:17" x14ac:dyDescent="0.25">
      <c r="A335" s="243">
        <v>1983</v>
      </c>
      <c r="B335" s="243" t="s">
        <v>183</v>
      </c>
      <c r="C335" s="198" t="s">
        <v>456</v>
      </c>
      <c r="D335" s="111" t="s">
        <v>457</v>
      </c>
      <c r="E335" s="33">
        <f t="shared" si="21"/>
        <v>30497</v>
      </c>
      <c r="F335" s="90" t="str">
        <f t="shared" si="22"/>
        <v>Date check - OK</v>
      </c>
      <c r="H335" s="115"/>
      <c r="I335" s="26"/>
      <c r="J335" s="98">
        <f t="shared" si="23"/>
        <v>0.40416869135089106</v>
      </c>
      <c r="K335" s="36"/>
      <c r="L335" s="26">
        <v>337.6</v>
      </c>
      <c r="M335" s="26" t="s">
        <v>206</v>
      </c>
      <c r="N335" s="26">
        <v>567.62778300349237</v>
      </c>
      <c r="O335" s="93">
        <f t="shared" si="24"/>
        <v>191631.13954197904</v>
      </c>
      <c r="P335" s="95">
        <f t="shared" si="25"/>
        <v>77451.306890761654</v>
      </c>
      <c r="Q335" s="196">
        <v>1</v>
      </c>
    </row>
    <row r="336" spans="1:17" x14ac:dyDescent="0.25">
      <c r="A336" s="243">
        <v>1983</v>
      </c>
      <c r="B336" s="243" t="s">
        <v>183</v>
      </c>
      <c r="C336" s="198" t="s">
        <v>456</v>
      </c>
      <c r="D336" s="111" t="s">
        <v>457</v>
      </c>
      <c r="E336" s="33">
        <f t="shared" si="21"/>
        <v>30497</v>
      </c>
      <c r="F336" s="90" t="str">
        <f t="shared" si="22"/>
        <v>Date check - OK</v>
      </c>
      <c r="H336" s="115"/>
      <c r="I336" s="26"/>
      <c r="J336" s="98">
        <f t="shared" si="23"/>
        <v>0.40416869135089106</v>
      </c>
      <c r="K336" s="36"/>
      <c r="L336" s="26">
        <v>186.9</v>
      </c>
      <c r="M336" s="26" t="s">
        <v>206</v>
      </c>
      <c r="N336" s="26">
        <v>580.67669755529687</v>
      </c>
      <c r="O336" s="93">
        <f t="shared" si="24"/>
        <v>108528.47477308499</v>
      </c>
      <c r="P336" s="95">
        <f t="shared" si="25"/>
        <v>43863.811623345959</v>
      </c>
      <c r="Q336" s="196">
        <v>1</v>
      </c>
    </row>
    <row r="337" spans="1:17" x14ac:dyDescent="0.25">
      <c r="A337" s="243">
        <v>1983</v>
      </c>
      <c r="B337" s="243" t="s">
        <v>183</v>
      </c>
      <c r="C337" s="198" t="s">
        <v>456</v>
      </c>
      <c r="D337" s="111" t="s">
        <v>457</v>
      </c>
      <c r="E337" s="33">
        <f t="shared" si="21"/>
        <v>30497</v>
      </c>
      <c r="F337" s="90" t="str">
        <f t="shared" si="22"/>
        <v>Date check - OK</v>
      </c>
      <c r="H337" s="115"/>
      <c r="I337" s="26"/>
      <c r="J337" s="98">
        <f t="shared" si="23"/>
        <v>0.40416869135089106</v>
      </c>
      <c r="K337" s="36"/>
      <c r="L337" s="26">
        <v>164.2</v>
      </c>
      <c r="M337" s="26" t="s">
        <v>206</v>
      </c>
      <c r="N337" s="26">
        <v>624.71678416763677</v>
      </c>
      <c r="O337" s="93">
        <f t="shared" si="24"/>
        <v>102578.49596032595</v>
      </c>
      <c r="P337" s="95">
        <f t="shared" si="25"/>
        <v>41459.016473027601</v>
      </c>
      <c r="Q337" s="196">
        <v>1</v>
      </c>
    </row>
    <row r="338" spans="1:17" x14ac:dyDescent="0.25">
      <c r="A338" s="243">
        <v>1983</v>
      </c>
      <c r="B338" s="243" t="s">
        <v>183</v>
      </c>
      <c r="C338" s="198" t="s">
        <v>458</v>
      </c>
      <c r="D338" s="111" t="s">
        <v>459</v>
      </c>
      <c r="E338" s="33">
        <f t="shared" si="21"/>
        <v>30497</v>
      </c>
      <c r="F338" s="90" t="str">
        <f t="shared" si="22"/>
        <v>Date check - OK</v>
      </c>
      <c r="H338" s="115"/>
      <c r="I338" s="26"/>
      <c r="J338" s="98">
        <f t="shared" si="23"/>
        <v>0.40416869135089106</v>
      </c>
      <c r="K338" s="36"/>
      <c r="L338" s="26">
        <v>89</v>
      </c>
      <c r="M338" s="26" t="s">
        <v>206</v>
      </c>
      <c r="N338" s="26">
        <v>567.62778300349237</v>
      </c>
      <c r="O338" s="93">
        <f t="shared" si="24"/>
        <v>50518.872687310824</v>
      </c>
      <c r="P338" s="95">
        <f t="shared" si="25"/>
        <v>20418.146662552688</v>
      </c>
      <c r="Q338" s="196">
        <v>1</v>
      </c>
    </row>
    <row r="339" spans="1:17" x14ac:dyDescent="0.25">
      <c r="A339" s="243">
        <v>1984</v>
      </c>
      <c r="B339" s="243" t="s">
        <v>183</v>
      </c>
      <c r="C339" s="198" t="s">
        <v>460</v>
      </c>
      <c r="D339" s="111" t="s">
        <v>461</v>
      </c>
      <c r="E339" s="33">
        <f t="shared" si="21"/>
        <v>30863</v>
      </c>
      <c r="F339" s="90" t="str">
        <f t="shared" si="22"/>
        <v>Date check - OK</v>
      </c>
      <c r="H339" s="115"/>
      <c r="I339" s="26"/>
      <c r="J339" s="98">
        <f t="shared" si="23"/>
        <v>0.40416869135089106</v>
      </c>
      <c r="K339" s="36"/>
      <c r="L339" s="26">
        <v>276</v>
      </c>
      <c r="M339" s="26" t="s">
        <v>206</v>
      </c>
      <c r="N339" s="26">
        <v>494.22763864959256</v>
      </c>
      <c r="O339" s="93">
        <f t="shared" si="24"/>
        <v>136406.82826728755</v>
      </c>
      <c r="P339" s="95">
        <f t="shared" si="25"/>
        <v>55131.369272115342</v>
      </c>
      <c r="Q339" s="196">
        <v>1</v>
      </c>
    </row>
    <row r="340" spans="1:17" x14ac:dyDescent="0.25">
      <c r="A340" s="243">
        <v>1985</v>
      </c>
      <c r="B340" s="243" t="s">
        <v>183</v>
      </c>
      <c r="C340" s="198" t="s">
        <v>462</v>
      </c>
      <c r="D340" s="111" t="s">
        <v>314</v>
      </c>
      <c r="E340" s="33">
        <f t="shared" si="21"/>
        <v>31228</v>
      </c>
      <c r="F340" s="90" t="str">
        <f t="shared" si="22"/>
        <v>Date check - OK</v>
      </c>
      <c r="H340" s="115"/>
      <c r="I340" s="26"/>
      <c r="J340" s="98">
        <f t="shared" si="23"/>
        <v>0.40416869135089106</v>
      </c>
      <c r="K340" s="36"/>
      <c r="L340" s="26">
        <v>48</v>
      </c>
      <c r="M340" s="26" t="s">
        <v>206</v>
      </c>
      <c r="N340" s="26">
        <v>567.62778300349237</v>
      </c>
      <c r="O340" s="93">
        <f t="shared" si="24"/>
        <v>27246.133584167634</v>
      </c>
      <c r="P340" s="95">
        <f t="shared" si="25"/>
        <v>11012.034155084595</v>
      </c>
      <c r="Q340" s="196">
        <v>1</v>
      </c>
    </row>
    <row r="341" spans="1:17" x14ac:dyDescent="0.25">
      <c r="A341" s="243">
        <v>1985</v>
      </c>
      <c r="B341" s="243" t="s">
        <v>183</v>
      </c>
      <c r="C341" s="198" t="s">
        <v>463</v>
      </c>
      <c r="D341" s="111" t="s">
        <v>314</v>
      </c>
      <c r="E341" s="33">
        <f t="shared" si="21"/>
        <v>31228</v>
      </c>
      <c r="F341" s="90" t="str">
        <f t="shared" si="22"/>
        <v>Date check - OK</v>
      </c>
      <c r="H341" s="115"/>
      <c r="I341" s="26"/>
      <c r="J341" s="98">
        <f t="shared" si="23"/>
        <v>0.40416869135089106</v>
      </c>
      <c r="K341" s="36"/>
      <c r="L341" s="26">
        <v>11.5</v>
      </c>
      <c r="M341" s="26" t="s">
        <v>206</v>
      </c>
      <c r="N341" s="26">
        <v>424.08972293364377</v>
      </c>
      <c r="O341" s="93">
        <f t="shared" si="24"/>
        <v>4877.0318137369031</v>
      </c>
      <c r="P341" s="95">
        <f t="shared" si="25"/>
        <v>1971.1435658347068</v>
      </c>
      <c r="Q341" s="196">
        <v>1</v>
      </c>
    </row>
    <row r="342" spans="1:17" x14ac:dyDescent="0.25">
      <c r="A342" s="243">
        <v>1985</v>
      </c>
      <c r="B342" s="243" t="s">
        <v>183</v>
      </c>
      <c r="C342" s="198" t="s">
        <v>464</v>
      </c>
      <c r="D342" s="111" t="s">
        <v>314</v>
      </c>
      <c r="E342" s="33">
        <f t="shared" si="21"/>
        <v>31228</v>
      </c>
      <c r="F342" s="90" t="str">
        <f t="shared" si="22"/>
        <v>Date check - OK</v>
      </c>
      <c r="H342" s="115"/>
      <c r="I342" s="26"/>
      <c r="J342" s="98">
        <f t="shared" si="23"/>
        <v>0.40416869135089106</v>
      </c>
      <c r="K342" s="36"/>
      <c r="L342" s="26">
        <v>78</v>
      </c>
      <c r="M342" s="26" t="s">
        <v>206</v>
      </c>
      <c r="N342" s="26">
        <v>685.06801396973219</v>
      </c>
      <c r="O342" s="93">
        <f t="shared" si="24"/>
        <v>53435.305089639114</v>
      </c>
      <c r="P342" s="95">
        <f t="shared" si="25"/>
        <v>21596.87733001505</v>
      </c>
      <c r="Q342" s="196">
        <v>1</v>
      </c>
    </row>
    <row r="343" spans="1:17" x14ac:dyDescent="0.25">
      <c r="A343" s="243">
        <v>1985</v>
      </c>
      <c r="B343" s="243" t="s">
        <v>183</v>
      </c>
      <c r="C343" s="198" t="s">
        <v>465</v>
      </c>
      <c r="D343" s="111" t="s">
        <v>466</v>
      </c>
      <c r="E343" s="33">
        <f t="shared" ref="E343:E383" si="26">DATEVALUE("30 Jun "&amp;A343)</f>
        <v>31228</v>
      </c>
      <c r="F343" s="90" t="str">
        <f t="shared" ref="F343:F408" si="27">IF(E343="","-",IF(OR(E343&lt;$E$15,E343&gt;$E$16),"ERROR - date outside of range","Date check - OK"))</f>
        <v>Date check - OK</v>
      </c>
      <c r="H343" s="115"/>
      <c r="I343" s="26"/>
      <c r="J343" s="98">
        <f t="shared" si="23"/>
        <v>0.40416869135089106</v>
      </c>
      <c r="K343" s="36"/>
      <c r="L343" s="26">
        <v>767</v>
      </c>
      <c r="M343" s="26" t="s">
        <v>206</v>
      </c>
      <c r="N343" s="26">
        <v>833.49941699650753</v>
      </c>
      <c r="O343" s="93">
        <f t="shared" si="24"/>
        <v>639294.05283632129</v>
      </c>
      <c r="P343" s="95">
        <f t="shared" si="25"/>
        <v>258382.64072326338</v>
      </c>
      <c r="Q343" s="196">
        <v>1</v>
      </c>
    </row>
    <row r="344" spans="1:17" x14ac:dyDescent="0.25">
      <c r="A344" s="243">
        <v>1985</v>
      </c>
      <c r="B344" s="243" t="s">
        <v>183</v>
      </c>
      <c r="C344" s="198" t="s">
        <v>465</v>
      </c>
      <c r="D344" s="111" t="s">
        <v>466</v>
      </c>
      <c r="E344" s="33">
        <f t="shared" si="26"/>
        <v>31228</v>
      </c>
      <c r="F344" s="90" t="str">
        <f t="shared" si="27"/>
        <v>Date check - OK</v>
      </c>
      <c r="H344" s="115"/>
      <c r="I344" s="26"/>
      <c r="J344" s="98">
        <f t="shared" ref="J344:J409" si="28">J343</f>
        <v>0.40416869135089106</v>
      </c>
      <c r="K344" s="36"/>
      <c r="L344" s="26">
        <v>439</v>
      </c>
      <c r="M344" s="26" t="s">
        <v>206</v>
      </c>
      <c r="N344" s="26">
        <v>709.53472875436546</v>
      </c>
      <c r="O344" s="93">
        <f t="shared" ref="O344:O383" si="29">IF(N344="","-",L344*N344)</f>
        <v>311485.74592316645</v>
      </c>
      <c r="P344" s="95">
        <f t="shared" ref="P344:P383" si="30">IF(O344="-","-",IF(OR(E344&lt;$E$15,E344&gt;$E$16),0,O344*J344))*Q344</f>
        <v>125892.78630422233</v>
      </c>
      <c r="Q344" s="196">
        <v>1</v>
      </c>
    </row>
    <row r="345" spans="1:17" x14ac:dyDescent="0.25">
      <c r="A345" s="243">
        <v>1985</v>
      </c>
      <c r="B345" s="243" t="s">
        <v>183</v>
      </c>
      <c r="C345" s="198" t="s">
        <v>465</v>
      </c>
      <c r="D345" s="111" t="s">
        <v>466</v>
      </c>
      <c r="E345" s="33">
        <f t="shared" si="26"/>
        <v>31228</v>
      </c>
      <c r="F345" s="90" t="str">
        <f t="shared" si="27"/>
        <v>Date check - OK</v>
      </c>
      <c r="H345" s="115"/>
      <c r="I345" s="26"/>
      <c r="J345" s="98">
        <f t="shared" si="28"/>
        <v>0.40416869135089106</v>
      </c>
      <c r="K345" s="36"/>
      <c r="L345" s="26">
        <v>191</v>
      </c>
      <c r="M345" s="26" t="s">
        <v>206</v>
      </c>
      <c r="N345" s="26">
        <v>580.67669755529687</v>
      </c>
      <c r="O345" s="93">
        <f t="shared" si="29"/>
        <v>110909.2492330617</v>
      </c>
      <c r="P345" s="95">
        <f t="shared" si="30"/>
        <v>44826.046121236366</v>
      </c>
      <c r="Q345" s="196">
        <v>1</v>
      </c>
    </row>
    <row r="346" spans="1:17" x14ac:dyDescent="0.25">
      <c r="A346" s="243">
        <v>1985</v>
      </c>
      <c r="B346" s="243" t="s">
        <v>183</v>
      </c>
      <c r="C346" s="198" t="s">
        <v>465</v>
      </c>
      <c r="D346" s="111" t="s">
        <v>466</v>
      </c>
      <c r="E346" s="33">
        <f t="shared" si="26"/>
        <v>31228</v>
      </c>
      <c r="F346" s="90" t="str">
        <f t="shared" si="27"/>
        <v>Date check - OK</v>
      </c>
      <c r="H346" s="115"/>
      <c r="I346" s="26"/>
      <c r="J346" s="98">
        <f t="shared" si="28"/>
        <v>0.40416869135089106</v>
      </c>
      <c r="K346" s="36"/>
      <c r="L346" s="26">
        <v>207</v>
      </c>
      <c r="M346" s="26" t="s">
        <v>206</v>
      </c>
      <c r="N346" s="26">
        <v>685.06801396973219</v>
      </c>
      <c r="O346" s="93">
        <f t="shared" si="29"/>
        <v>141809.07889173456</v>
      </c>
      <c r="P346" s="95">
        <f t="shared" si="30"/>
        <v>57314.789837347627</v>
      </c>
      <c r="Q346" s="196">
        <v>1</v>
      </c>
    </row>
    <row r="347" spans="1:17" x14ac:dyDescent="0.25">
      <c r="A347" s="243">
        <v>1985</v>
      </c>
      <c r="B347" s="243" t="s">
        <v>183</v>
      </c>
      <c r="C347" s="198" t="s">
        <v>467</v>
      </c>
      <c r="D347" s="111" t="s">
        <v>468</v>
      </c>
      <c r="E347" s="33">
        <f t="shared" si="26"/>
        <v>31228</v>
      </c>
      <c r="F347" s="90" t="str">
        <f t="shared" si="27"/>
        <v>Date check - OK</v>
      </c>
      <c r="H347" s="115"/>
      <c r="I347" s="26"/>
      <c r="J347" s="98">
        <f t="shared" si="28"/>
        <v>0.40416869135089106</v>
      </c>
      <c r="K347" s="36"/>
      <c r="L347" s="26">
        <v>1014</v>
      </c>
      <c r="M347" s="26" t="s">
        <v>206</v>
      </c>
      <c r="N347" s="26">
        <v>567.62778300349237</v>
      </c>
      <c r="O347" s="93">
        <f t="shared" si="29"/>
        <v>575574.57196554122</v>
      </c>
      <c r="P347" s="95">
        <f t="shared" si="30"/>
        <v>232629.22152616206</v>
      </c>
      <c r="Q347" s="196">
        <v>1</v>
      </c>
    </row>
    <row r="348" spans="1:17" x14ac:dyDescent="0.25">
      <c r="A348" s="243">
        <v>1985</v>
      </c>
      <c r="B348" s="243" t="s">
        <v>183</v>
      </c>
      <c r="C348" s="198" t="s">
        <v>469</v>
      </c>
      <c r="D348" s="111" t="s">
        <v>274</v>
      </c>
      <c r="E348" s="33">
        <f t="shared" si="26"/>
        <v>31228</v>
      </c>
      <c r="F348" s="90" t="str">
        <f t="shared" si="27"/>
        <v>Date check - OK</v>
      </c>
      <c r="H348" s="115"/>
      <c r="I348" s="26"/>
      <c r="J348" s="98">
        <f t="shared" si="28"/>
        <v>0.40416869135089106</v>
      </c>
      <c r="K348" s="36"/>
      <c r="L348" s="26">
        <v>510</v>
      </c>
      <c r="M348" s="26" t="s">
        <v>206</v>
      </c>
      <c r="N348" s="26">
        <v>567.62778300349237</v>
      </c>
      <c r="O348" s="93">
        <f t="shared" si="29"/>
        <v>289490.1693317811</v>
      </c>
      <c r="P348" s="95">
        <f t="shared" si="30"/>
        <v>117002.86289777383</v>
      </c>
      <c r="Q348" s="196">
        <v>1</v>
      </c>
    </row>
    <row r="349" spans="1:17" x14ac:dyDescent="0.25">
      <c r="A349" s="243">
        <v>1985</v>
      </c>
      <c r="B349" s="243" t="s">
        <v>183</v>
      </c>
      <c r="C349" s="198" t="s">
        <v>470</v>
      </c>
      <c r="D349" s="111" t="s">
        <v>461</v>
      </c>
      <c r="E349" s="33">
        <f t="shared" si="26"/>
        <v>31228</v>
      </c>
      <c r="F349" s="90" t="str">
        <f t="shared" si="27"/>
        <v>Date check - OK</v>
      </c>
      <c r="H349" s="115"/>
      <c r="I349" s="26"/>
      <c r="J349" s="98">
        <f t="shared" si="28"/>
        <v>0.40416869135089106</v>
      </c>
      <c r="K349" s="36"/>
      <c r="L349" s="26">
        <v>363</v>
      </c>
      <c r="M349" s="26" t="s">
        <v>206</v>
      </c>
      <c r="N349" s="26">
        <v>520.32546775320145</v>
      </c>
      <c r="O349" s="93">
        <f t="shared" si="29"/>
        <v>188878.14479441213</v>
      </c>
      <c r="P349" s="95">
        <f t="shared" si="30"/>
        <v>76338.632606341664</v>
      </c>
      <c r="Q349" s="196">
        <v>1</v>
      </c>
    </row>
    <row r="350" spans="1:17" x14ac:dyDescent="0.25">
      <c r="A350" s="243">
        <v>1985</v>
      </c>
      <c r="B350" s="243" t="s">
        <v>183</v>
      </c>
      <c r="C350" s="198" t="s">
        <v>470</v>
      </c>
      <c r="D350" s="111" t="s">
        <v>461</v>
      </c>
      <c r="E350" s="33">
        <f t="shared" si="26"/>
        <v>31228</v>
      </c>
      <c r="F350" s="90" t="str">
        <f t="shared" si="27"/>
        <v>Date check - OK</v>
      </c>
      <c r="H350" s="115"/>
      <c r="I350" s="26"/>
      <c r="J350" s="98">
        <f t="shared" si="28"/>
        <v>0.40416869135089106</v>
      </c>
      <c r="K350" s="36"/>
      <c r="L350" s="26">
        <v>5</v>
      </c>
      <c r="M350" s="26" t="s">
        <v>206</v>
      </c>
      <c r="N350" s="26">
        <v>946.04630500582073</v>
      </c>
      <c r="O350" s="93">
        <f t="shared" si="29"/>
        <v>4730.231525029104</v>
      </c>
      <c r="P350" s="95">
        <f t="shared" si="30"/>
        <v>1911.8114852577426</v>
      </c>
      <c r="Q350" s="196">
        <v>1</v>
      </c>
    </row>
    <row r="351" spans="1:17" x14ac:dyDescent="0.25">
      <c r="A351" s="243">
        <v>1985</v>
      </c>
      <c r="B351" s="243" t="s">
        <v>183</v>
      </c>
      <c r="C351" s="198" t="s">
        <v>470</v>
      </c>
      <c r="D351" s="111" t="s">
        <v>471</v>
      </c>
      <c r="E351" s="33">
        <f t="shared" si="26"/>
        <v>31228</v>
      </c>
      <c r="F351" s="90" t="str">
        <f t="shared" si="27"/>
        <v>Date check - OK</v>
      </c>
      <c r="H351" s="115"/>
      <c r="I351" s="26"/>
      <c r="J351" s="98">
        <f t="shared" si="28"/>
        <v>0.40416869135089106</v>
      </c>
      <c r="K351" s="36"/>
      <c r="L351" s="26">
        <v>1502</v>
      </c>
      <c r="M351" s="26" t="s">
        <v>206</v>
      </c>
      <c r="N351" s="26">
        <v>833.49941699650753</v>
      </c>
      <c r="O351" s="93">
        <f t="shared" si="29"/>
        <v>1251916.1243287544</v>
      </c>
      <c r="P351" s="95">
        <f t="shared" si="30"/>
        <v>505985.30165103212</v>
      </c>
      <c r="Q351" s="196">
        <v>1</v>
      </c>
    </row>
    <row r="352" spans="1:17" x14ac:dyDescent="0.25">
      <c r="A352" s="243">
        <v>1985</v>
      </c>
      <c r="B352" s="243" t="s">
        <v>183</v>
      </c>
      <c r="C352" s="198" t="s">
        <v>472</v>
      </c>
      <c r="D352" s="111" t="s">
        <v>473</v>
      </c>
      <c r="E352" s="33">
        <f t="shared" si="26"/>
        <v>31228</v>
      </c>
      <c r="F352" s="90" t="str">
        <f t="shared" si="27"/>
        <v>Date check - OK</v>
      </c>
      <c r="H352" s="115"/>
      <c r="I352" s="26"/>
      <c r="J352" s="98">
        <f t="shared" si="28"/>
        <v>0.40416869135089106</v>
      </c>
      <c r="K352" s="36"/>
      <c r="L352" s="26">
        <v>563</v>
      </c>
      <c r="M352" s="26" t="s">
        <v>206</v>
      </c>
      <c r="N352" s="26">
        <v>751.94370104772986</v>
      </c>
      <c r="O352" s="93">
        <f t="shared" si="29"/>
        <v>423344.30368987191</v>
      </c>
      <c r="P352" s="95">
        <f t="shared" si="30"/>
        <v>171102.51321318973</v>
      </c>
      <c r="Q352" s="196">
        <v>1</v>
      </c>
    </row>
    <row r="353" spans="1:17" x14ac:dyDescent="0.25">
      <c r="A353" s="243">
        <v>1986</v>
      </c>
      <c r="B353" s="243" t="s">
        <v>183</v>
      </c>
      <c r="C353" s="198" t="s">
        <v>474</v>
      </c>
      <c r="D353" s="111" t="s">
        <v>475</v>
      </c>
      <c r="E353" s="33">
        <f t="shared" si="26"/>
        <v>31593</v>
      </c>
      <c r="F353" s="90" t="str">
        <f t="shared" si="27"/>
        <v>Date check - OK</v>
      </c>
      <c r="H353" s="115"/>
      <c r="I353" s="26"/>
      <c r="J353" s="98">
        <f t="shared" si="28"/>
        <v>0.40416869135089106</v>
      </c>
      <c r="K353" s="36"/>
      <c r="L353" s="26">
        <v>300</v>
      </c>
      <c r="M353" s="26" t="s">
        <v>206</v>
      </c>
      <c r="N353" s="26">
        <v>887.32618952270082</v>
      </c>
      <c r="O353" s="93">
        <f t="shared" si="29"/>
        <v>266197.85685681022</v>
      </c>
      <c r="P353" s="95">
        <f t="shared" si="30"/>
        <v>21517.767889245762</v>
      </c>
      <c r="Q353" s="196">
        <v>0.2</v>
      </c>
    </row>
    <row r="354" spans="1:17" x14ac:dyDescent="0.25">
      <c r="A354" s="243">
        <v>1986</v>
      </c>
      <c r="B354" s="243" t="s">
        <v>183</v>
      </c>
      <c r="C354" s="198" t="s">
        <v>476</v>
      </c>
      <c r="D354" s="111" t="s">
        <v>410</v>
      </c>
      <c r="E354" s="33">
        <f t="shared" si="26"/>
        <v>31593</v>
      </c>
      <c r="F354" s="90" t="str">
        <f t="shared" si="27"/>
        <v>Date check - OK</v>
      </c>
      <c r="H354" s="115"/>
      <c r="I354" s="26"/>
      <c r="J354" s="98">
        <f t="shared" si="28"/>
        <v>0.40416869135089106</v>
      </c>
      <c r="K354" s="36"/>
      <c r="L354" s="26">
        <v>131</v>
      </c>
      <c r="M354" s="26" t="s">
        <v>206</v>
      </c>
      <c r="N354" s="26">
        <v>639.39681303841667</v>
      </c>
      <c r="O354" s="93">
        <f t="shared" si="29"/>
        <v>83760.982508032583</v>
      </c>
      <c r="P354" s="95">
        <f t="shared" si="30"/>
        <v>33853.566686536404</v>
      </c>
      <c r="Q354" s="196">
        <v>1</v>
      </c>
    </row>
    <row r="355" spans="1:17" x14ac:dyDescent="0.25">
      <c r="A355" s="243">
        <v>1986</v>
      </c>
      <c r="B355" s="243" t="s">
        <v>183</v>
      </c>
      <c r="C355" s="198" t="s">
        <v>477</v>
      </c>
      <c r="D355" s="111" t="s">
        <v>238</v>
      </c>
      <c r="E355" s="33">
        <f t="shared" si="26"/>
        <v>31593</v>
      </c>
      <c r="F355" s="90" t="str">
        <f t="shared" si="27"/>
        <v>Date check - OK</v>
      </c>
      <c r="H355" s="115"/>
      <c r="I355" s="26"/>
      <c r="J355" s="98">
        <f t="shared" si="28"/>
        <v>0.40416869135089106</v>
      </c>
      <c r="K355" s="36"/>
      <c r="L355" s="26">
        <v>127</v>
      </c>
      <c r="M355" s="26" t="s">
        <v>206</v>
      </c>
      <c r="N355" s="26">
        <v>1024.3397923166472</v>
      </c>
      <c r="O355" s="93">
        <f t="shared" si="29"/>
        <v>130091.15362421419</v>
      </c>
      <c r="P355" s="95">
        <f t="shared" si="30"/>
        <v>52578.771316626378</v>
      </c>
      <c r="Q355" s="196">
        <v>1</v>
      </c>
    </row>
    <row r="356" spans="1:17" x14ac:dyDescent="0.25">
      <c r="A356" s="243">
        <v>1986</v>
      </c>
      <c r="B356" s="243" t="s">
        <v>183</v>
      </c>
      <c r="C356" s="198" t="s">
        <v>478</v>
      </c>
      <c r="D356" s="111" t="s">
        <v>479</v>
      </c>
      <c r="E356" s="33">
        <f t="shared" si="26"/>
        <v>31593</v>
      </c>
      <c r="F356" s="90" t="str">
        <f t="shared" si="27"/>
        <v>Date check - OK</v>
      </c>
      <c r="H356" s="115"/>
      <c r="I356" s="26"/>
      <c r="J356" s="98">
        <f t="shared" si="28"/>
        <v>0.40416869135089106</v>
      </c>
      <c r="K356" s="36"/>
      <c r="L356" s="26">
        <v>112</v>
      </c>
      <c r="M356" s="26" t="s">
        <v>206</v>
      </c>
      <c r="N356" s="26">
        <v>567.62778300349237</v>
      </c>
      <c r="O356" s="93">
        <f t="shared" si="29"/>
        <v>63574.311696391145</v>
      </c>
      <c r="P356" s="95">
        <f t="shared" si="30"/>
        <v>25694.746361864058</v>
      </c>
      <c r="Q356" s="196">
        <v>1</v>
      </c>
    </row>
    <row r="357" spans="1:17" x14ac:dyDescent="0.25">
      <c r="A357" s="243">
        <v>1986</v>
      </c>
      <c r="B357" s="243" t="s">
        <v>183</v>
      </c>
      <c r="C357" s="198" t="s">
        <v>480</v>
      </c>
      <c r="D357" s="111" t="s">
        <v>481</v>
      </c>
      <c r="E357" s="33">
        <f t="shared" si="26"/>
        <v>31593</v>
      </c>
      <c r="F357" s="90" t="str">
        <f t="shared" si="27"/>
        <v>Date check - OK</v>
      </c>
      <c r="H357" s="115"/>
      <c r="I357" s="26"/>
      <c r="J357" s="98">
        <f t="shared" si="28"/>
        <v>0.40416869135089106</v>
      </c>
      <c r="K357" s="36"/>
      <c r="L357" s="26">
        <v>113</v>
      </c>
      <c r="M357" s="26" t="s">
        <v>206</v>
      </c>
      <c r="N357" s="26">
        <v>624.71678416763677</v>
      </c>
      <c r="O357" s="93">
        <f t="shared" si="29"/>
        <v>70592.996610942952</v>
      </c>
      <c r="P357" s="95">
        <f t="shared" si="30"/>
        <v>28531.479058782701</v>
      </c>
      <c r="Q357" s="196">
        <v>1</v>
      </c>
    </row>
    <row r="358" spans="1:17" x14ac:dyDescent="0.25">
      <c r="A358" s="243">
        <v>1987</v>
      </c>
      <c r="B358" s="243" t="s">
        <v>183</v>
      </c>
      <c r="C358" s="198" t="s">
        <v>482</v>
      </c>
      <c r="D358" s="111" t="s">
        <v>483</v>
      </c>
      <c r="E358" s="33">
        <f t="shared" si="26"/>
        <v>31958</v>
      </c>
      <c r="F358" s="90" t="str">
        <f t="shared" si="27"/>
        <v>Date check - OK</v>
      </c>
      <c r="H358" s="115"/>
      <c r="I358" s="26"/>
      <c r="J358" s="98">
        <f t="shared" si="28"/>
        <v>0.40416869135089106</v>
      </c>
      <c r="K358" s="36"/>
      <c r="L358" s="26">
        <v>68</v>
      </c>
      <c r="M358" s="26" t="s">
        <v>206</v>
      </c>
      <c r="N358" s="26">
        <v>494.22763864959256</v>
      </c>
      <c r="O358" s="93">
        <f t="shared" si="29"/>
        <v>33607.479428172293</v>
      </c>
      <c r="P358" s="95">
        <f t="shared" si="30"/>
        <v>13583.090980086388</v>
      </c>
      <c r="Q358" s="196">
        <v>1</v>
      </c>
    </row>
    <row r="359" spans="1:17" x14ac:dyDescent="0.25">
      <c r="A359" s="243">
        <v>1987</v>
      </c>
      <c r="B359" s="243" t="s">
        <v>183</v>
      </c>
      <c r="C359" s="198" t="s">
        <v>484</v>
      </c>
      <c r="D359" s="111" t="s">
        <v>485</v>
      </c>
      <c r="E359" s="33">
        <f t="shared" si="26"/>
        <v>31958</v>
      </c>
      <c r="F359" s="90" t="str">
        <f t="shared" si="27"/>
        <v>Date check - OK</v>
      </c>
      <c r="H359" s="115"/>
      <c r="I359" s="26"/>
      <c r="J359" s="98">
        <f t="shared" si="28"/>
        <v>0.40416869135089106</v>
      </c>
      <c r="K359" s="36"/>
      <c r="L359" s="26">
        <v>277</v>
      </c>
      <c r="M359" s="26" t="s">
        <v>206</v>
      </c>
      <c r="N359" s="26">
        <v>624.71678416763677</v>
      </c>
      <c r="O359" s="93">
        <f t="shared" si="29"/>
        <v>173046.54921443539</v>
      </c>
      <c r="P359" s="95">
        <f t="shared" si="30"/>
        <v>69939.997338785921</v>
      </c>
      <c r="Q359" s="196">
        <v>1</v>
      </c>
    </row>
    <row r="360" spans="1:17" x14ac:dyDescent="0.25">
      <c r="A360" s="243">
        <v>1988</v>
      </c>
      <c r="B360" s="243" t="s">
        <v>183</v>
      </c>
      <c r="C360" s="198" t="s">
        <v>486</v>
      </c>
      <c r="D360" s="111" t="s">
        <v>487</v>
      </c>
      <c r="E360" s="33">
        <f t="shared" si="26"/>
        <v>32324</v>
      </c>
      <c r="F360" s="90" t="str">
        <f t="shared" si="27"/>
        <v>Date check - OK</v>
      </c>
      <c r="H360" s="115"/>
      <c r="I360" s="26"/>
      <c r="J360" s="98">
        <f t="shared" si="28"/>
        <v>0.40416869135089106</v>
      </c>
      <c r="K360" s="36"/>
      <c r="L360" s="26">
        <v>89</v>
      </c>
      <c r="M360" s="26" t="s">
        <v>206</v>
      </c>
      <c r="N360" s="26">
        <v>567.62778300349237</v>
      </c>
      <c r="O360" s="93">
        <f t="shared" si="29"/>
        <v>50518.872687310824</v>
      </c>
      <c r="P360" s="95">
        <f t="shared" si="30"/>
        <v>20418.146662552688</v>
      </c>
      <c r="Q360" s="196">
        <v>1</v>
      </c>
    </row>
    <row r="361" spans="1:17" x14ac:dyDescent="0.25">
      <c r="A361" s="243">
        <v>1988</v>
      </c>
      <c r="B361" s="243" t="s">
        <v>183</v>
      </c>
      <c r="C361" s="198" t="s">
        <v>488</v>
      </c>
      <c r="D361" s="111" t="s">
        <v>299</v>
      </c>
      <c r="E361" s="33">
        <f t="shared" si="26"/>
        <v>32324</v>
      </c>
      <c r="F361" s="90" t="str">
        <f t="shared" si="27"/>
        <v>Date check - OK</v>
      </c>
      <c r="H361" s="115"/>
      <c r="I361" s="26"/>
      <c r="J361" s="98">
        <f t="shared" si="28"/>
        <v>0.40416869135089106</v>
      </c>
      <c r="K361" s="36"/>
      <c r="L361" s="26">
        <v>270.60000000000002</v>
      </c>
      <c r="M361" s="26" t="s">
        <v>206</v>
      </c>
      <c r="N361" s="26">
        <v>1149.9355948777647</v>
      </c>
      <c r="O361" s="93">
        <f t="shared" si="29"/>
        <v>311172.57197392319</v>
      </c>
      <c r="P361" s="95">
        <f t="shared" si="30"/>
        <v>125766.2111989915</v>
      </c>
      <c r="Q361" s="196">
        <v>1</v>
      </c>
    </row>
    <row r="362" spans="1:17" x14ac:dyDescent="0.25">
      <c r="A362" s="243">
        <v>1988</v>
      </c>
      <c r="B362" s="243" t="s">
        <v>183</v>
      </c>
      <c r="C362" s="198" t="s">
        <v>488</v>
      </c>
      <c r="D362" s="111" t="s">
        <v>299</v>
      </c>
      <c r="E362" s="33">
        <f t="shared" si="26"/>
        <v>32324</v>
      </c>
      <c r="F362" s="90" t="str">
        <f t="shared" si="27"/>
        <v>Date check - OK</v>
      </c>
      <c r="H362" s="115"/>
      <c r="I362" s="26"/>
      <c r="J362" s="98">
        <f t="shared" si="28"/>
        <v>0.40416869135089106</v>
      </c>
      <c r="K362" s="36"/>
      <c r="L362" s="26">
        <v>307.2</v>
      </c>
      <c r="M362" s="26" t="s">
        <v>206</v>
      </c>
      <c r="N362" s="26">
        <v>1024.3397923166472</v>
      </c>
      <c r="O362" s="93">
        <f t="shared" si="29"/>
        <v>314677.184199674</v>
      </c>
      <c r="P362" s="95">
        <f t="shared" si="30"/>
        <v>127182.66573596554</v>
      </c>
      <c r="Q362" s="196">
        <v>1</v>
      </c>
    </row>
    <row r="363" spans="1:17" x14ac:dyDescent="0.25">
      <c r="A363" s="243">
        <v>1988</v>
      </c>
      <c r="B363" s="243" t="s">
        <v>183</v>
      </c>
      <c r="C363" s="198" t="s">
        <v>488</v>
      </c>
      <c r="D363" s="111" t="s">
        <v>299</v>
      </c>
      <c r="E363" s="33">
        <f t="shared" si="26"/>
        <v>32324</v>
      </c>
      <c r="F363" s="90" t="str">
        <f t="shared" si="27"/>
        <v>Date check - OK</v>
      </c>
      <c r="H363" s="115"/>
      <c r="I363" s="26"/>
      <c r="J363" s="98">
        <f t="shared" si="28"/>
        <v>0.40416869135089106</v>
      </c>
      <c r="K363" s="36"/>
      <c r="L363" s="26">
        <v>230.1</v>
      </c>
      <c r="M363" s="26" t="s">
        <v>206</v>
      </c>
      <c r="N363" s="26">
        <v>639.39681303841667</v>
      </c>
      <c r="O363" s="93">
        <f t="shared" si="29"/>
        <v>147125.20668013967</v>
      </c>
      <c r="P363" s="95">
        <f t="shared" si="30"/>
        <v>59463.402248641425</v>
      </c>
      <c r="Q363" s="196">
        <v>1</v>
      </c>
    </row>
    <row r="364" spans="1:17" x14ac:dyDescent="0.25">
      <c r="A364" s="243">
        <v>1988</v>
      </c>
      <c r="B364" s="243" t="s">
        <v>183</v>
      </c>
      <c r="C364" s="198" t="s">
        <v>488</v>
      </c>
      <c r="D364" s="111" t="s">
        <v>299</v>
      </c>
      <c r="E364" s="33">
        <f t="shared" si="26"/>
        <v>32324</v>
      </c>
      <c r="F364" s="90" t="str">
        <f t="shared" si="27"/>
        <v>Date check - OK</v>
      </c>
      <c r="H364" s="115"/>
      <c r="I364" s="26"/>
      <c r="J364" s="98">
        <f t="shared" si="28"/>
        <v>0.40416869135089106</v>
      </c>
      <c r="K364" s="36"/>
      <c r="L364" s="26">
        <v>718</v>
      </c>
      <c r="M364" s="26" t="s">
        <v>206</v>
      </c>
      <c r="N364" s="26">
        <v>639.39681303841667</v>
      </c>
      <c r="O364" s="93">
        <f t="shared" si="29"/>
        <v>459086.91176158318</v>
      </c>
      <c r="P364" s="95">
        <f t="shared" si="30"/>
        <v>185548.55634300108</v>
      </c>
      <c r="Q364" s="196">
        <v>1</v>
      </c>
    </row>
    <row r="365" spans="1:17" x14ac:dyDescent="0.25">
      <c r="A365" s="243">
        <v>1988</v>
      </c>
      <c r="B365" s="243" t="s">
        <v>183</v>
      </c>
      <c r="C365" s="198" t="s">
        <v>488</v>
      </c>
      <c r="D365" s="111" t="s">
        <v>299</v>
      </c>
      <c r="E365" s="33">
        <f t="shared" si="26"/>
        <v>32324</v>
      </c>
      <c r="F365" s="90" t="str">
        <f t="shared" si="27"/>
        <v>Date check - OK</v>
      </c>
      <c r="H365" s="115"/>
      <c r="I365" s="26"/>
      <c r="J365" s="98">
        <f t="shared" si="28"/>
        <v>0.40416869135089106</v>
      </c>
      <c r="K365" s="36"/>
      <c r="L365" s="26">
        <v>113.5</v>
      </c>
      <c r="M365" s="26" t="s">
        <v>206</v>
      </c>
      <c r="N365" s="26">
        <v>685.06801396973219</v>
      </c>
      <c r="O365" s="93">
        <f t="shared" si="29"/>
        <v>77755.219585564599</v>
      </c>
      <c r="P365" s="95">
        <f t="shared" si="30"/>
        <v>31426.225345598818</v>
      </c>
      <c r="Q365" s="196">
        <v>1</v>
      </c>
    </row>
    <row r="366" spans="1:17" x14ac:dyDescent="0.25">
      <c r="A366" s="243">
        <v>1988</v>
      </c>
      <c r="B366" s="243" t="s">
        <v>183</v>
      </c>
      <c r="C366" s="198" t="s">
        <v>489</v>
      </c>
      <c r="D366" s="111" t="s">
        <v>490</v>
      </c>
      <c r="E366" s="33">
        <f t="shared" si="26"/>
        <v>32324</v>
      </c>
      <c r="F366" s="90" t="str">
        <f t="shared" si="27"/>
        <v>Date check - OK</v>
      </c>
      <c r="H366" s="115"/>
      <c r="I366" s="26"/>
      <c r="J366" s="98">
        <f t="shared" si="28"/>
        <v>0.40416869135089106</v>
      </c>
      <c r="K366" s="36"/>
      <c r="L366" s="26">
        <v>658</v>
      </c>
      <c r="M366" s="26" t="s">
        <v>206</v>
      </c>
      <c r="N366" s="26">
        <v>1386.4471711292199</v>
      </c>
      <c r="O366" s="93">
        <f t="shared" si="29"/>
        <v>912282.23860302672</v>
      </c>
      <c r="P366" s="95">
        <f t="shared" si="30"/>
        <v>368715.91851884668</v>
      </c>
      <c r="Q366" s="196">
        <v>1</v>
      </c>
    </row>
    <row r="367" spans="1:17" x14ac:dyDescent="0.25">
      <c r="A367" s="243">
        <v>1988</v>
      </c>
      <c r="B367" s="243" t="s">
        <v>183</v>
      </c>
      <c r="C367" s="198" t="s">
        <v>489</v>
      </c>
      <c r="D367" s="111" t="s">
        <v>490</v>
      </c>
      <c r="E367" s="33">
        <f t="shared" si="26"/>
        <v>32324</v>
      </c>
      <c r="F367" s="90" t="str">
        <f t="shared" si="27"/>
        <v>Date check - OK</v>
      </c>
      <c r="H367" s="115"/>
      <c r="I367" s="26"/>
      <c r="J367" s="98">
        <f t="shared" si="28"/>
        <v>0.40416869135089106</v>
      </c>
      <c r="K367" s="36"/>
      <c r="L367" s="26">
        <v>207</v>
      </c>
      <c r="M367" s="26" t="s">
        <v>206</v>
      </c>
      <c r="N367" s="26">
        <v>1149.9355948777647</v>
      </c>
      <c r="O367" s="93">
        <f t="shared" si="29"/>
        <v>238036.66813969731</v>
      </c>
      <c r="P367" s="95">
        <f t="shared" si="30"/>
        <v>96206.968655547811</v>
      </c>
      <c r="Q367" s="196">
        <v>1</v>
      </c>
    </row>
    <row r="368" spans="1:17" x14ac:dyDescent="0.25">
      <c r="A368" s="243">
        <v>1988</v>
      </c>
      <c r="B368" s="243" t="s">
        <v>183</v>
      </c>
      <c r="C368" s="198" t="s">
        <v>489</v>
      </c>
      <c r="D368" s="111" t="s">
        <v>490</v>
      </c>
      <c r="E368" s="33">
        <f t="shared" si="26"/>
        <v>32324</v>
      </c>
      <c r="F368" s="90" t="str">
        <f t="shared" si="27"/>
        <v>Date check - OK</v>
      </c>
      <c r="H368" s="115"/>
      <c r="I368" s="26"/>
      <c r="J368" s="98">
        <f t="shared" si="28"/>
        <v>0.40416869135089106</v>
      </c>
      <c r="K368" s="36"/>
      <c r="L368" s="26">
        <v>370</v>
      </c>
      <c r="M368" s="26" t="s">
        <v>206</v>
      </c>
      <c r="N368" s="26">
        <v>1024.3397923166472</v>
      </c>
      <c r="O368" s="93">
        <f t="shared" si="29"/>
        <v>379005.72315715946</v>
      </c>
      <c r="P368" s="95">
        <f t="shared" si="30"/>
        <v>153182.24714292726</v>
      </c>
      <c r="Q368" s="196">
        <v>1</v>
      </c>
    </row>
    <row r="369" spans="1:17" x14ac:dyDescent="0.25">
      <c r="A369" s="243">
        <v>1988</v>
      </c>
      <c r="B369" s="243" t="s">
        <v>183</v>
      </c>
      <c r="C369" s="198" t="s">
        <v>489</v>
      </c>
      <c r="D369" s="111" t="s">
        <v>490</v>
      </c>
      <c r="E369" s="33">
        <f t="shared" si="26"/>
        <v>32324</v>
      </c>
      <c r="F369" s="90" t="str">
        <f t="shared" si="27"/>
        <v>Date check - OK</v>
      </c>
      <c r="H369" s="115"/>
      <c r="I369" s="26"/>
      <c r="J369" s="98">
        <f t="shared" si="28"/>
        <v>0.40416869135089106</v>
      </c>
      <c r="K369" s="36"/>
      <c r="L369" s="26">
        <v>248</v>
      </c>
      <c r="M369" s="26" t="s">
        <v>206</v>
      </c>
      <c r="N369" s="26">
        <v>1074.9043362048894</v>
      </c>
      <c r="O369" s="93">
        <f t="shared" si="29"/>
        <v>266576.27537881257</v>
      </c>
      <c r="P369" s="95">
        <f t="shared" si="30"/>
        <v>107741.78436504943</v>
      </c>
      <c r="Q369" s="196">
        <v>1</v>
      </c>
    </row>
    <row r="370" spans="1:17" x14ac:dyDescent="0.25">
      <c r="A370" s="243">
        <v>1989</v>
      </c>
      <c r="B370" s="243" t="s">
        <v>183</v>
      </c>
      <c r="C370" s="198" t="s">
        <v>491</v>
      </c>
      <c r="D370" s="111" t="s">
        <v>492</v>
      </c>
      <c r="E370" s="33">
        <f t="shared" si="26"/>
        <v>32689</v>
      </c>
      <c r="F370" s="90" t="str">
        <f t="shared" si="27"/>
        <v>Date check - OK</v>
      </c>
      <c r="H370" s="115"/>
      <c r="I370" s="26"/>
      <c r="J370" s="98">
        <f t="shared" si="28"/>
        <v>0.40416869135089106</v>
      </c>
      <c r="K370" s="36"/>
      <c r="L370" s="26">
        <v>52</v>
      </c>
      <c r="M370" s="26" t="s">
        <v>206</v>
      </c>
      <c r="N370" s="26">
        <v>1386.4471711292199</v>
      </c>
      <c r="O370" s="93">
        <f t="shared" si="29"/>
        <v>72095.252898719438</v>
      </c>
      <c r="P370" s="95">
        <f t="shared" si="30"/>
        <v>29138.644016686972</v>
      </c>
      <c r="Q370" s="196">
        <v>1</v>
      </c>
    </row>
    <row r="371" spans="1:17" x14ac:dyDescent="0.25">
      <c r="A371" s="243">
        <v>1989</v>
      </c>
      <c r="B371" s="243" t="s">
        <v>183</v>
      </c>
      <c r="C371" s="198" t="s">
        <v>493</v>
      </c>
      <c r="D371" s="111" t="s">
        <v>490</v>
      </c>
      <c r="E371" s="33">
        <f t="shared" si="26"/>
        <v>32689</v>
      </c>
      <c r="F371" s="90" t="str">
        <f t="shared" si="27"/>
        <v>Date check - OK</v>
      </c>
      <c r="H371" s="115"/>
      <c r="I371" s="26"/>
      <c r="J371" s="98">
        <f t="shared" si="28"/>
        <v>0.40416869135089106</v>
      </c>
      <c r="K371" s="36"/>
      <c r="L371" s="26">
        <v>362</v>
      </c>
      <c r="M371" s="26" t="s">
        <v>206</v>
      </c>
      <c r="N371" s="26">
        <v>1024.3397923166472</v>
      </c>
      <c r="O371" s="93">
        <f t="shared" si="29"/>
        <v>370811.00481862627</v>
      </c>
      <c r="P371" s="95">
        <f t="shared" si="30"/>
        <v>149870.19855605313</v>
      </c>
      <c r="Q371" s="196">
        <v>1</v>
      </c>
    </row>
    <row r="372" spans="1:17" x14ac:dyDescent="0.25">
      <c r="A372" s="243">
        <v>1989</v>
      </c>
      <c r="B372" s="243" t="s">
        <v>183</v>
      </c>
      <c r="C372" s="198" t="s">
        <v>493</v>
      </c>
      <c r="D372" s="111" t="s">
        <v>490</v>
      </c>
      <c r="E372" s="33">
        <f t="shared" si="26"/>
        <v>32689</v>
      </c>
      <c r="F372" s="90" t="str">
        <f t="shared" si="27"/>
        <v>Date check - OK</v>
      </c>
      <c r="H372" s="115"/>
      <c r="I372" s="26"/>
      <c r="J372" s="98">
        <f t="shared" si="28"/>
        <v>0.40416869135089106</v>
      </c>
      <c r="K372" s="36"/>
      <c r="L372" s="26">
        <v>375</v>
      </c>
      <c r="M372" s="26" t="s">
        <v>206</v>
      </c>
      <c r="N372" s="26">
        <v>950.93964796274736</v>
      </c>
      <c r="O372" s="93">
        <f t="shared" si="29"/>
        <v>356602.36798603024</v>
      </c>
      <c r="P372" s="95">
        <f t="shared" si="30"/>
        <v>144127.51240154274</v>
      </c>
      <c r="Q372" s="196">
        <v>1</v>
      </c>
    </row>
    <row r="373" spans="1:17" x14ac:dyDescent="0.25">
      <c r="A373" s="243">
        <v>1989</v>
      </c>
      <c r="B373" s="243" t="s">
        <v>183</v>
      </c>
      <c r="C373" s="198" t="s">
        <v>493</v>
      </c>
      <c r="D373" s="111" t="s">
        <v>490</v>
      </c>
      <c r="E373" s="33">
        <f t="shared" si="26"/>
        <v>32689</v>
      </c>
      <c r="F373" s="90" t="str">
        <f t="shared" si="27"/>
        <v>Date check - OK</v>
      </c>
      <c r="H373" s="115"/>
      <c r="I373" s="26"/>
      <c r="J373" s="98">
        <f t="shared" si="28"/>
        <v>0.40416869135089106</v>
      </c>
      <c r="K373" s="36"/>
      <c r="L373" s="26">
        <v>208</v>
      </c>
      <c r="M373" s="26" t="s">
        <v>206</v>
      </c>
      <c r="N373" s="26">
        <v>639.39681303841667</v>
      </c>
      <c r="O373" s="93">
        <f t="shared" si="29"/>
        <v>132994.53711199068</v>
      </c>
      <c r="P373" s="95">
        <f t="shared" si="30"/>
        <v>53752.228021370785</v>
      </c>
      <c r="Q373" s="196">
        <v>1</v>
      </c>
    </row>
    <row r="374" spans="1:17" x14ac:dyDescent="0.25">
      <c r="A374" s="243">
        <v>1989</v>
      </c>
      <c r="B374" s="243" t="s">
        <v>183</v>
      </c>
      <c r="C374" s="198" t="s">
        <v>493</v>
      </c>
      <c r="D374" s="111" t="s">
        <v>490</v>
      </c>
      <c r="E374" s="33">
        <f t="shared" si="26"/>
        <v>32689</v>
      </c>
      <c r="F374" s="90" t="str">
        <f t="shared" si="27"/>
        <v>Date check - OK</v>
      </c>
      <c r="H374" s="115"/>
      <c r="I374" s="26"/>
      <c r="J374" s="98">
        <f t="shared" si="28"/>
        <v>0.40416869135089106</v>
      </c>
      <c r="K374" s="36"/>
      <c r="L374" s="26">
        <v>67</v>
      </c>
      <c r="M374" s="26" t="s">
        <v>206</v>
      </c>
      <c r="N374" s="26">
        <v>709.53472875436546</v>
      </c>
      <c r="O374" s="93">
        <f t="shared" si="29"/>
        <v>47538.826826542485</v>
      </c>
      <c r="P374" s="95">
        <f t="shared" si="30"/>
        <v>19213.705426840308</v>
      </c>
      <c r="Q374" s="196">
        <v>1</v>
      </c>
    </row>
    <row r="375" spans="1:17" x14ac:dyDescent="0.25">
      <c r="A375" s="243">
        <v>1990</v>
      </c>
      <c r="B375" s="243" t="s">
        <v>183</v>
      </c>
      <c r="C375" s="198" t="s">
        <v>494</v>
      </c>
      <c r="D375" s="111" t="s">
        <v>495</v>
      </c>
      <c r="E375" s="33">
        <f t="shared" si="26"/>
        <v>33054</v>
      </c>
      <c r="F375" s="90" t="str">
        <f t="shared" si="27"/>
        <v>Date check - OK</v>
      </c>
      <c r="H375" s="115"/>
      <c r="I375" s="26"/>
      <c r="J375" s="98">
        <f t="shared" si="28"/>
        <v>0.40416869135089106</v>
      </c>
      <c r="K375" s="36"/>
      <c r="L375" s="26">
        <v>20</v>
      </c>
      <c r="M375" s="26" t="s">
        <v>206</v>
      </c>
      <c r="N375" s="26">
        <v>1386.4471711292199</v>
      </c>
      <c r="O375" s="93">
        <f t="shared" si="29"/>
        <v>27728.943422584398</v>
      </c>
      <c r="P375" s="95">
        <f t="shared" si="30"/>
        <v>11207.170775648834</v>
      </c>
      <c r="Q375" s="196">
        <v>1</v>
      </c>
    </row>
    <row r="376" spans="1:17" x14ac:dyDescent="0.25">
      <c r="A376" s="243">
        <v>1990</v>
      </c>
      <c r="B376" s="243" t="s">
        <v>183</v>
      </c>
      <c r="C376" s="198" t="s">
        <v>496</v>
      </c>
      <c r="D376" s="111" t="s">
        <v>495</v>
      </c>
      <c r="E376" s="33">
        <f t="shared" si="26"/>
        <v>33054</v>
      </c>
      <c r="F376" s="90" t="str">
        <f t="shared" si="27"/>
        <v>Date check - OK</v>
      </c>
      <c r="H376" s="115"/>
      <c r="I376" s="26"/>
      <c r="J376" s="98">
        <f t="shared" si="28"/>
        <v>0.40416869135089106</v>
      </c>
      <c r="K376" s="36"/>
      <c r="L376" s="26">
        <v>75</v>
      </c>
      <c r="M376" s="26" t="s">
        <v>206</v>
      </c>
      <c r="N376" s="26">
        <v>1456.5850868451687</v>
      </c>
      <c r="O376" s="93">
        <f t="shared" si="29"/>
        <v>109243.88151338765</v>
      </c>
      <c r="P376" s="95">
        <f t="shared" si="30"/>
        <v>44152.956629357686</v>
      </c>
      <c r="Q376" s="196">
        <v>1</v>
      </c>
    </row>
    <row r="377" spans="1:17" x14ac:dyDescent="0.25">
      <c r="A377" s="243">
        <v>1990</v>
      </c>
      <c r="B377" s="243" t="s">
        <v>183</v>
      </c>
      <c r="C377" s="198" t="s">
        <v>497</v>
      </c>
      <c r="D377" s="111" t="s">
        <v>498</v>
      </c>
      <c r="E377" s="33">
        <f t="shared" si="26"/>
        <v>33054</v>
      </c>
      <c r="F377" s="90" t="str">
        <f t="shared" si="27"/>
        <v>Date check - OK</v>
      </c>
      <c r="H377" s="115"/>
      <c r="I377" s="26"/>
      <c r="J377" s="98">
        <f t="shared" si="28"/>
        <v>0.40416869135089106</v>
      </c>
      <c r="K377" s="36"/>
      <c r="L377" s="26">
        <v>31</v>
      </c>
      <c r="M377" s="26" t="s">
        <v>206</v>
      </c>
      <c r="N377" s="26">
        <v>709.53472875436546</v>
      </c>
      <c r="O377" s="93">
        <f t="shared" si="29"/>
        <v>21995.576591385328</v>
      </c>
      <c r="P377" s="95">
        <f t="shared" si="30"/>
        <v>8889.9234064485008</v>
      </c>
      <c r="Q377" s="196">
        <v>1</v>
      </c>
    </row>
    <row r="378" spans="1:17" x14ac:dyDescent="0.25">
      <c r="A378" s="243">
        <v>1991</v>
      </c>
      <c r="B378" s="243" t="s">
        <v>183</v>
      </c>
      <c r="C378" s="198" t="s">
        <v>499</v>
      </c>
      <c r="D378" s="111" t="s">
        <v>495</v>
      </c>
      <c r="E378" s="33">
        <f t="shared" si="26"/>
        <v>33419</v>
      </c>
      <c r="F378" s="90" t="str">
        <f t="shared" si="27"/>
        <v>Date check - OK</v>
      </c>
      <c r="H378" s="115"/>
      <c r="I378" s="26"/>
      <c r="J378" s="98">
        <f t="shared" si="28"/>
        <v>0.40416869135089106</v>
      </c>
      <c r="K378" s="36"/>
      <c r="L378" s="26">
        <v>8</v>
      </c>
      <c r="M378" s="26" t="s">
        <v>206</v>
      </c>
      <c r="N378" s="26">
        <v>1149.9355948777647</v>
      </c>
      <c r="O378" s="93">
        <f t="shared" si="29"/>
        <v>9199.4847590221179</v>
      </c>
      <c r="P378" s="95">
        <f t="shared" si="30"/>
        <v>3718.1437161564368</v>
      </c>
      <c r="Q378" s="196">
        <v>1</v>
      </c>
    </row>
    <row r="379" spans="1:17" x14ac:dyDescent="0.25">
      <c r="A379" s="243">
        <v>1992</v>
      </c>
      <c r="B379" s="243" t="s">
        <v>183</v>
      </c>
      <c r="C379" s="198" t="s">
        <v>500</v>
      </c>
      <c r="D379" s="111" t="s">
        <v>431</v>
      </c>
      <c r="E379" s="33">
        <f t="shared" si="26"/>
        <v>33785</v>
      </c>
      <c r="F379" s="90" t="str">
        <f t="shared" si="27"/>
        <v>Date check - OK</v>
      </c>
      <c r="H379" s="115"/>
      <c r="I379" s="26"/>
      <c r="J379" s="98">
        <f t="shared" si="28"/>
        <v>0.40416869135089106</v>
      </c>
      <c r="K379" s="36"/>
      <c r="L379" s="26">
        <v>61</v>
      </c>
      <c r="M379" s="26" t="s">
        <v>206</v>
      </c>
      <c r="N379" s="26">
        <v>709.53472875436546</v>
      </c>
      <c r="O379" s="93">
        <f t="shared" si="29"/>
        <v>43281.618454016294</v>
      </c>
      <c r="P379" s="95">
        <f t="shared" si="30"/>
        <v>17493.075090108341</v>
      </c>
      <c r="Q379" s="196">
        <v>1</v>
      </c>
    </row>
    <row r="380" spans="1:17" x14ac:dyDescent="0.25">
      <c r="A380" s="243">
        <v>1993</v>
      </c>
      <c r="B380" s="243" t="s">
        <v>183</v>
      </c>
      <c r="C380" s="198" t="s">
        <v>501</v>
      </c>
      <c r="D380" s="111" t="s">
        <v>431</v>
      </c>
      <c r="E380" s="33">
        <f t="shared" si="26"/>
        <v>34150</v>
      </c>
      <c r="F380" s="90" t="str">
        <f t="shared" si="27"/>
        <v>Date check - OK</v>
      </c>
      <c r="H380" s="115"/>
      <c r="I380" s="26"/>
      <c r="J380" s="98">
        <f t="shared" si="28"/>
        <v>0.40416869135089106</v>
      </c>
      <c r="K380" s="36"/>
      <c r="L380" s="26">
        <v>278</v>
      </c>
      <c r="M380" s="26" t="s">
        <v>206</v>
      </c>
      <c r="N380" s="26">
        <v>1456.5850868451687</v>
      </c>
      <c r="O380" s="93">
        <f t="shared" si="29"/>
        <v>404930.65414295689</v>
      </c>
      <c r="P380" s="95">
        <f t="shared" si="30"/>
        <v>163660.29257281916</v>
      </c>
      <c r="Q380" s="196">
        <v>1</v>
      </c>
    </row>
    <row r="381" spans="1:17" x14ac:dyDescent="0.25">
      <c r="A381" s="243">
        <v>1993</v>
      </c>
      <c r="B381" s="243" t="s">
        <v>183</v>
      </c>
      <c r="C381" s="198" t="s">
        <v>501</v>
      </c>
      <c r="D381" s="111" t="s">
        <v>431</v>
      </c>
      <c r="E381" s="33">
        <f t="shared" si="26"/>
        <v>34150</v>
      </c>
      <c r="F381" s="90" t="str">
        <f t="shared" si="27"/>
        <v>Date check - OK</v>
      </c>
      <c r="H381" s="115"/>
      <c r="I381" s="26"/>
      <c r="J381" s="98">
        <f t="shared" si="28"/>
        <v>0.40416869135089106</v>
      </c>
      <c r="K381" s="36"/>
      <c r="L381" s="26">
        <v>17</v>
      </c>
      <c r="M381" s="26" t="s">
        <v>206</v>
      </c>
      <c r="N381" s="26">
        <v>950.93964796274736</v>
      </c>
      <c r="O381" s="93">
        <f t="shared" si="29"/>
        <v>16165.974015366704</v>
      </c>
      <c r="P381" s="95">
        <f t="shared" si="30"/>
        <v>6533.7805622032702</v>
      </c>
      <c r="Q381" s="196">
        <v>1</v>
      </c>
    </row>
    <row r="382" spans="1:17" x14ac:dyDescent="0.25">
      <c r="A382" s="243">
        <v>1993</v>
      </c>
      <c r="B382" s="243" t="s">
        <v>183</v>
      </c>
      <c r="C382" s="198" t="s">
        <v>502</v>
      </c>
      <c r="D382" s="111" t="s">
        <v>503</v>
      </c>
      <c r="E382" s="33">
        <f t="shared" si="26"/>
        <v>34150</v>
      </c>
      <c r="F382" s="90" t="str">
        <f t="shared" si="27"/>
        <v>Date check - OK</v>
      </c>
      <c r="H382" s="115"/>
      <c r="I382" s="26"/>
      <c r="J382" s="98">
        <f t="shared" si="28"/>
        <v>0.40416869135089106</v>
      </c>
      <c r="K382" s="36"/>
      <c r="L382" s="26">
        <v>4</v>
      </c>
      <c r="M382" s="26" t="s">
        <v>206</v>
      </c>
      <c r="N382" s="26">
        <v>1008.0286491268917</v>
      </c>
      <c r="O382" s="93">
        <f t="shared" si="29"/>
        <v>4032.1145965075666</v>
      </c>
      <c r="P382" s="95">
        <f t="shared" si="30"/>
        <v>1629.6544798472894</v>
      </c>
      <c r="Q382" s="196">
        <v>1</v>
      </c>
    </row>
    <row r="383" spans="1:17" x14ac:dyDescent="0.25">
      <c r="A383" s="243">
        <v>1993</v>
      </c>
      <c r="B383" s="243" t="s">
        <v>183</v>
      </c>
      <c r="C383" s="198" t="s">
        <v>504</v>
      </c>
      <c r="D383" s="111" t="s">
        <v>505</v>
      </c>
      <c r="E383" s="33">
        <f t="shared" si="26"/>
        <v>34150</v>
      </c>
      <c r="F383" s="90" t="str">
        <f t="shared" si="27"/>
        <v>Date check - OK</v>
      </c>
      <c r="H383" s="115"/>
      <c r="I383" s="26"/>
      <c r="J383" s="98">
        <f t="shared" si="28"/>
        <v>0.40416869135089106</v>
      </c>
      <c r="K383" s="36"/>
      <c r="L383" s="26">
        <v>22</v>
      </c>
      <c r="M383" s="26" t="s">
        <v>206</v>
      </c>
      <c r="N383" s="26">
        <v>685.06801396973219</v>
      </c>
      <c r="O383" s="93">
        <f t="shared" si="29"/>
        <v>15071.496307334108</v>
      </c>
      <c r="P383" s="95">
        <f t="shared" si="30"/>
        <v>6091.4269392350134</v>
      </c>
      <c r="Q383" s="196">
        <v>1</v>
      </c>
    </row>
    <row r="384" spans="1:17" x14ac:dyDescent="0.25">
      <c r="C384" s="198"/>
      <c r="D384" s="111"/>
      <c r="E384" s="33"/>
      <c r="F384" s="90"/>
      <c r="H384" s="115"/>
      <c r="I384" s="26"/>
      <c r="J384" s="98"/>
      <c r="K384" s="36"/>
      <c r="L384" s="26"/>
      <c r="M384" s="26"/>
      <c r="N384" s="26"/>
      <c r="O384" s="93"/>
      <c r="P384" s="95"/>
      <c r="Q384" s="196"/>
    </row>
    <row r="385" spans="1:17" x14ac:dyDescent="0.25">
      <c r="A385" s="243">
        <v>1971</v>
      </c>
      <c r="B385" s="243" t="s">
        <v>184</v>
      </c>
      <c r="C385" s="198">
        <v>99349</v>
      </c>
      <c r="D385" s="111" t="s">
        <v>506</v>
      </c>
      <c r="E385" s="33">
        <f t="shared" ref="E385:E401" si="31">DATEVALUE("30 Jun "&amp;A385)</f>
        <v>26114</v>
      </c>
      <c r="F385" s="90" t="str">
        <f t="shared" si="27"/>
        <v>Date check - OK</v>
      </c>
      <c r="H385" s="115"/>
      <c r="I385" s="26"/>
      <c r="J385" s="98">
        <f>J383</f>
        <v>0.40416869135089106</v>
      </c>
      <c r="K385" s="36"/>
      <c r="L385" s="26">
        <v>1110</v>
      </c>
      <c r="M385" s="26" t="s">
        <v>206</v>
      </c>
      <c r="N385" s="26">
        <v>399.62300814901045</v>
      </c>
      <c r="O385" s="93">
        <f t="shared" ref="O385:O401" si="32">IF(N385="","-",L385*N385)</f>
        <v>443581.53904540162</v>
      </c>
      <c r="P385" s="95">
        <f t="shared" ref="P385:P401" si="33">IF(O385="-","-",IF(OR(E385&lt;$E$15,E385&gt;$E$16),0,O385*J385))*Q385</f>
        <v>179281.77014339415</v>
      </c>
      <c r="Q385" s="196">
        <v>1</v>
      </c>
    </row>
    <row r="386" spans="1:17" x14ac:dyDescent="0.25">
      <c r="A386" s="243">
        <v>1970</v>
      </c>
      <c r="B386" s="243" t="s">
        <v>184</v>
      </c>
      <c r="C386" s="198">
        <v>36407</v>
      </c>
      <c r="D386" s="111" t="s">
        <v>507</v>
      </c>
      <c r="E386" s="33">
        <f t="shared" si="31"/>
        <v>25749</v>
      </c>
      <c r="F386" s="90" t="str">
        <f t="shared" si="27"/>
        <v>Date check - OK</v>
      </c>
      <c r="H386" s="115"/>
      <c r="I386" s="26"/>
      <c r="J386" s="98">
        <f t="shared" si="28"/>
        <v>0.40416869135089106</v>
      </c>
      <c r="K386" s="36"/>
      <c r="L386" s="26">
        <v>288</v>
      </c>
      <c r="M386" s="26" t="s">
        <v>206</v>
      </c>
      <c r="N386" s="26">
        <v>430.61418020954596</v>
      </c>
      <c r="O386" s="93">
        <f t="shared" si="32"/>
        <v>124016.88390034923</v>
      </c>
      <c r="P386" s="95">
        <f t="shared" si="33"/>
        <v>50123.741671419542</v>
      </c>
      <c r="Q386" s="196">
        <v>1</v>
      </c>
    </row>
    <row r="387" spans="1:17" x14ac:dyDescent="0.25">
      <c r="A387" s="243">
        <v>1974</v>
      </c>
      <c r="B387" s="243" t="s">
        <v>184</v>
      </c>
      <c r="C387" s="198">
        <v>46936</v>
      </c>
      <c r="D387" s="111" t="s">
        <v>508</v>
      </c>
      <c r="E387" s="33">
        <f t="shared" si="31"/>
        <v>27210</v>
      </c>
      <c r="F387" s="90" t="str">
        <f t="shared" si="27"/>
        <v>Date check - OK</v>
      </c>
      <c r="H387" s="115"/>
      <c r="I387" s="26"/>
      <c r="J387" s="98">
        <f t="shared" si="28"/>
        <v>0.40416869135089106</v>
      </c>
      <c r="K387" s="36"/>
      <c r="L387" s="26">
        <v>72</v>
      </c>
      <c r="M387" s="26" t="s">
        <v>206</v>
      </c>
      <c r="N387" s="26">
        <v>399.62300814901045</v>
      </c>
      <c r="O387" s="93">
        <f t="shared" si="32"/>
        <v>28772.856586728751</v>
      </c>
      <c r="P387" s="95">
        <f t="shared" si="33"/>
        <v>11629.087793085026</v>
      </c>
      <c r="Q387" s="196">
        <v>1</v>
      </c>
    </row>
    <row r="388" spans="1:17" x14ac:dyDescent="0.25">
      <c r="A388" s="243">
        <v>1971</v>
      </c>
      <c r="B388" s="243" t="s">
        <v>184</v>
      </c>
      <c r="C388" s="198">
        <v>36498</v>
      </c>
      <c r="D388" s="111" t="s">
        <v>509</v>
      </c>
      <c r="E388" s="33">
        <f t="shared" si="31"/>
        <v>26114</v>
      </c>
      <c r="F388" s="90" t="str">
        <f t="shared" si="27"/>
        <v>Date check - OK</v>
      </c>
      <c r="H388" s="115"/>
      <c r="I388" s="26"/>
      <c r="J388" s="98">
        <f t="shared" si="28"/>
        <v>0.40416869135089106</v>
      </c>
      <c r="K388" s="36"/>
      <c r="L388" s="26">
        <v>443</v>
      </c>
      <c r="M388" s="26" t="s">
        <v>206</v>
      </c>
      <c r="N388" s="26">
        <v>546.42329685681023</v>
      </c>
      <c r="O388" s="93">
        <f t="shared" si="32"/>
        <v>242065.52050756692</v>
      </c>
      <c r="P388" s="95">
        <f t="shared" si="33"/>
        <v>97835.304644715608</v>
      </c>
      <c r="Q388" s="196">
        <v>1</v>
      </c>
    </row>
    <row r="389" spans="1:17" x14ac:dyDescent="0.25">
      <c r="A389" s="243">
        <v>1972</v>
      </c>
      <c r="B389" s="243" t="s">
        <v>184</v>
      </c>
      <c r="C389" s="198">
        <v>36473</v>
      </c>
      <c r="D389" s="111" t="s">
        <v>510</v>
      </c>
      <c r="E389" s="33">
        <f t="shared" si="31"/>
        <v>26480</v>
      </c>
      <c r="F389" s="90" t="str">
        <f t="shared" si="27"/>
        <v>Date check - OK</v>
      </c>
      <c r="H389" s="115"/>
      <c r="I389" s="26"/>
      <c r="J389" s="98">
        <f t="shared" si="28"/>
        <v>0.40416869135089106</v>
      </c>
      <c r="K389" s="36"/>
      <c r="L389" s="26">
        <v>660</v>
      </c>
      <c r="M389" s="26" t="s">
        <v>206</v>
      </c>
      <c r="N389" s="26">
        <v>349.05846426076835</v>
      </c>
      <c r="O389" s="93">
        <f t="shared" si="32"/>
        <v>230378.58641210711</v>
      </c>
      <c r="P389" s="95">
        <f t="shared" si="33"/>
        <v>93111.811785449507</v>
      </c>
      <c r="Q389" s="196">
        <v>1</v>
      </c>
    </row>
    <row r="390" spans="1:17" x14ac:dyDescent="0.25">
      <c r="A390" s="243">
        <v>1975</v>
      </c>
      <c r="B390" s="243" t="s">
        <v>184</v>
      </c>
      <c r="C390" s="198">
        <v>36833</v>
      </c>
      <c r="D390" s="111" t="s">
        <v>511</v>
      </c>
      <c r="E390" s="33">
        <f t="shared" si="31"/>
        <v>27575</v>
      </c>
      <c r="F390" s="90" t="str">
        <f t="shared" si="27"/>
        <v>Date check - OK</v>
      </c>
      <c r="H390" s="115"/>
      <c r="I390" s="26"/>
      <c r="J390" s="98">
        <f t="shared" si="28"/>
        <v>0.40416869135089106</v>
      </c>
      <c r="K390" s="36"/>
      <c r="L390" s="26">
        <v>77</v>
      </c>
      <c r="M390" s="26" t="s">
        <v>206</v>
      </c>
      <c r="N390" s="26">
        <v>380.04963632130386</v>
      </c>
      <c r="O390" s="93">
        <f t="shared" si="32"/>
        <v>29263.821996740397</v>
      </c>
      <c r="P390" s="95">
        <f t="shared" si="33"/>
        <v>11827.520640347986</v>
      </c>
      <c r="Q390" s="196">
        <v>1</v>
      </c>
    </row>
    <row r="391" spans="1:17" x14ac:dyDescent="0.25">
      <c r="A391" s="243">
        <v>1993</v>
      </c>
      <c r="B391" s="243" t="s">
        <v>184</v>
      </c>
      <c r="C391" s="198" t="s">
        <v>512</v>
      </c>
      <c r="D391" s="111" t="s">
        <v>513</v>
      </c>
      <c r="E391" s="33">
        <f t="shared" si="31"/>
        <v>34150</v>
      </c>
      <c r="F391" s="90" t="str">
        <f t="shared" si="27"/>
        <v>Date check - OK</v>
      </c>
      <c r="H391" s="115"/>
      <c r="I391" s="26"/>
      <c r="J391" s="98">
        <f t="shared" si="28"/>
        <v>0.40416869135089106</v>
      </c>
      <c r="K391" s="36"/>
      <c r="L391" s="26">
        <v>370</v>
      </c>
      <c r="M391" s="26" t="s">
        <v>206</v>
      </c>
      <c r="N391" s="26">
        <v>722.58364330616996</v>
      </c>
      <c r="O391" s="93">
        <f t="shared" si="32"/>
        <v>267355.94802328286</v>
      </c>
      <c r="P391" s="95">
        <f t="shared" si="33"/>
        <v>108056.90363744709</v>
      </c>
      <c r="Q391" s="196">
        <v>1</v>
      </c>
    </row>
    <row r="392" spans="1:17" x14ac:dyDescent="0.25">
      <c r="A392" s="243">
        <v>1975</v>
      </c>
      <c r="B392" s="243" t="s">
        <v>184</v>
      </c>
      <c r="C392" s="198" t="s">
        <v>514</v>
      </c>
      <c r="D392" s="111" t="s">
        <v>515</v>
      </c>
      <c r="E392" s="33">
        <f t="shared" si="31"/>
        <v>27575</v>
      </c>
      <c r="F392" s="90" t="str">
        <f t="shared" si="27"/>
        <v>Date check - OK</v>
      </c>
      <c r="H392" s="115"/>
      <c r="I392" s="26"/>
      <c r="J392" s="98">
        <f t="shared" si="28"/>
        <v>0.40416869135089106</v>
      </c>
      <c r="K392" s="36"/>
      <c r="L392" s="26">
        <v>1505</v>
      </c>
      <c r="M392" s="26" t="s">
        <v>206</v>
      </c>
      <c r="N392" s="26">
        <v>869.38393201396968</v>
      </c>
      <c r="O392" s="93">
        <f t="shared" si="32"/>
        <v>1308422.8176810243</v>
      </c>
      <c r="P392" s="95">
        <f t="shared" si="33"/>
        <v>528823.53795578517</v>
      </c>
      <c r="Q392" s="196">
        <v>1</v>
      </c>
    </row>
    <row r="393" spans="1:17" x14ac:dyDescent="0.25">
      <c r="A393" s="243">
        <v>1977</v>
      </c>
      <c r="B393" s="243" t="s">
        <v>184</v>
      </c>
      <c r="C393" s="198" t="s">
        <v>516</v>
      </c>
      <c r="D393" s="111" t="s">
        <v>517</v>
      </c>
      <c r="E393" s="33">
        <f t="shared" si="31"/>
        <v>28306</v>
      </c>
      <c r="F393" s="90" t="str">
        <f t="shared" si="27"/>
        <v>Date check - OK</v>
      </c>
      <c r="H393" s="115"/>
      <c r="I393" s="26"/>
      <c r="J393" s="98">
        <f t="shared" si="28"/>
        <v>0.40416869135089106</v>
      </c>
      <c r="K393" s="36"/>
      <c r="L393" s="26">
        <v>321</v>
      </c>
      <c r="M393" s="26" t="s">
        <v>206</v>
      </c>
      <c r="N393" s="26">
        <v>316.43617788125727</v>
      </c>
      <c r="O393" s="93">
        <f t="shared" si="32"/>
        <v>101576.01309988358</v>
      </c>
      <c r="P393" s="95">
        <f t="shared" si="33"/>
        <v>41053.844287220913</v>
      </c>
      <c r="Q393" s="196">
        <v>1</v>
      </c>
    </row>
    <row r="394" spans="1:17" x14ac:dyDescent="0.25">
      <c r="A394" s="243">
        <v>1976</v>
      </c>
      <c r="B394" s="243" t="s">
        <v>184</v>
      </c>
      <c r="C394" s="198" t="s">
        <v>518</v>
      </c>
      <c r="D394" s="111" t="s">
        <v>519</v>
      </c>
      <c r="E394" s="33">
        <f t="shared" si="31"/>
        <v>27941</v>
      </c>
      <c r="F394" s="90" t="str">
        <f t="shared" si="27"/>
        <v>Date check - OK</v>
      </c>
      <c r="H394" s="115"/>
      <c r="I394" s="26"/>
      <c r="J394" s="98">
        <f t="shared" si="28"/>
        <v>0.40416869135089106</v>
      </c>
      <c r="K394" s="36"/>
      <c r="L394" s="26">
        <v>458</v>
      </c>
      <c r="M394" s="26" t="s">
        <v>206</v>
      </c>
      <c r="N394" s="26">
        <v>546.42329685681023</v>
      </c>
      <c r="O394" s="93">
        <f t="shared" si="32"/>
        <v>250261.86996041908</v>
      </c>
      <c r="P394" s="95">
        <f t="shared" si="33"/>
        <v>101148.01247692945</v>
      </c>
      <c r="Q394" s="196">
        <v>1</v>
      </c>
    </row>
    <row r="395" spans="1:17" x14ac:dyDescent="0.25">
      <c r="A395" s="243">
        <v>1985</v>
      </c>
      <c r="B395" s="243" t="s">
        <v>184</v>
      </c>
      <c r="C395" s="198" t="s">
        <v>520</v>
      </c>
      <c r="D395" s="111" t="s">
        <v>521</v>
      </c>
      <c r="E395" s="33">
        <f t="shared" si="31"/>
        <v>31228</v>
      </c>
      <c r="F395" s="90" t="str">
        <f t="shared" si="27"/>
        <v>Date check - OK</v>
      </c>
      <c r="H395" s="115"/>
      <c r="I395" s="26"/>
      <c r="J395" s="98">
        <f t="shared" si="28"/>
        <v>0.40416869135089106</v>
      </c>
      <c r="K395" s="36"/>
      <c r="L395" s="26">
        <v>921</v>
      </c>
      <c r="M395" s="26" t="s">
        <v>206</v>
      </c>
      <c r="N395" s="26">
        <v>546.42329685681023</v>
      </c>
      <c r="O395" s="93">
        <f t="shared" si="32"/>
        <v>503255.85640512221</v>
      </c>
      <c r="P395" s="95">
        <f t="shared" si="33"/>
        <v>203400.26089793019</v>
      </c>
      <c r="Q395" s="196">
        <v>1</v>
      </c>
    </row>
    <row r="396" spans="1:17" x14ac:dyDescent="0.25">
      <c r="A396" s="243">
        <v>1974</v>
      </c>
      <c r="B396" s="243" t="s">
        <v>184</v>
      </c>
      <c r="C396" s="198" t="s">
        <v>522</v>
      </c>
      <c r="D396" s="111" t="s">
        <v>523</v>
      </c>
      <c r="E396" s="33">
        <f t="shared" si="31"/>
        <v>27210</v>
      </c>
      <c r="F396" s="90" t="str">
        <f t="shared" si="27"/>
        <v>Date check - OK</v>
      </c>
      <c r="H396" s="115"/>
      <c r="I396" s="26"/>
      <c r="J396" s="98">
        <f t="shared" si="28"/>
        <v>0.40416869135089106</v>
      </c>
      <c r="K396" s="36"/>
      <c r="L396" s="26">
        <v>217</v>
      </c>
      <c r="M396" s="26" t="s">
        <v>206</v>
      </c>
      <c r="N396" s="26">
        <v>216.93820442374852</v>
      </c>
      <c r="O396" s="93">
        <f t="shared" si="32"/>
        <v>47075.590359953429</v>
      </c>
      <c r="P396" s="95">
        <f t="shared" si="33"/>
        <v>19026.479750352999</v>
      </c>
      <c r="Q396" s="196">
        <v>1</v>
      </c>
    </row>
    <row r="397" spans="1:17" x14ac:dyDescent="0.25">
      <c r="A397" s="243">
        <v>1976</v>
      </c>
      <c r="B397" s="243" t="s">
        <v>184</v>
      </c>
      <c r="C397" s="198" t="s">
        <v>335</v>
      </c>
      <c r="D397" s="111" t="s">
        <v>524</v>
      </c>
      <c r="E397" s="33">
        <f t="shared" si="31"/>
        <v>27941</v>
      </c>
      <c r="F397" s="90" t="str">
        <f t="shared" si="27"/>
        <v>Date check - OK</v>
      </c>
      <c r="H397" s="115"/>
      <c r="I397" s="26"/>
      <c r="J397" s="98">
        <f t="shared" si="28"/>
        <v>0.40416869135089106</v>
      </c>
      <c r="K397" s="36"/>
      <c r="L397" s="26">
        <v>986</v>
      </c>
      <c r="M397" s="26" t="s">
        <v>206</v>
      </c>
      <c r="N397" s="26">
        <v>399.62300814901045</v>
      </c>
      <c r="O397" s="93">
        <f t="shared" si="32"/>
        <v>394028.28603492433</v>
      </c>
      <c r="P397" s="95">
        <f t="shared" si="33"/>
        <v>159253.89672196994</v>
      </c>
      <c r="Q397" s="196">
        <v>1</v>
      </c>
    </row>
    <row r="398" spans="1:17" x14ac:dyDescent="0.25">
      <c r="A398" s="243">
        <v>1983</v>
      </c>
      <c r="B398" s="243" t="s">
        <v>184</v>
      </c>
      <c r="C398" s="198" t="s">
        <v>525</v>
      </c>
      <c r="D398" s="111" t="s">
        <v>526</v>
      </c>
      <c r="E398" s="33">
        <f t="shared" si="31"/>
        <v>30497</v>
      </c>
      <c r="F398" s="90" t="str">
        <f t="shared" si="27"/>
        <v>Date check - OK</v>
      </c>
      <c r="H398" s="115"/>
      <c r="I398" s="26"/>
      <c r="J398" s="98">
        <f t="shared" si="28"/>
        <v>0.40416869135089106</v>
      </c>
      <c r="K398" s="36"/>
      <c r="L398" s="26">
        <v>858</v>
      </c>
      <c r="M398" s="26" t="s">
        <v>206</v>
      </c>
      <c r="N398" s="26">
        <v>285.44500582072175</v>
      </c>
      <c r="O398" s="93">
        <f t="shared" si="32"/>
        <v>244911.81499417927</v>
      </c>
      <c r="P398" s="95">
        <f t="shared" si="33"/>
        <v>98985.687762568967</v>
      </c>
      <c r="Q398" s="196">
        <v>1</v>
      </c>
    </row>
    <row r="399" spans="1:17" x14ac:dyDescent="0.25">
      <c r="A399" s="243">
        <v>1985</v>
      </c>
      <c r="B399" s="243" t="s">
        <v>184</v>
      </c>
      <c r="C399" s="198" t="s">
        <v>527</v>
      </c>
      <c r="D399" s="111" t="s">
        <v>528</v>
      </c>
      <c r="E399" s="33">
        <f t="shared" si="31"/>
        <v>31228</v>
      </c>
      <c r="F399" s="90" t="str">
        <f t="shared" si="27"/>
        <v>Date check - OK</v>
      </c>
      <c r="H399" s="115"/>
      <c r="I399" s="26"/>
      <c r="J399" s="98">
        <f t="shared" si="28"/>
        <v>0.40416869135089106</v>
      </c>
      <c r="K399" s="36"/>
      <c r="L399" s="26">
        <v>425</v>
      </c>
      <c r="M399" s="26" t="s">
        <v>206</v>
      </c>
      <c r="N399" s="26">
        <v>316.43617788125727</v>
      </c>
      <c r="O399" s="93">
        <f t="shared" si="32"/>
        <v>134485.37559953434</v>
      </c>
      <c r="P399" s="95">
        <f t="shared" si="33"/>
        <v>54354.778261896849</v>
      </c>
      <c r="Q399" s="196">
        <v>1</v>
      </c>
    </row>
    <row r="400" spans="1:17" x14ac:dyDescent="0.25">
      <c r="A400" s="243">
        <v>1986</v>
      </c>
      <c r="B400" s="243" t="s">
        <v>184</v>
      </c>
      <c r="C400" s="198" t="s">
        <v>529</v>
      </c>
      <c r="D400" s="111" t="s">
        <v>530</v>
      </c>
      <c r="E400" s="33">
        <f t="shared" si="31"/>
        <v>31593</v>
      </c>
      <c r="F400" s="90" t="str">
        <f t="shared" si="27"/>
        <v>Date check - OK</v>
      </c>
      <c r="H400" s="115"/>
      <c r="I400" s="26"/>
      <c r="J400" s="98">
        <f t="shared" si="28"/>
        <v>0.40416869135089106</v>
      </c>
      <c r="K400" s="36"/>
      <c r="L400" s="26">
        <v>45</v>
      </c>
      <c r="M400" s="26" t="s">
        <v>206</v>
      </c>
      <c r="N400" s="26">
        <v>184.31591804423746</v>
      </c>
      <c r="O400" s="93">
        <f t="shared" si="32"/>
        <v>8294.2163119906854</v>
      </c>
      <c r="P400" s="95">
        <f t="shared" si="33"/>
        <v>3352.2625525984895</v>
      </c>
      <c r="Q400" s="196">
        <v>1</v>
      </c>
    </row>
    <row r="401" spans="1:17" x14ac:dyDescent="0.25">
      <c r="A401" s="243">
        <v>1991</v>
      </c>
      <c r="B401" s="243" t="s">
        <v>184</v>
      </c>
      <c r="C401" s="198" t="s">
        <v>531</v>
      </c>
      <c r="D401" s="111" t="s">
        <v>532</v>
      </c>
      <c r="E401" s="33">
        <f t="shared" si="31"/>
        <v>33419</v>
      </c>
      <c r="F401" s="90" t="str">
        <f t="shared" si="27"/>
        <v>Date check - OK</v>
      </c>
      <c r="H401" s="115"/>
      <c r="I401" s="26"/>
      <c r="J401" s="98">
        <f t="shared" si="28"/>
        <v>0.40416869135089106</v>
      </c>
      <c r="K401" s="36"/>
      <c r="L401" s="26">
        <v>519</v>
      </c>
      <c r="M401" s="26" t="s">
        <v>206</v>
      </c>
      <c r="N401" s="26">
        <v>316.43617788125727</v>
      </c>
      <c r="O401" s="93">
        <f t="shared" si="32"/>
        <v>164230.37632037251</v>
      </c>
      <c r="P401" s="95">
        <f t="shared" si="33"/>
        <v>66376.776277469326</v>
      </c>
      <c r="Q401" s="196">
        <v>1</v>
      </c>
    </row>
    <row r="402" spans="1:17" x14ac:dyDescent="0.25">
      <c r="C402" s="198"/>
      <c r="D402" s="111"/>
      <c r="E402" s="33"/>
      <c r="F402" s="90"/>
      <c r="H402" s="115"/>
      <c r="I402" s="26"/>
      <c r="J402" s="98"/>
      <c r="K402" s="36"/>
      <c r="L402" s="26"/>
      <c r="M402" s="26"/>
      <c r="N402" s="26"/>
      <c r="O402" s="93"/>
      <c r="P402" s="95"/>
      <c r="Q402" s="196"/>
    </row>
    <row r="403" spans="1:17" x14ac:dyDescent="0.25">
      <c r="A403" s="243">
        <v>1979</v>
      </c>
      <c r="B403" s="243" t="s">
        <v>186</v>
      </c>
      <c r="C403" s="198"/>
      <c r="D403" s="111" t="s">
        <v>533</v>
      </c>
      <c r="E403" s="33">
        <f t="shared" ref="E403:E422" si="34">DATEVALUE("30 Jun "&amp;A403)</f>
        <v>29036</v>
      </c>
      <c r="F403" s="90" t="str">
        <f t="shared" si="27"/>
        <v>Date check - OK</v>
      </c>
      <c r="H403" s="115"/>
      <c r="I403" s="26"/>
      <c r="J403" s="98">
        <f>J401</f>
        <v>0.40416869135089106</v>
      </c>
      <c r="K403" s="36"/>
      <c r="L403" s="26">
        <v>1</v>
      </c>
      <c r="M403" s="26"/>
      <c r="N403" s="26">
        <v>431049.68773271242</v>
      </c>
      <c r="O403" s="93">
        <f t="shared" ref="O403:O422" si="35">IF(N403="","-",L403*N403)</f>
        <v>431049.68773271242</v>
      </c>
      <c r="P403" s="95">
        <f t="shared" ref="P403:P422" si="36">IF(O403="-","-",IF(OR(E403&lt;$E$15,E403&gt;$E$16),0,O403*J403))*Q403</f>
        <v>174216.78819814062</v>
      </c>
      <c r="Q403" s="196">
        <v>1</v>
      </c>
    </row>
    <row r="404" spans="1:17" x14ac:dyDescent="0.25">
      <c r="A404" s="243">
        <v>1979</v>
      </c>
      <c r="B404" s="243" t="s">
        <v>186</v>
      </c>
      <c r="C404" s="198"/>
      <c r="D404" s="111" t="s">
        <v>533</v>
      </c>
      <c r="E404" s="33">
        <f t="shared" si="34"/>
        <v>29036</v>
      </c>
      <c r="F404" s="90" t="str">
        <f t="shared" si="27"/>
        <v>Date check - OK</v>
      </c>
      <c r="H404" s="115"/>
      <c r="I404" s="26"/>
      <c r="J404" s="98">
        <f t="shared" si="28"/>
        <v>0.40416869135089106</v>
      </c>
      <c r="K404" s="36"/>
      <c r="L404" s="26">
        <v>1</v>
      </c>
      <c r="M404" s="26"/>
      <c r="N404" s="26">
        <v>431049.68773271242</v>
      </c>
      <c r="O404" s="93">
        <f t="shared" si="35"/>
        <v>431049.68773271242</v>
      </c>
      <c r="P404" s="95">
        <f t="shared" si="36"/>
        <v>174216.78819814062</v>
      </c>
      <c r="Q404" s="196">
        <v>1</v>
      </c>
    </row>
    <row r="405" spans="1:17" x14ac:dyDescent="0.25">
      <c r="A405" s="243">
        <v>1979</v>
      </c>
      <c r="B405" s="243" t="s">
        <v>186</v>
      </c>
      <c r="C405" s="198"/>
      <c r="D405" s="111" t="s">
        <v>534</v>
      </c>
      <c r="E405" s="33">
        <f t="shared" si="34"/>
        <v>29036</v>
      </c>
      <c r="F405" s="90" t="str">
        <f t="shared" si="27"/>
        <v>Date check - OK</v>
      </c>
      <c r="H405" s="115"/>
      <c r="I405" s="26"/>
      <c r="J405" s="98">
        <f t="shared" si="28"/>
        <v>0.40416869135089106</v>
      </c>
      <c r="K405" s="36"/>
      <c r="L405" s="26">
        <v>1</v>
      </c>
      <c r="M405" s="26"/>
      <c r="N405" s="26">
        <v>578675.32028591388</v>
      </c>
      <c r="O405" s="93">
        <f t="shared" si="35"/>
        <v>578675.32028591388</v>
      </c>
      <c r="P405" s="95">
        <f t="shared" si="36"/>
        <v>159040.06390357058</v>
      </c>
      <c r="Q405" s="196">
        <v>0.68</v>
      </c>
    </row>
    <row r="406" spans="1:17" x14ac:dyDescent="0.25">
      <c r="A406" s="243">
        <v>1975</v>
      </c>
      <c r="B406" s="243" t="s">
        <v>186</v>
      </c>
      <c r="C406" s="198">
        <v>36602</v>
      </c>
      <c r="D406" s="111" t="s">
        <v>535</v>
      </c>
      <c r="E406" s="33">
        <f t="shared" si="34"/>
        <v>27575</v>
      </c>
      <c r="F406" s="90" t="str">
        <f t="shared" si="27"/>
        <v>Date check - OK</v>
      </c>
      <c r="H406" s="115"/>
      <c r="I406" s="26"/>
      <c r="J406" s="98">
        <f t="shared" si="28"/>
        <v>0.40416869135089106</v>
      </c>
      <c r="K406" s="36"/>
      <c r="L406" s="26">
        <v>1</v>
      </c>
      <c r="M406" s="26"/>
      <c r="N406" s="26">
        <v>596469.14639161818</v>
      </c>
      <c r="O406" s="93">
        <f t="shared" si="35"/>
        <v>596469.14639161818</v>
      </c>
      <c r="P406" s="95">
        <f t="shared" si="36"/>
        <v>241074.15432828339</v>
      </c>
      <c r="Q406" s="196">
        <v>1</v>
      </c>
    </row>
    <row r="407" spans="1:17" x14ac:dyDescent="0.25">
      <c r="A407" s="243">
        <v>1994</v>
      </c>
      <c r="B407" s="243" t="s">
        <v>186</v>
      </c>
      <c r="C407" s="198">
        <v>307643</v>
      </c>
      <c r="D407" s="111" t="s">
        <v>536</v>
      </c>
      <c r="E407" s="33">
        <f t="shared" si="34"/>
        <v>34515</v>
      </c>
      <c r="F407" s="90" t="str">
        <f t="shared" si="27"/>
        <v>Date check - OK</v>
      </c>
      <c r="H407" s="115"/>
      <c r="I407" s="26"/>
      <c r="J407" s="98">
        <f t="shared" si="28"/>
        <v>0.40416869135089106</v>
      </c>
      <c r="K407" s="36"/>
      <c r="L407" s="26">
        <v>1</v>
      </c>
      <c r="M407" s="26"/>
      <c r="N407" s="26">
        <v>224529.41046426076</v>
      </c>
      <c r="O407" s="93">
        <f t="shared" si="35"/>
        <v>224529.41046426076</v>
      </c>
      <c r="P407" s="95">
        <f t="shared" si="36"/>
        <v>45373.878998563669</v>
      </c>
      <c r="Q407" s="196">
        <v>0.5</v>
      </c>
    </row>
    <row r="408" spans="1:17" x14ac:dyDescent="0.25">
      <c r="A408" s="243">
        <v>1970</v>
      </c>
      <c r="B408" s="243" t="s">
        <v>186</v>
      </c>
      <c r="C408" s="198">
        <v>36348</v>
      </c>
      <c r="D408" s="111" t="s">
        <v>537</v>
      </c>
      <c r="E408" s="33">
        <f t="shared" si="34"/>
        <v>25749</v>
      </c>
      <c r="F408" s="90" t="str">
        <f t="shared" si="27"/>
        <v>Date check - OK</v>
      </c>
      <c r="H408" s="115"/>
      <c r="I408" s="26"/>
      <c r="J408" s="98">
        <f t="shared" si="28"/>
        <v>0.40416869135089106</v>
      </c>
      <c r="K408" s="36"/>
      <c r="L408" s="26">
        <v>1</v>
      </c>
      <c r="M408" s="26"/>
      <c r="N408" s="26">
        <v>472440.84469103604</v>
      </c>
      <c r="O408" s="93">
        <f t="shared" si="35"/>
        <v>472440.84469103604</v>
      </c>
      <c r="P408" s="95">
        <f t="shared" si="36"/>
        <v>190945.79793948561</v>
      </c>
      <c r="Q408" s="196">
        <v>1</v>
      </c>
    </row>
    <row r="409" spans="1:17" x14ac:dyDescent="0.25">
      <c r="A409" s="243">
        <v>1971</v>
      </c>
      <c r="B409" s="243" t="s">
        <v>186</v>
      </c>
      <c r="C409" s="198">
        <v>36474</v>
      </c>
      <c r="D409" s="111" t="s">
        <v>538</v>
      </c>
      <c r="E409" s="33">
        <f t="shared" si="34"/>
        <v>26114</v>
      </c>
      <c r="F409" s="90" t="str">
        <f t="shared" ref="F409:F422" si="37">IF(E409="","-",IF(OR(E409&lt;$E$15,E409&gt;$E$16),"ERROR - date outside of range","Date check - OK"))</f>
        <v>Date check - OK</v>
      </c>
      <c r="H409" s="115"/>
      <c r="I409" s="26"/>
      <c r="J409" s="98">
        <f t="shared" si="28"/>
        <v>0.40416869135089106</v>
      </c>
      <c r="K409" s="36"/>
      <c r="L409" s="26">
        <v>1</v>
      </c>
      <c r="M409" s="26"/>
      <c r="N409" s="26">
        <v>333182.82859417924</v>
      </c>
      <c r="O409" s="93">
        <f t="shared" si="35"/>
        <v>333182.82859417924</v>
      </c>
      <c r="P409" s="95">
        <f t="shared" si="36"/>
        <v>134662.06781349768</v>
      </c>
      <c r="Q409" s="196">
        <v>1</v>
      </c>
    </row>
    <row r="410" spans="1:17" x14ac:dyDescent="0.25">
      <c r="A410" s="243">
        <v>1972</v>
      </c>
      <c r="B410" s="243" t="s">
        <v>186</v>
      </c>
      <c r="C410" s="198">
        <v>36475</v>
      </c>
      <c r="D410" s="111" t="s">
        <v>539</v>
      </c>
      <c r="E410" s="33">
        <f t="shared" si="34"/>
        <v>26480</v>
      </c>
      <c r="F410" s="90" t="str">
        <f t="shared" si="37"/>
        <v>Date check - OK</v>
      </c>
      <c r="H410" s="115"/>
      <c r="I410" s="26"/>
      <c r="J410" s="98">
        <f t="shared" ref="J410:J422" si="38">J409</f>
        <v>0.40416869135089106</v>
      </c>
      <c r="K410" s="36"/>
      <c r="L410" s="26">
        <v>1</v>
      </c>
      <c r="M410" s="26"/>
      <c r="N410" s="26">
        <v>2356717.1548861465</v>
      </c>
      <c r="O410" s="93">
        <f t="shared" si="35"/>
        <v>2356717.1548861465</v>
      </c>
      <c r="P410" s="95">
        <f t="shared" si="36"/>
        <v>952511.2883745291</v>
      </c>
      <c r="Q410" s="196">
        <v>1</v>
      </c>
    </row>
    <row r="411" spans="1:17" x14ac:dyDescent="0.25">
      <c r="A411" s="243">
        <v>1973</v>
      </c>
      <c r="B411" s="243" t="s">
        <v>186</v>
      </c>
      <c r="C411" s="198">
        <v>36555</v>
      </c>
      <c r="D411" s="111" t="s">
        <v>540</v>
      </c>
      <c r="E411" s="33">
        <f t="shared" si="34"/>
        <v>26845</v>
      </c>
      <c r="F411" s="90" t="str">
        <f t="shared" si="37"/>
        <v>Date check - OK</v>
      </c>
      <c r="H411" s="115"/>
      <c r="I411" s="26"/>
      <c r="J411" s="98">
        <f t="shared" si="38"/>
        <v>0.40416869135089106</v>
      </c>
      <c r="K411" s="36"/>
      <c r="L411" s="26">
        <v>1</v>
      </c>
      <c r="M411" s="26"/>
      <c r="N411" s="26">
        <v>596469.14639161818</v>
      </c>
      <c r="O411" s="93">
        <f t="shared" si="35"/>
        <v>596469.14639161818</v>
      </c>
      <c r="P411" s="95">
        <f t="shared" si="36"/>
        <v>241074.15432828339</v>
      </c>
      <c r="Q411" s="196">
        <v>1</v>
      </c>
    </row>
    <row r="412" spans="1:17" x14ac:dyDescent="0.25">
      <c r="A412" s="243">
        <v>1976</v>
      </c>
      <c r="B412" s="243" t="s">
        <v>186</v>
      </c>
      <c r="C412" s="198">
        <v>36749</v>
      </c>
      <c r="D412" s="111" t="s">
        <v>541</v>
      </c>
      <c r="E412" s="33">
        <f t="shared" si="34"/>
        <v>27941</v>
      </c>
      <c r="F412" s="90" t="str">
        <f t="shared" si="37"/>
        <v>Date check - OK</v>
      </c>
      <c r="H412" s="115"/>
      <c r="I412" s="26"/>
      <c r="J412" s="98">
        <f t="shared" si="38"/>
        <v>0.40416869135089106</v>
      </c>
      <c r="K412" s="36"/>
      <c r="L412" s="26">
        <v>1</v>
      </c>
      <c r="M412" s="26"/>
      <c r="N412" s="26">
        <v>286397.57658300351</v>
      </c>
      <c r="O412" s="93">
        <f t="shared" si="35"/>
        <v>286397.57658300351</v>
      </c>
      <c r="P412" s="95">
        <f t="shared" si="36"/>
        <v>115752.93373361912</v>
      </c>
      <c r="Q412" s="196">
        <v>1</v>
      </c>
    </row>
    <row r="413" spans="1:17" x14ac:dyDescent="0.25">
      <c r="A413" s="243">
        <v>1970</v>
      </c>
      <c r="B413" s="243" t="s">
        <v>186</v>
      </c>
      <c r="C413" s="198"/>
      <c r="D413" s="111">
        <v>230</v>
      </c>
      <c r="E413" s="33">
        <f t="shared" si="34"/>
        <v>25749</v>
      </c>
      <c r="F413" s="90" t="str">
        <f t="shared" si="37"/>
        <v>Date check - OK</v>
      </c>
      <c r="H413" s="115"/>
      <c r="I413" s="26"/>
      <c r="J413" s="98">
        <f t="shared" si="38"/>
        <v>0.40416869135089106</v>
      </c>
      <c r="K413" s="36"/>
      <c r="L413" s="26">
        <v>1</v>
      </c>
      <c r="M413" s="26"/>
      <c r="N413" s="26">
        <v>894703.7195874271</v>
      </c>
      <c r="O413" s="93">
        <f t="shared" si="35"/>
        <v>894703.7195874271</v>
      </c>
      <c r="P413" s="95">
        <f t="shared" si="36"/>
        <v>361611.23149242502</v>
      </c>
      <c r="Q413" s="196">
        <v>1</v>
      </c>
    </row>
    <row r="414" spans="1:17" x14ac:dyDescent="0.25">
      <c r="A414" s="243">
        <v>1978</v>
      </c>
      <c r="B414" s="243" t="s">
        <v>186</v>
      </c>
      <c r="C414" s="198"/>
      <c r="D414" s="111">
        <v>371</v>
      </c>
      <c r="E414" s="33">
        <f t="shared" si="34"/>
        <v>28671</v>
      </c>
      <c r="F414" s="90" t="str">
        <f t="shared" si="37"/>
        <v>Date check - OK</v>
      </c>
      <c r="H414" s="115"/>
      <c r="I414" s="26"/>
      <c r="J414" s="98">
        <f t="shared" si="38"/>
        <v>0.40416869135089106</v>
      </c>
      <c r="K414" s="36"/>
      <c r="L414" s="26">
        <v>1</v>
      </c>
      <c r="M414" s="26"/>
      <c r="N414" s="26">
        <v>203711.49841117577</v>
      </c>
      <c r="O414" s="93">
        <f t="shared" si="35"/>
        <v>203711.49841117577</v>
      </c>
      <c r="P414" s="95">
        <f t="shared" si="36"/>
        <v>82333.809725974032</v>
      </c>
      <c r="Q414" s="196">
        <v>1</v>
      </c>
    </row>
    <row r="415" spans="1:17" x14ac:dyDescent="0.25">
      <c r="A415" s="243">
        <v>1982</v>
      </c>
      <c r="B415" s="243" t="s">
        <v>186</v>
      </c>
      <c r="C415" s="198"/>
      <c r="D415" s="111">
        <v>477</v>
      </c>
      <c r="E415" s="33">
        <f t="shared" si="34"/>
        <v>30132</v>
      </c>
      <c r="F415" s="90" t="str">
        <f t="shared" si="37"/>
        <v>Date check - OK</v>
      </c>
      <c r="H415" s="115"/>
      <c r="I415" s="26"/>
      <c r="J415" s="98">
        <f t="shared" si="38"/>
        <v>0.40416869135089106</v>
      </c>
      <c r="K415" s="36"/>
      <c r="L415" s="26">
        <v>1</v>
      </c>
      <c r="M415" s="26"/>
      <c r="N415" s="26">
        <v>493111.95645541325</v>
      </c>
      <c r="O415" s="93">
        <f t="shared" si="35"/>
        <v>493111.95645541325</v>
      </c>
      <c r="P415" s="95">
        <f t="shared" si="36"/>
        <v>199300.41413006195</v>
      </c>
      <c r="Q415" s="196">
        <v>1</v>
      </c>
    </row>
    <row r="416" spans="1:17" x14ac:dyDescent="0.25">
      <c r="A416" s="243">
        <v>1985</v>
      </c>
      <c r="B416" s="243" t="s">
        <v>186</v>
      </c>
      <c r="C416" s="198"/>
      <c r="D416" s="111">
        <v>660</v>
      </c>
      <c r="E416" s="33">
        <f t="shared" si="34"/>
        <v>31228</v>
      </c>
      <c r="F416" s="90" t="str">
        <f t="shared" si="37"/>
        <v>Date check - OK</v>
      </c>
      <c r="H416" s="115"/>
      <c r="I416" s="26"/>
      <c r="J416" s="98">
        <f t="shared" si="38"/>
        <v>0.40416869135089106</v>
      </c>
      <c r="K416" s="36"/>
      <c r="L416" s="26">
        <v>1</v>
      </c>
      <c r="M416" s="26"/>
      <c r="N416" s="26">
        <v>276061.20514365542</v>
      </c>
      <c r="O416" s="93">
        <f t="shared" si="35"/>
        <v>276061.20514365542</v>
      </c>
      <c r="P416" s="95">
        <f t="shared" si="36"/>
        <v>111575.29601566109</v>
      </c>
      <c r="Q416" s="196">
        <v>1</v>
      </c>
    </row>
    <row r="417" spans="1:17" x14ac:dyDescent="0.25">
      <c r="A417" s="243">
        <v>1975</v>
      </c>
      <c r="B417" s="243" t="s">
        <v>186</v>
      </c>
      <c r="C417" s="198"/>
      <c r="D417" s="111" t="s">
        <v>542</v>
      </c>
      <c r="E417" s="33">
        <f t="shared" si="34"/>
        <v>27575</v>
      </c>
      <c r="F417" s="90" t="str">
        <f t="shared" si="37"/>
        <v>Date check - OK</v>
      </c>
      <c r="H417" s="115"/>
      <c r="I417" s="26"/>
      <c r="J417" s="98">
        <f t="shared" si="38"/>
        <v>0.40416869135089106</v>
      </c>
      <c r="K417" s="36"/>
      <c r="L417" s="26">
        <v>1</v>
      </c>
      <c r="M417" s="26"/>
      <c r="N417" s="26">
        <v>293287.40346635622</v>
      </c>
      <c r="O417" s="93">
        <f t="shared" si="35"/>
        <v>293287.40346635622</v>
      </c>
      <c r="P417" s="95">
        <f t="shared" si="36"/>
        <v>118537.58604869798</v>
      </c>
      <c r="Q417" s="196">
        <v>1</v>
      </c>
    </row>
    <row r="418" spans="1:17" x14ac:dyDescent="0.25">
      <c r="A418" s="243">
        <v>1977</v>
      </c>
      <c r="B418" s="243" t="s">
        <v>186</v>
      </c>
      <c r="C418" s="198" t="s">
        <v>543</v>
      </c>
      <c r="D418" s="111" t="s">
        <v>544</v>
      </c>
      <c r="E418" s="33">
        <f t="shared" si="34"/>
        <v>28306</v>
      </c>
      <c r="F418" s="90" t="str">
        <f t="shared" si="37"/>
        <v>Date check - OK</v>
      </c>
      <c r="H418" s="115"/>
      <c r="I418" s="26"/>
      <c r="J418" s="98">
        <f t="shared" si="38"/>
        <v>0.40416869135089106</v>
      </c>
      <c r="K418" s="36"/>
      <c r="L418" s="26">
        <v>1</v>
      </c>
      <c r="M418" s="26"/>
      <c r="N418" s="26">
        <v>389754.76651920838</v>
      </c>
      <c r="O418" s="93">
        <f t="shared" si="35"/>
        <v>389754.76651920838</v>
      </c>
      <c r="P418" s="95">
        <f t="shared" si="36"/>
        <v>157526.67393184055</v>
      </c>
      <c r="Q418" s="196">
        <v>1</v>
      </c>
    </row>
    <row r="419" spans="1:17" x14ac:dyDescent="0.25">
      <c r="A419" s="243">
        <v>1983</v>
      </c>
      <c r="B419" s="243" t="s">
        <v>186</v>
      </c>
      <c r="C419" s="198" t="s">
        <v>545</v>
      </c>
      <c r="D419" s="111" t="s">
        <v>546</v>
      </c>
      <c r="E419" s="33">
        <f t="shared" si="34"/>
        <v>30497</v>
      </c>
      <c r="F419" s="90" t="str">
        <f t="shared" si="37"/>
        <v>Date check - OK</v>
      </c>
      <c r="H419" s="115"/>
      <c r="I419" s="26"/>
      <c r="J419" s="98">
        <f t="shared" si="38"/>
        <v>0.40416869135089106</v>
      </c>
      <c r="K419" s="36"/>
      <c r="L419" s="26">
        <v>1</v>
      </c>
      <c r="M419" s="26"/>
      <c r="N419" s="26">
        <v>282952.6631413271</v>
      </c>
      <c r="O419" s="93">
        <f t="shared" si="35"/>
        <v>282952.6631413271</v>
      </c>
      <c r="P419" s="95">
        <f t="shared" si="36"/>
        <v>114360.60757607968</v>
      </c>
      <c r="Q419" s="196">
        <v>1</v>
      </c>
    </row>
    <row r="420" spans="1:17" x14ac:dyDescent="0.25">
      <c r="A420" s="243">
        <v>1983</v>
      </c>
      <c r="B420" s="243" t="s">
        <v>186</v>
      </c>
      <c r="C420" s="198"/>
      <c r="D420" s="111" t="s">
        <v>547</v>
      </c>
      <c r="E420" s="33">
        <f t="shared" si="34"/>
        <v>30497</v>
      </c>
      <c r="F420" s="90" t="str">
        <f t="shared" si="37"/>
        <v>Date check - OK</v>
      </c>
      <c r="H420" s="115"/>
      <c r="I420" s="26"/>
      <c r="J420" s="98">
        <f t="shared" si="38"/>
        <v>0.40416869135089106</v>
      </c>
      <c r="K420" s="36"/>
      <c r="L420" s="26">
        <v>1</v>
      </c>
      <c r="M420" s="26"/>
      <c r="N420" s="26">
        <v>276061.20514365542</v>
      </c>
      <c r="O420" s="93">
        <f t="shared" si="35"/>
        <v>276061.20514365542</v>
      </c>
      <c r="P420" s="95">
        <f t="shared" si="36"/>
        <v>111575.29601566109</v>
      </c>
      <c r="Q420" s="196">
        <v>1</v>
      </c>
    </row>
    <row r="421" spans="1:17" x14ac:dyDescent="0.25">
      <c r="A421" s="243">
        <v>1985</v>
      </c>
      <c r="B421" s="243" t="s">
        <v>186</v>
      </c>
      <c r="C421" s="198"/>
      <c r="D421" s="111" t="s">
        <v>548</v>
      </c>
      <c r="E421" s="33">
        <f t="shared" si="34"/>
        <v>31228</v>
      </c>
      <c r="F421" s="90" t="str">
        <f t="shared" si="37"/>
        <v>Date check - OK</v>
      </c>
      <c r="H421" s="115"/>
      <c r="I421" s="26"/>
      <c r="J421" s="98">
        <f t="shared" si="38"/>
        <v>0.40416869135089106</v>
      </c>
      <c r="K421" s="36"/>
      <c r="L421" s="26">
        <v>1</v>
      </c>
      <c r="M421" s="26"/>
      <c r="N421" s="26">
        <v>289842.49002467986</v>
      </c>
      <c r="O421" s="93">
        <f t="shared" si="35"/>
        <v>289842.49002467986</v>
      </c>
      <c r="P421" s="95">
        <f t="shared" si="36"/>
        <v>117145.25989115855</v>
      </c>
      <c r="Q421" s="196">
        <v>1</v>
      </c>
    </row>
    <row r="422" spans="1:17" x14ac:dyDescent="0.25">
      <c r="A422" s="243">
        <v>1986</v>
      </c>
      <c r="B422" s="243" t="s">
        <v>186</v>
      </c>
      <c r="C422" s="198" t="s">
        <v>549</v>
      </c>
      <c r="D422" s="111" t="s">
        <v>550</v>
      </c>
      <c r="E422" s="33">
        <f t="shared" si="34"/>
        <v>31593</v>
      </c>
      <c r="F422" s="90" t="str">
        <f t="shared" si="37"/>
        <v>Date check - OK</v>
      </c>
      <c r="H422" s="115"/>
      <c r="I422" s="26"/>
      <c r="J422" s="98">
        <f t="shared" si="38"/>
        <v>0.40416869135089106</v>
      </c>
      <c r="K422" s="36"/>
      <c r="L422" s="26">
        <v>1</v>
      </c>
      <c r="M422" s="26"/>
      <c r="N422" s="26">
        <v>224382.61017555295</v>
      </c>
      <c r="O422" s="93">
        <f t="shared" si="35"/>
        <v>224382.61017555295</v>
      </c>
      <c r="P422" s="95">
        <f t="shared" si="36"/>
        <v>90688.425916550375</v>
      </c>
      <c r="Q422" s="196">
        <v>1</v>
      </c>
    </row>
    <row r="423" spans="1:17" x14ac:dyDescent="0.25">
      <c r="C423" s="198"/>
      <c r="D423" s="111"/>
      <c r="E423" s="33"/>
      <c r="F423" s="90"/>
      <c r="H423" s="115"/>
      <c r="I423" s="26"/>
      <c r="J423" s="98"/>
      <c r="K423" s="36"/>
      <c r="L423" s="26"/>
      <c r="M423" s="26"/>
      <c r="N423" s="26"/>
      <c r="O423" s="93"/>
      <c r="P423" s="95"/>
      <c r="Q423" s="196"/>
    </row>
    <row r="424" spans="1:17" x14ac:dyDescent="0.25">
      <c r="C424" s="198"/>
      <c r="D424" s="111"/>
      <c r="E424" s="33"/>
      <c r="F424" s="90"/>
      <c r="H424" s="115"/>
      <c r="I424" s="26"/>
      <c r="J424" s="98"/>
      <c r="K424" s="36"/>
      <c r="L424" s="26"/>
      <c r="M424" s="26"/>
      <c r="N424" s="26"/>
      <c r="O424" s="93"/>
      <c r="P424" s="95"/>
      <c r="Q424" s="196"/>
    </row>
    <row r="425" spans="1:17" x14ac:dyDescent="0.25">
      <c r="C425" s="198"/>
      <c r="D425" s="111"/>
      <c r="E425" s="33"/>
      <c r="F425" s="90"/>
      <c r="H425" s="115"/>
      <c r="I425" s="26"/>
      <c r="J425" s="98"/>
      <c r="K425" s="36"/>
      <c r="L425" s="26"/>
      <c r="M425" s="26"/>
      <c r="N425" s="26"/>
      <c r="O425" s="93"/>
      <c r="P425" s="95"/>
      <c r="Q425" s="196"/>
    </row>
    <row r="426" spans="1:17" x14ac:dyDescent="0.25">
      <c r="C426" s="198"/>
      <c r="D426" s="111"/>
      <c r="E426" s="33"/>
      <c r="F426" s="90"/>
      <c r="H426" s="115"/>
      <c r="I426" s="26"/>
      <c r="J426" s="98"/>
      <c r="K426" s="36"/>
      <c r="L426" s="26"/>
      <c r="M426" s="26"/>
      <c r="N426" s="26"/>
      <c r="O426" s="93"/>
      <c r="P426" s="95"/>
      <c r="Q426" s="196"/>
    </row>
    <row r="427" spans="1:17" x14ac:dyDescent="0.25">
      <c r="C427" s="198"/>
      <c r="D427" s="111"/>
      <c r="E427" s="33"/>
      <c r="F427" s="90"/>
      <c r="H427" s="115"/>
      <c r="I427" s="26"/>
      <c r="J427" s="98"/>
      <c r="K427" s="36"/>
      <c r="L427" s="26"/>
      <c r="M427" s="26"/>
      <c r="N427" s="26"/>
      <c r="O427" s="93"/>
      <c r="P427" s="95"/>
      <c r="Q427" s="196"/>
    </row>
    <row r="428" spans="1:17" x14ac:dyDescent="0.25">
      <c r="C428" s="198"/>
      <c r="D428" s="111"/>
      <c r="E428" s="33"/>
      <c r="F428" s="90"/>
      <c r="H428" s="115"/>
      <c r="I428" s="26"/>
      <c r="J428" s="98"/>
      <c r="K428" s="36"/>
      <c r="L428" s="26"/>
      <c r="M428" s="26"/>
      <c r="N428" s="26"/>
      <c r="O428" s="93"/>
      <c r="P428" s="95"/>
      <c r="Q428" s="196"/>
    </row>
    <row r="429" spans="1:17" x14ac:dyDescent="0.25">
      <c r="C429" s="198"/>
      <c r="D429" s="111"/>
      <c r="E429" s="33"/>
      <c r="F429" s="90"/>
      <c r="H429" s="115"/>
      <c r="I429" s="26"/>
      <c r="J429" s="98"/>
      <c r="K429" s="36"/>
      <c r="L429" s="26"/>
      <c r="M429" s="26"/>
      <c r="N429" s="26"/>
      <c r="O429" s="93"/>
      <c r="P429" s="95"/>
      <c r="Q429" s="196"/>
    </row>
    <row r="430" spans="1:17" x14ac:dyDescent="0.25">
      <c r="C430" s="198"/>
      <c r="D430" s="111"/>
      <c r="E430" s="33"/>
      <c r="F430" s="90"/>
      <c r="H430" s="115"/>
      <c r="I430" s="26"/>
      <c r="J430" s="98"/>
      <c r="K430" s="36"/>
      <c r="L430" s="26"/>
      <c r="M430" s="26"/>
      <c r="N430" s="26"/>
      <c r="O430" s="93"/>
      <c r="P430" s="95"/>
      <c r="Q430" s="196"/>
    </row>
    <row r="431" spans="1:17" x14ac:dyDescent="0.25">
      <c r="C431" s="198"/>
      <c r="D431" s="111"/>
      <c r="E431" s="33"/>
      <c r="F431" s="90"/>
      <c r="H431" s="115"/>
      <c r="I431" s="26"/>
      <c r="J431" s="98"/>
      <c r="K431" s="36"/>
      <c r="L431" s="26"/>
      <c r="M431" s="26"/>
      <c r="N431" s="26"/>
      <c r="O431" s="93"/>
      <c r="P431" s="95"/>
      <c r="Q431" s="196"/>
    </row>
    <row r="432" spans="1:17" x14ac:dyDescent="0.25">
      <c r="C432" s="198"/>
      <c r="D432" s="111"/>
      <c r="E432" s="33"/>
      <c r="F432" s="90"/>
      <c r="H432" s="115"/>
      <c r="I432" s="26"/>
      <c r="J432" s="98"/>
      <c r="K432" s="36"/>
      <c r="L432" s="26"/>
      <c r="M432" s="26"/>
      <c r="N432" s="26"/>
      <c r="O432" s="93"/>
      <c r="P432" s="95"/>
      <c r="Q432" s="196"/>
    </row>
    <row r="433" spans="3:17" x14ac:dyDescent="0.25">
      <c r="C433" s="198"/>
      <c r="D433" s="111"/>
      <c r="E433" s="33"/>
      <c r="F433" s="90"/>
      <c r="H433" s="115"/>
      <c r="I433" s="26"/>
      <c r="J433" s="98"/>
      <c r="K433" s="36"/>
      <c r="L433" s="26"/>
      <c r="M433" s="26"/>
      <c r="N433" s="26"/>
      <c r="O433" s="93"/>
      <c r="P433" s="95"/>
      <c r="Q433" s="196"/>
    </row>
    <row r="434" spans="3:17" x14ac:dyDescent="0.25">
      <c r="C434" s="198"/>
      <c r="D434" s="111"/>
      <c r="E434" s="33"/>
      <c r="F434" s="90"/>
      <c r="H434" s="115"/>
      <c r="I434" s="26"/>
      <c r="J434" s="98"/>
      <c r="K434" s="36"/>
      <c r="L434" s="26"/>
      <c r="M434" s="26"/>
      <c r="N434" s="26"/>
      <c r="O434" s="93"/>
      <c r="P434" s="95"/>
      <c r="Q434" s="196"/>
    </row>
    <row r="435" spans="3:17" x14ac:dyDescent="0.25">
      <c r="C435" s="198"/>
      <c r="D435" s="111"/>
      <c r="E435" s="33"/>
      <c r="F435" s="90"/>
      <c r="H435" s="115"/>
      <c r="I435" s="26"/>
      <c r="J435" s="98"/>
      <c r="K435" s="36"/>
      <c r="L435" s="26"/>
      <c r="M435" s="26"/>
      <c r="N435" s="26"/>
      <c r="O435" s="93"/>
      <c r="P435" s="95"/>
      <c r="Q435" s="196"/>
    </row>
    <row r="436" spans="3:17" x14ac:dyDescent="0.25">
      <c r="C436" s="198"/>
      <c r="D436" s="111"/>
      <c r="E436" s="33"/>
      <c r="F436" s="90"/>
      <c r="H436" s="115"/>
      <c r="I436" s="26"/>
      <c r="J436" s="98"/>
      <c r="K436" s="36"/>
      <c r="L436" s="26"/>
      <c r="M436" s="26"/>
      <c r="N436" s="26"/>
      <c r="O436" s="93"/>
      <c r="P436" s="95"/>
      <c r="Q436" s="196"/>
    </row>
    <row r="437" spans="3:17" x14ac:dyDescent="0.25">
      <c r="C437" s="198"/>
      <c r="D437" s="111"/>
      <c r="E437" s="33"/>
      <c r="F437" s="90"/>
      <c r="H437" s="115"/>
      <c r="I437" s="26"/>
      <c r="J437" s="98"/>
      <c r="K437" s="36"/>
      <c r="L437" s="26"/>
      <c r="M437" s="26"/>
      <c r="N437" s="26"/>
      <c r="O437" s="93"/>
      <c r="P437" s="95"/>
      <c r="Q437" s="196"/>
    </row>
    <row r="438" spans="3:17" x14ac:dyDescent="0.25">
      <c r="C438" s="198"/>
      <c r="D438" s="111"/>
      <c r="E438" s="33"/>
      <c r="F438" s="90"/>
      <c r="H438" s="115"/>
      <c r="I438" s="26"/>
      <c r="J438" s="98"/>
      <c r="K438" s="36"/>
      <c r="L438" s="26"/>
      <c r="M438" s="26"/>
      <c r="N438" s="26"/>
      <c r="O438" s="93"/>
      <c r="P438" s="95"/>
      <c r="Q438" s="196"/>
    </row>
    <row r="439" spans="3:17" x14ac:dyDescent="0.25">
      <c r="C439" s="198"/>
      <c r="D439" s="111"/>
      <c r="E439" s="33"/>
      <c r="F439" s="90"/>
      <c r="H439" s="115"/>
      <c r="I439" s="26"/>
      <c r="J439" s="98"/>
      <c r="K439" s="36"/>
      <c r="L439" s="26"/>
      <c r="M439" s="26"/>
      <c r="N439" s="26"/>
      <c r="O439" s="93"/>
      <c r="P439" s="95"/>
      <c r="Q439" s="196"/>
    </row>
    <row r="440" spans="3:17" x14ac:dyDescent="0.25">
      <c r="C440" s="198"/>
      <c r="D440" s="111"/>
      <c r="E440" s="33"/>
      <c r="F440" s="90"/>
      <c r="H440" s="115"/>
      <c r="I440" s="26"/>
      <c r="J440" s="98"/>
      <c r="K440" s="36"/>
      <c r="L440" s="26"/>
      <c r="M440" s="26"/>
      <c r="N440" s="26"/>
      <c r="O440" s="93"/>
      <c r="P440" s="95"/>
      <c r="Q440" s="196"/>
    </row>
    <row r="441" spans="3:17" x14ac:dyDescent="0.25">
      <c r="C441" s="198"/>
      <c r="D441" s="111"/>
      <c r="E441" s="33"/>
      <c r="F441" s="90"/>
      <c r="H441" s="115"/>
      <c r="I441" s="26"/>
      <c r="J441" s="98"/>
      <c r="K441" s="36"/>
      <c r="L441" s="26"/>
      <c r="M441" s="26"/>
      <c r="N441" s="26"/>
      <c r="O441" s="93"/>
      <c r="P441" s="95"/>
      <c r="Q441" s="196"/>
    </row>
    <row r="442" spans="3:17" x14ac:dyDescent="0.25">
      <c r="C442" s="198"/>
      <c r="D442" s="111"/>
      <c r="E442" s="33"/>
      <c r="F442" s="90"/>
      <c r="H442" s="115"/>
      <c r="I442" s="26"/>
      <c r="J442" s="98"/>
      <c r="K442" s="36"/>
      <c r="L442" s="26"/>
      <c r="M442" s="26"/>
      <c r="N442" s="26"/>
      <c r="O442" s="93"/>
      <c r="P442" s="95"/>
      <c r="Q442" s="196"/>
    </row>
    <row r="443" spans="3:17" x14ac:dyDescent="0.25">
      <c r="C443" s="198"/>
      <c r="D443" s="111"/>
      <c r="E443" s="33"/>
      <c r="F443" s="90"/>
      <c r="H443" s="115"/>
      <c r="I443" s="26"/>
      <c r="J443" s="98"/>
      <c r="K443" s="36"/>
      <c r="L443" s="26"/>
      <c r="M443" s="26"/>
      <c r="N443" s="26"/>
      <c r="O443" s="93"/>
      <c r="P443" s="95"/>
      <c r="Q443" s="196"/>
    </row>
    <row r="444" spans="3:17" x14ac:dyDescent="0.25">
      <c r="C444" s="198"/>
      <c r="D444" s="111"/>
      <c r="E444" s="33"/>
      <c r="F444" s="90"/>
      <c r="H444" s="115"/>
      <c r="I444" s="26"/>
      <c r="J444" s="98"/>
      <c r="K444" s="36"/>
      <c r="L444" s="26"/>
      <c r="M444" s="26"/>
      <c r="N444" s="26"/>
      <c r="O444" s="93"/>
      <c r="P444" s="95"/>
      <c r="Q444" s="196"/>
    </row>
    <row r="445" spans="3:17" x14ac:dyDescent="0.25">
      <c r="C445" s="198"/>
      <c r="D445" s="111"/>
      <c r="E445" s="33"/>
      <c r="F445" s="90"/>
      <c r="H445" s="115"/>
      <c r="I445" s="26"/>
      <c r="J445" s="98"/>
      <c r="K445" s="36"/>
      <c r="L445" s="26"/>
      <c r="M445" s="26"/>
      <c r="N445" s="26"/>
      <c r="O445" s="93"/>
      <c r="P445" s="95"/>
      <c r="Q445" s="196"/>
    </row>
    <row r="446" spans="3:17" x14ac:dyDescent="0.25">
      <c r="C446" s="198"/>
      <c r="D446" s="111"/>
      <c r="E446" s="33"/>
      <c r="F446" s="90"/>
      <c r="H446" s="115"/>
      <c r="I446" s="26"/>
      <c r="J446" s="98"/>
      <c r="K446" s="36"/>
      <c r="L446" s="26"/>
      <c r="M446" s="26"/>
      <c r="N446" s="26"/>
      <c r="O446" s="93"/>
      <c r="P446" s="95"/>
      <c r="Q446" s="196"/>
    </row>
    <row r="447" spans="3:17" x14ac:dyDescent="0.25">
      <c r="C447" s="198"/>
      <c r="D447" s="111"/>
      <c r="E447" s="33"/>
      <c r="F447" s="90"/>
      <c r="H447" s="115"/>
      <c r="I447" s="26"/>
      <c r="J447" s="98"/>
      <c r="K447" s="36"/>
      <c r="L447" s="26"/>
      <c r="M447" s="26"/>
      <c r="N447" s="26"/>
      <c r="O447" s="93"/>
      <c r="P447" s="95"/>
      <c r="Q447" s="196"/>
    </row>
    <row r="448" spans="3:17" x14ac:dyDescent="0.25">
      <c r="C448" s="198"/>
      <c r="D448" s="111"/>
      <c r="E448" s="33"/>
      <c r="F448" s="90"/>
      <c r="H448" s="115"/>
      <c r="I448" s="26"/>
      <c r="J448" s="98"/>
      <c r="K448" s="36"/>
      <c r="L448" s="26"/>
      <c r="M448" s="26"/>
      <c r="N448" s="26"/>
      <c r="O448" s="93"/>
      <c r="P448" s="95"/>
      <c r="Q448" s="196"/>
    </row>
    <row r="449" spans="3:17" x14ac:dyDescent="0.25">
      <c r="C449" s="198"/>
      <c r="D449" s="111"/>
      <c r="E449" s="33"/>
      <c r="F449" s="90"/>
      <c r="H449" s="115"/>
      <c r="I449" s="26"/>
      <c r="J449" s="98"/>
      <c r="K449" s="36"/>
      <c r="L449" s="26"/>
      <c r="M449" s="26"/>
      <c r="N449" s="26"/>
      <c r="O449" s="93"/>
      <c r="P449" s="95"/>
      <c r="Q449" s="196"/>
    </row>
    <row r="450" spans="3:17" x14ac:dyDescent="0.25">
      <c r="C450" s="198"/>
      <c r="D450" s="111"/>
      <c r="E450" s="33"/>
      <c r="F450" s="90"/>
      <c r="H450" s="115"/>
      <c r="I450" s="26"/>
      <c r="J450" s="98"/>
      <c r="K450" s="36"/>
      <c r="L450" s="26"/>
      <c r="M450" s="26"/>
      <c r="N450" s="26"/>
      <c r="O450" s="93"/>
      <c r="P450" s="95"/>
      <c r="Q450" s="196"/>
    </row>
    <row r="451" spans="3:17" x14ac:dyDescent="0.25">
      <c r="C451" s="198"/>
      <c r="D451" s="111"/>
      <c r="E451" s="33"/>
      <c r="F451" s="90"/>
      <c r="H451" s="115"/>
      <c r="I451" s="26"/>
      <c r="J451" s="98"/>
      <c r="K451" s="36"/>
      <c r="L451" s="26"/>
      <c r="M451" s="26"/>
      <c r="N451" s="26"/>
      <c r="O451" s="93"/>
      <c r="P451" s="95"/>
      <c r="Q451" s="196"/>
    </row>
    <row r="452" spans="3:17" x14ac:dyDescent="0.25">
      <c r="C452" s="198"/>
      <c r="D452" s="111"/>
      <c r="E452" s="33"/>
      <c r="F452" s="90"/>
      <c r="H452" s="115"/>
      <c r="I452" s="26"/>
      <c r="J452" s="98"/>
      <c r="K452" s="36"/>
      <c r="L452" s="26"/>
      <c r="M452" s="26"/>
      <c r="N452" s="26"/>
      <c r="O452" s="93"/>
      <c r="P452" s="95"/>
      <c r="Q452" s="196"/>
    </row>
    <row r="453" spans="3:17" x14ac:dyDescent="0.25">
      <c r="C453" s="198"/>
      <c r="D453" s="111"/>
      <c r="E453" s="33"/>
      <c r="F453" s="90"/>
      <c r="H453" s="115"/>
      <c r="I453" s="26"/>
      <c r="J453" s="98"/>
      <c r="K453" s="36"/>
      <c r="L453" s="26"/>
      <c r="M453" s="26"/>
      <c r="N453" s="26"/>
      <c r="O453" s="93"/>
      <c r="P453" s="95"/>
      <c r="Q453" s="196"/>
    </row>
    <row r="454" spans="3:17" x14ac:dyDescent="0.25">
      <c r="C454" s="198"/>
      <c r="D454" s="111"/>
      <c r="E454" s="33"/>
      <c r="F454" s="90"/>
      <c r="H454" s="115"/>
      <c r="I454" s="26"/>
      <c r="J454" s="98"/>
      <c r="K454" s="36"/>
      <c r="L454" s="26"/>
      <c r="M454" s="26"/>
      <c r="N454" s="26"/>
      <c r="O454" s="93"/>
      <c r="P454" s="95"/>
      <c r="Q454" s="196"/>
    </row>
    <row r="455" spans="3:17" x14ac:dyDescent="0.25">
      <c r="C455" s="198"/>
      <c r="D455" s="111"/>
      <c r="E455" s="33"/>
      <c r="F455" s="90"/>
      <c r="H455" s="115"/>
      <c r="I455" s="26"/>
      <c r="J455" s="98"/>
      <c r="K455" s="36"/>
      <c r="L455" s="26"/>
      <c r="M455" s="26"/>
      <c r="N455" s="26"/>
      <c r="O455" s="93"/>
      <c r="P455" s="95"/>
      <c r="Q455" s="196"/>
    </row>
    <row r="456" spans="3:17" x14ac:dyDescent="0.25">
      <c r="C456" s="198"/>
      <c r="D456" s="111"/>
      <c r="E456" s="33"/>
      <c r="F456" s="90"/>
      <c r="H456" s="115"/>
      <c r="I456" s="26"/>
      <c r="J456" s="98"/>
      <c r="K456" s="36"/>
      <c r="L456" s="26"/>
      <c r="M456" s="26"/>
      <c r="N456" s="26"/>
      <c r="O456" s="93"/>
      <c r="P456" s="95"/>
      <c r="Q456" s="196"/>
    </row>
    <row r="457" spans="3:17" x14ac:dyDescent="0.25">
      <c r="C457" s="198"/>
      <c r="D457" s="111"/>
      <c r="E457" s="33"/>
      <c r="F457" s="90"/>
      <c r="H457" s="115"/>
      <c r="I457" s="26"/>
      <c r="J457" s="98"/>
      <c r="K457" s="36"/>
      <c r="L457" s="26"/>
      <c r="M457" s="26"/>
      <c r="N457" s="26"/>
      <c r="O457" s="93"/>
      <c r="P457" s="95"/>
      <c r="Q457" s="196"/>
    </row>
    <row r="458" spans="3:17" x14ac:dyDescent="0.25">
      <c r="C458" s="198"/>
      <c r="D458" s="111"/>
      <c r="E458" s="33"/>
      <c r="F458" s="90"/>
      <c r="H458" s="115"/>
      <c r="I458" s="26"/>
      <c r="J458" s="98"/>
      <c r="K458" s="36"/>
      <c r="L458" s="26"/>
      <c r="M458" s="26"/>
      <c r="N458" s="26"/>
      <c r="O458" s="93"/>
      <c r="P458" s="95"/>
      <c r="Q458" s="196"/>
    </row>
    <row r="459" spans="3:17" x14ac:dyDescent="0.25">
      <c r="C459" s="198"/>
      <c r="D459" s="111"/>
      <c r="E459" s="33"/>
      <c r="F459" s="90"/>
      <c r="H459" s="115"/>
      <c r="I459" s="26"/>
      <c r="J459" s="98"/>
      <c r="K459" s="36"/>
      <c r="L459" s="26"/>
      <c r="M459" s="26"/>
      <c r="N459" s="26"/>
      <c r="O459" s="93"/>
      <c r="P459" s="95"/>
      <c r="Q459" s="196"/>
    </row>
    <row r="460" spans="3:17" x14ac:dyDescent="0.25">
      <c r="C460" s="198"/>
      <c r="D460" s="111"/>
      <c r="E460" s="33"/>
      <c r="F460" s="90"/>
      <c r="H460" s="115"/>
      <c r="I460" s="26"/>
      <c r="J460" s="98"/>
      <c r="K460" s="36"/>
      <c r="L460" s="26"/>
      <c r="M460" s="26"/>
      <c r="N460" s="26"/>
      <c r="O460" s="93"/>
      <c r="P460" s="95"/>
      <c r="Q460" s="196"/>
    </row>
    <row r="461" spans="3:17" x14ac:dyDescent="0.25">
      <c r="C461" s="198"/>
      <c r="D461" s="111"/>
      <c r="E461" s="33"/>
      <c r="F461" s="90"/>
      <c r="H461" s="115"/>
      <c r="I461" s="26"/>
      <c r="J461" s="98"/>
      <c r="K461" s="36"/>
      <c r="L461" s="26"/>
      <c r="M461" s="26"/>
      <c r="N461" s="26"/>
      <c r="O461" s="93"/>
      <c r="P461" s="95"/>
      <c r="Q461" s="196"/>
    </row>
    <row r="462" spans="3:17" x14ac:dyDescent="0.25">
      <c r="C462" s="198"/>
      <c r="D462" s="111"/>
      <c r="E462" s="33"/>
      <c r="F462" s="90"/>
      <c r="H462" s="115"/>
      <c r="I462" s="26"/>
      <c r="J462" s="98"/>
      <c r="K462" s="36"/>
      <c r="L462" s="26"/>
      <c r="M462" s="26"/>
      <c r="N462" s="26"/>
      <c r="O462" s="93"/>
      <c r="P462" s="95"/>
      <c r="Q462" s="196"/>
    </row>
    <row r="463" spans="3:17" x14ac:dyDescent="0.25">
      <c r="C463" s="198"/>
      <c r="D463" s="111"/>
      <c r="E463" s="33"/>
      <c r="F463" s="90"/>
      <c r="H463" s="115"/>
      <c r="I463" s="26"/>
      <c r="J463" s="98"/>
      <c r="K463" s="36"/>
      <c r="L463" s="26"/>
      <c r="M463" s="26"/>
      <c r="N463" s="26"/>
      <c r="O463" s="93"/>
      <c r="P463" s="95"/>
      <c r="Q463" s="196"/>
    </row>
    <row r="464" spans="3:17" x14ac:dyDescent="0.25">
      <c r="C464" s="198"/>
      <c r="D464" s="111"/>
      <c r="E464" s="33"/>
      <c r="F464" s="90"/>
      <c r="H464" s="115"/>
      <c r="I464" s="26"/>
      <c r="J464" s="98"/>
      <c r="K464" s="36"/>
      <c r="L464" s="26"/>
      <c r="M464" s="26"/>
      <c r="N464" s="26"/>
      <c r="O464" s="93"/>
      <c r="P464" s="95"/>
      <c r="Q464" s="196"/>
    </row>
    <row r="465" spans="3:17" x14ac:dyDescent="0.25">
      <c r="C465" s="198"/>
      <c r="D465" s="111"/>
      <c r="E465" s="33"/>
      <c r="F465" s="90"/>
      <c r="H465" s="115"/>
      <c r="I465" s="26"/>
      <c r="J465" s="98"/>
      <c r="K465" s="36"/>
      <c r="L465" s="26"/>
      <c r="M465" s="26"/>
      <c r="N465" s="26"/>
      <c r="O465" s="93"/>
      <c r="P465" s="95"/>
      <c r="Q465" s="196"/>
    </row>
    <row r="466" spans="3:17" x14ac:dyDescent="0.25">
      <c r="C466" s="198"/>
      <c r="D466" s="111"/>
      <c r="E466" s="33"/>
      <c r="F466" s="90"/>
      <c r="H466" s="115"/>
      <c r="I466" s="26"/>
      <c r="J466" s="98"/>
      <c r="K466" s="36"/>
      <c r="L466" s="26"/>
      <c r="M466" s="26"/>
      <c r="N466" s="26"/>
      <c r="O466" s="93"/>
      <c r="P466" s="95"/>
      <c r="Q466" s="196"/>
    </row>
    <row r="467" spans="3:17" x14ac:dyDescent="0.25">
      <c r="C467" s="198"/>
      <c r="D467" s="111"/>
      <c r="E467" s="33"/>
      <c r="F467" s="90"/>
      <c r="H467" s="115"/>
      <c r="I467" s="26"/>
      <c r="J467" s="98"/>
      <c r="K467" s="36"/>
      <c r="L467" s="26"/>
      <c r="M467" s="26"/>
      <c r="N467" s="26"/>
      <c r="O467" s="93"/>
      <c r="P467" s="95"/>
      <c r="Q467" s="196"/>
    </row>
    <row r="468" spans="3:17" x14ac:dyDescent="0.25">
      <c r="C468" s="198"/>
      <c r="D468" s="111"/>
      <c r="E468" s="33"/>
      <c r="F468" s="90"/>
      <c r="H468" s="115"/>
      <c r="I468" s="26"/>
      <c r="J468" s="98"/>
      <c r="K468" s="36"/>
      <c r="L468" s="26"/>
      <c r="M468" s="26"/>
      <c r="N468" s="26"/>
      <c r="O468" s="93"/>
      <c r="P468" s="95"/>
      <c r="Q468" s="196"/>
    </row>
    <row r="469" spans="3:17" x14ac:dyDescent="0.25">
      <c r="C469" s="198"/>
      <c r="D469" s="111"/>
      <c r="E469" s="33"/>
      <c r="F469" s="90"/>
      <c r="H469" s="115"/>
      <c r="I469" s="26"/>
      <c r="J469" s="98"/>
      <c r="K469" s="36"/>
      <c r="L469" s="26"/>
      <c r="M469" s="26"/>
      <c r="N469" s="26"/>
      <c r="O469" s="93"/>
      <c r="P469" s="95"/>
      <c r="Q469" s="196"/>
    </row>
    <row r="470" spans="3:17" x14ac:dyDescent="0.25">
      <c r="C470" s="198"/>
      <c r="D470" s="111"/>
      <c r="E470" s="33"/>
      <c r="F470" s="90"/>
      <c r="H470" s="115"/>
      <c r="I470" s="26"/>
      <c r="J470" s="98"/>
      <c r="K470" s="36"/>
      <c r="L470" s="26"/>
      <c r="M470" s="26"/>
      <c r="N470" s="26"/>
      <c r="O470" s="93"/>
      <c r="P470" s="95"/>
      <c r="Q470" s="196"/>
    </row>
    <row r="471" spans="3:17" x14ac:dyDescent="0.25">
      <c r="C471" s="198"/>
      <c r="D471" s="111"/>
      <c r="E471" s="33"/>
      <c r="F471" s="90"/>
      <c r="H471" s="115"/>
      <c r="I471" s="26"/>
      <c r="J471" s="98"/>
      <c r="K471" s="36"/>
      <c r="L471" s="26"/>
      <c r="M471" s="26"/>
      <c r="N471" s="26"/>
      <c r="O471" s="93"/>
      <c r="P471" s="95"/>
      <c r="Q471" s="196"/>
    </row>
    <row r="472" spans="3:17" x14ac:dyDescent="0.25">
      <c r="C472" s="198"/>
      <c r="D472" s="111"/>
      <c r="E472" s="33"/>
      <c r="F472" s="90"/>
      <c r="H472" s="115"/>
      <c r="I472" s="26"/>
      <c r="J472" s="98"/>
      <c r="K472" s="36"/>
      <c r="L472" s="26"/>
      <c r="M472" s="26"/>
      <c r="N472" s="26"/>
      <c r="O472" s="93"/>
      <c r="P472" s="95"/>
      <c r="Q472" s="196"/>
    </row>
    <row r="473" spans="3:17" x14ac:dyDescent="0.25">
      <c r="C473" s="198"/>
      <c r="D473" s="111"/>
      <c r="E473" s="33"/>
      <c r="F473" s="90"/>
      <c r="H473" s="115"/>
      <c r="I473" s="26"/>
      <c r="J473" s="98"/>
      <c r="K473" s="36"/>
      <c r="L473" s="26"/>
      <c r="M473" s="26"/>
      <c r="N473" s="26"/>
      <c r="O473" s="93"/>
      <c r="P473" s="95"/>
      <c r="Q473" s="196"/>
    </row>
    <row r="474" spans="3:17" x14ac:dyDescent="0.25">
      <c r="C474" s="198"/>
      <c r="D474" s="111"/>
      <c r="E474" s="33"/>
      <c r="F474" s="90"/>
      <c r="H474" s="115"/>
      <c r="I474" s="26"/>
      <c r="J474" s="98"/>
      <c r="K474" s="36"/>
      <c r="L474" s="26"/>
      <c r="M474" s="26"/>
      <c r="N474" s="26"/>
      <c r="O474" s="93"/>
      <c r="P474" s="95"/>
      <c r="Q474" s="196"/>
    </row>
    <row r="475" spans="3:17" x14ac:dyDescent="0.25">
      <c r="C475" s="198"/>
      <c r="D475" s="111"/>
      <c r="E475" s="33"/>
      <c r="F475" s="90"/>
      <c r="H475" s="115"/>
      <c r="I475" s="26"/>
      <c r="J475" s="98"/>
      <c r="K475" s="36"/>
      <c r="L475" s="26"/>
      <c r="M475" s="26"/>
      <c r="N475" s="26"/>
      <c r="O475" s="93"/>
      <c r="P475" s="95"/>
      <c r="Q475" s="196"/>
    </row>
    <row r="476" spans="3:17" x14ac:dyDescent="0.25">
      <c r="C476" s="198"/>
      <c r="D476" s="111"/>
      <c r="E476" s="33"/>
      <c r="F476" s="90"/>
      <c r="H476" s="115"/>
      <c r="I476" s="26"/>
      <c r="J476" s="98"/>
      <c r="K476" s="36"/>
      <c r="L476" s="26"/>
      <c r="M476" s="26"/>
      <c r="N476" s="26"/>
      <c r="O476" s="93"/>
      <c r="P476" s="95"/>
      <c r="Q476" s="196"/>
    </row>
    <row r="477" spans="3:17" x14ac:dyDescent="0.25">
      <c r="C477" s="198"/>
      <c r="D477" s="111"/>
      <c r="E477" s="33"/>
      <c r="F477" s="90"/>
      <c r="H477" s="115"/>
      <c r="I477" s="26"/>
      <c r="J477" s="98"/>
      <c r="K477" s="36"/>
      <c r="L477" s="26"/>
      <c r="M477" s="26"/>
      <c r="N477" s="26"/>
      <c r="O477" s="93"/>
      <c r="P477" s="95"/>
      <c r="Q477" s="196"/>
    </row>
    <row r="478" spans="3:17" x14ac:dyDescent="0.25">
      <c r="C478" s="198"/>
      <c r="D478" s="111"/>
      <c r="E478" s="33"/>
      <c r="F478" s="90"/>
      <c r="H478" s="115"/>
      <c r="I478" s="26"/>
      <c r="J478" s="98"/>
      <c r="K478" s="36"/>
      <c r="L478" s="26"/>
      <c r="M478" s="26"/>
      <c r="N478" s="26"/>
      <c r="O478" s="93"/>
      <c r="P478" s="95"/>
      <c r="Q478" s="196"/>
    </row>
    <row r="479" spans="3:17" x14ac:dyDescent="0.25">
      <c r="C479" s="198"/>
      <c r="D479" s="111"/>
      <c r="E479" s="33"/>
      <c r="F479" s="90"/>
      <c r="H479" s="115"/>
      <c r="I479" s="26"/>
      <c r="J479" s="98"/>
      <c r="K479" s="36"/>
      <c r="L479" s="26"/>
      <c r="M479" s="26"/>
      <c r="N479" s="26"/>
      <c r="O479" s="93"/>
      <c r="P479" s="95"/>
      <c r="Q479" s="196"/>
    </row>
    <row r="480" spans="3:17" x14ac:dyDescent="0.25">
      <c r="C480" s="198"/>
      <c r="D480" s="111"/>
      <c r="E480" s="33"/>
      <c r="F480" s="90"/>
      <c r="H480" s="115"/>
      <c r="I480" s="26"/>
      <c r="J480" s="98"/>
      <c r="K480" s="36"/>
      <c r="L480" s="26"/>
      <c r="M480" s="26"/>
      <c r="N480" s="26"/>
      <c r="O480" s="93"/>
      <c r="P480" s="95"/>
      <c r="Q480" s="196"/>
    </row>
    <row r="481" spans="3:17" x14ac:dyDescent="0.25">
      <c r="C481" s="198"/>
      <c r="D481" s="111"/>
      <c r="E481" s="33"/>
      <c r="F481" s="90"/>
      <c r="H481" s="115"/>
      <c r="I481" s="26"/>
      <c r="J481" s="98"/>
      <c r="K481" s="36"/>
      <c r="L481" s="26"/>
      <c r="M481" s="26"/>
      <c r="N481" s="26"/>
      <c r="O481" s="93"/>
      <c r="P481" s="95"/>
      <c r="Q481" s="196"/>
    </row>
    <row r="482" spans="3:17" x14ac:dyDescent="0.25">
      <c r="C482" s="198"/>
      <c r="D482" s="111"/>
      <c r="E482" s="33"/>
      <c r="F482" s="90"/>
      <c r="H482" s="115"/>
      <c r="I482" s="26"/>
      <c r="J482" s="98"/>
      <c r="K482" s="36"/>
      <c r="L482" s="26"/>
      <c r="M482" s="26"/>
      <c r="N482" s="26"/>
      <c r="O482" s="93"/>
      <c r="P482" s="95"/>
      <c r="Q482" s="196"/>
    </row>
    <row r="483" spans="3:17" x14ac:dyDescent="0.25">
      <c r="C483" s="198"/>
      <c r="D483" s="111"/>
      <c r="E483" s="33"/>
      <c r="F483" s="90"/>
      <c r="H483" s="115"/>
      <c r="I483" s="26"/>
      <c r="J483" s="98"/>
      <c r="K483" s="36"/>
      <c r="L483" s="26"/>
      <c r="M483" s="26"/>
      <c r="N483" s="26"/>
      <c r="O483" s="93"/>
      <c r="P483" s="95"/>
      <c r="Q483" s="196"/>
    </row>
    <row r="484" spans="3:17" x14ac:dyDescent="0.25">
      <c r="C484" s="198"/>
      <c r="D484" s="111"/>
      <c r="E484" s="33"/>
      <c r="F484" s="90"/>
      <c r="H484" s="115"/>
      <c r="I484" s="26"/>
      <c r="J484" s="98"/>
      <c r="K484" s="36"/>
      <c r="L484" s="26"/>
      <c r="M484" s="26"/>
      <c r="N484" s="26"/>
      <c r="O484" s="93"/>
      <c r="P484" s="95"/>
      <c r="Q484" s="196"/>
    </row>
    <row r="485" spans="3:17" x14ac:dyDescent="0.25">
      <c r="C485" s="198"/>
      <c r="D485" s="111"/>
      <c r="E485" s="33"/>
      <c r="F485" s="90"/>
      <c r="H485" s="115"/>
      <c r="I485" s="26"/>
      <c r="J485" s="98"/>
      <c r="K485" s="36"/>
      <c r="L485" s="26"/>
      <c r="M485" s="26"/>
      <c r="N485" s="26"/>
      <c r="O485" s="93"/>
      <c r="P485" s="95"/>
      <c r="Q485" s="196"/>
    </row>
    <row r="486" spans="3:17" x14ac:dyDescent="0.25">
      <c r="C486" s="198"/>
      <c r="D486" s="111"/>
      <c r="E486" s="33"/>
      <c r="F486" s="90"/>
      <c r="H486" s="115"/>
      <c r="I486" s="26"/>
      <c r="J486" s="98"/>
      <c r="K486" s="36"/>
      <c r="L486" s="26"/>
      <c r="M486" s="26"/>
      <c r="N486" s="26"/>
      <c r="O486" s="93"/>
      <c r="P486" s="95"/>
      <c r="Q486" s="196"/>
    </row>
    <row r="487" spans="3:17" x14ac:dyDescent="0.25">
      <c r="C487" s="198"/>
      <c r="D487" s="111"/>
      <c r="E487" s="33"/>
      <c r="F487" s="90"/>
      <c r="H487" s="115"/>
      <c r="I487" s="26"/>
      <c r="J487" s="98"/>
      <c r="K487" s="36"/>
      <c r="L487" s="26"/>
      <c r="M487" s="26"/>
      <c r="N487" s="26"/>
      <c r="O487" s="93"/>
      <c r="P487" s="95"/>
      <c r="Q487" s="196"/>
    </row>
    <row r="488" spans="3:17" x14ac:dyDescent="0.25">
      <c r="C488" s="198"/>
      <c r="D488" s="111"/>
      <c r="E488" s="33"/>
      <c r="F488" s="90"/>
      <c r="H488" s="115"/>
      <c r="I488" s="26"/>
      <c r="J488" s="98"/>
      <c r="K488" s="36"/>
      <c r="L488" s="26"/>
      <c r="M488" s="26"/>
      <c r="N488" s="26"/>
      <c r="O488" s="93"/>
      <c r="P488" s="95"/>
      <c r="Q488" s="196"/>
    </row>
    <row r="489" spans="3:17" x14ac:dyDescent="0.25">
      <c r="C489" s="198"/>
      <c r="D489" s="111"/>
      <c r="E489" s="33"/>
      <c r="F489" s="90"/>
      <c r="H489" s="115"/>
      <c r="I489" s="26"/>
      <c r="J489" s="98"/>
      <c r="K489" s="36"/>
      <c r="L489" s="26"/>
      <c r="M489" s="26"/>
      <c r="N489" s="26"/>
      <c r="O489" s="93"/>
      <c r="P489" s="95"/>
      <c r="Q489" s="196"/>
    </row>
    <row r="490" spans="3:17" x14ac:dyDescent="0.25">
      <c r="C490" s="198"/>
      <c r="D490" s="111"/>
      <c r="E490" s="33"/>
      <c r="F490" s="90"/>
      <c r="H490" s="115"/>
      <c r="I490" s="26"/>
      <c r="J490" s="98"/>
      <c r="K490" s="36"/>
      <c r="L490" s="26"/>
      <c r="M490" s="26"/>
      <c r="N490" s="26"/>
      <c r="O490" s="93"/>
      <c r="P490" s="95"/>
      <c r="Q490" s="196"/>
    </row>
    <row r="491" spans="3:17" x14ac:dyDescent="0.25">
      <c r="C491" s="198"/>
      <c r="D491" s="111"/>
      <c r="E491" s="33"/>
      <c r="F491" s="90"/>
      <c r="H491" s="115"/>
      <c r="I491" s="26"/>
      <c r="J491" s="98"/>
      <c r="K491" s="36"/>
      <c r="L491" s="26"/>
      <c r="M491" s="26"/>
      <c r="N491" s="26"/>
      <c r="O491" s="93"/>
      <c r="P491" s="95"/>
      <c r="Q491" s="196"/>
    </row>
    <row r="492" spans="3:17" x14ac:dyDescent="0.25">
      <c r="C492" s="198"/>
      <c r="D492" s="111"/>
      <c r="E492" s="33"/>
      <c r="F492" s="90"/>
      <c r="H492" s="115"/>
      <c r="I492" s="26"/>
      <c r="J492" s="98"/>
      <c r="K492" s="36"/>
      <c r="L492" s="26"/>
      <c r="M492" s="26"/>
      <c r="N492" s="26"/>
      <c r="O492" s="93"/>
      <c r="P492" s="95"/>
      <c r="Q492" s="196"/>
    </row>
    <row r="493" spans="3:17" x14ac:dyDescent="0.25">
      <c r="C493" s="198"/>
      <c r="D493" s="111"/>
      <c r="E493" s="33"/>
      <c r="F493" s="90"/>
      <c r="H493" s="115"/>
      <c r="I493" s="26"/>
      <c r="J493" s="98"/>
      <c r="K493" s="36"/>
      <c r="L493" s="26"/>
      <c r="M493" s="26"/>
      <c r="N493" s="26"/>
      <c r="O493" s="93"/>
      <c r="P493" s="95"/>
      <c r="Q493" s="196"/>
    </row>
    <row r="494" spans="3:17" x14ac:dyDescent="0.25">
      <c r="C494" s="198"/>
      <c r="D494" s="111"/>
      <c r="E494" s="33"/>
      <c r="F494" s="90"/>
      <c r="H494" s="115"/>
      <c r="I494" s="26"/>
      <c r="J494" s="98"/>
      <c r="K494" s="36"/>
      <c r="L494" s="26"/>
      <c r="M494" s="26"/>
      <c r="N494" s="26"/>
      <c r="O494" s="93"/>
      <c r="P494" s="95"/>
      <c r="Q494" s="196"/>
    </row>
    <row r="495" spans="3:17" x14ac:dyDescent="0.25">
      <c r="C495" s="198"/>
      <c r="D495" s="111"/>
      <c r="E495" s="33"/>
      <c r="F495" s="90"/>
      <c r="H495" s="115"/>
      <c r="I495" s="26"/>
      <c r="J495" s="98"/>
      <c r="K495" s="36"/>
      <c r="L495" s="26"/>
      <c r="M495" s="26"/>
      <c r="N495" s="26"/>
      <c r="O495" s="93"/>
      <c r="P495" s="95"/>
      <c r="Q495" s="196"/>
    </row>
    <row r="496" spans="3:17" x14ac:dyDescent="0.25">
      <c r="C496" s="198"/>
      <c r="D496" s="111"/>
      <c r="E496" s="33"/>
      <c r="F496" s="90"/>
      <c r="H496" s="115"/>
      <c r="I496" s="26"/>
      <c r="J496" s="98"/>
      <c r="K496" s="36"/>
      <c r="L496" s="26"/>
      <c r="M496" s="26"/>
      <c r="N496" s="26"/>
      <c r="O496" s="93"/>
      <c r="P496" s="95"/>
      <c r="Q496" s="196"/>
    </row>
    <row r="497" spans="3:17" x14ac:dyDescent="0.25">
      <c r="C497" s="198"/>
      <c r="D497" s="111"/>
      <c r="E497" s="33"/>
      <c r="F497" s="90"/>
      <c r="H497" s="115"/>
      <c r="I497" s="26"/>
      <c r="J497" s="98"/>
      <c r="K497" s="36"/>
      <c r="L497" s="26"/>
      <c r="M497" s="26"/>
      <c r="N497" s="26"/>
      <c r="O497" s="93"/>
      <c r="P497" s="95"/>
      <c r="Q497" s="196"/>
    </row>
    <row r="498" spans="3:17" x14ac:dyDescent="0.25">
      <c r="C498" s="198"/>
      <c r="D498" s="111"/>
      <c r="E498" s="33"/>
      <c r="F498" s="90"/>
      <c r="H498" s="115"/>
      <c r="I498" s="26"/>
      <c r="J498" s="98"/>
      <c r="K498" s="36"/>
      <c r="L498" s="26"/>
      <c r="M498" s="26"/>
      <c r="N498" s="26"/>
      <c r="O498" s="93"/>
      <c r="P498" s="95"/>
      <c r="Q498" s="196"/>
    </row>
    <row r="499" spans="3:17" x14ac:dyDescent="0.25">
      <c r="C499" s="198"/>
      <c r="D499" s="111"/>
      <c r="E499" s="33"/>
      <c r="F499" s="90"/>
      <c r="H499" s="115"/>
      <c r="I499" s="26"/>
      <c r="J499" s="98"/>
      <c r="K499" s="36"/>
      <c r="L499" s="26"/>
      <c r="M499" s="26"/>
      <c r="N499" s="26"/>
      <c r="O499" s="93"/>
      <c r="P499" s="95"/>
      <c r="Q499" s="196"/>
    </row>
    <row r="500" spans="3:17" x14ac:dyDescent="0.25">
      <c r="C500" s="198"/>
      <c r="D500" s="111"/>
      <c r="E500" s="33"/>
      <c r="F500" s="90"/>
      <c r="H500" s="115"/>
      <c r="I500" s="26"/>
      <c r="J500" s="98"/>
      <c r="K500" s="36"/>
      <c r="L500" s="26"/>
      <c r="M500" s="26"/>
      <c r="N500" s="26"/>
      <c r="O500" s="93"/>
      <c r="P500" s="95"/>
      <c r="Q500" s="196"/>
    </row>
    <row r="501" spans="3:17" x14ac:dyDescent="0.25">
      <c r="C501" s="198"/>
      <c r="D501" s="111"/>
      <c r="E501" s="33"/>
      <c r="F501" s="90"/>
      <c r="H501" s="115"/>
      <c r="I501" s="26"/>
      <c r="J501" s="98"/>
      <c r="K501" s="36"/>
      <c r="L501" s="26"/>
      <c r="M501" s="26"/>
      <c r="N501" s="26"/>
      <c r="O501" s="93"/>
      <c r="P501" s="95"/>
      <c r="Q501" s="196"/>
    </row>
    <row r="502" spans="3:17" x14ac:dyDescent="0.25">
      <c r="C502" s="198"/>
      <c r="D502" s="111"/>
      <c r="E502" s="33"/>
      <c r="F502" s="90"/>
      <c r="H502" s="115"/>
      <c r="I502" s="26"/>
      <c r="J502" s="98"/>
      <c r="K502" s="36"/>
      <c r="L502" s="26"/>
      <c r="M502" s="26"/>
      <c r="N502" s="26"/>
      <c r="O502" s="93"/>
      <c r="P502" s="95"/>
      <c r="Q502" s="196"/>
    </row>
    <row r="503" spans="3:17" x14ac:dyDescent="0.25">
      <c r="C503" s="198"/>
      <c r="D503" s="111"/>
      <c r="E503" s="33"/>
      <c r="F503" s="90"/>
      <c r="H503" s="115"/>
      <c r="I503" s="26"/>
      <c r="J503" s="98"/>
      <c r="K503" s="36"/>
      <c r="L503" s="26"/>
      <c r="M503" s="26"/>
      <c r="N503" s="26"/>
      <c r="O503" s="93"/>
      <c r="P503" s="95"/>
      <c r="Q503" s="196"/>
    </row>
    <row r="504" spans="3:17" x14ac:dyDescent="0.25">
      <c r="C504" s="198"/>
      <c r="D504" s="111"/>
      <c r="E504" s="33"/>
      <c r="F504" s="90"/>
      <c r="H504" s="115"/>
      <c r="I504" s="26"/>
      <c r="J504" s="98"/>
      <c r="K504" s="36"/>
      <c r="L504" s="26"/>
      <c r="M504" s="26"/>
      <c r="N504" s="26"/>
      <c r="O504" s="93"/>
      <c r="P504" s="95"/>
      <c r="Q504" s="196"/>
    </row>
    <row r="505" spans="3:17" x14ac:dyDescent="0.25">
      <c r="C505" s="198"/>
      <c r="D505" s="111"/>
      <c r="E505" s="33"/>
      <c r="F505" s="90"/>
      <c r="H505" s="115"/>
      <c r="I505" s="26"/>
      <c r="J505" s="98"/>
      <c r="K505" s="36"/>
      <c r="L505" s="26"/>
      <c r="M505" s="26"/>
      <c r="N505" s="26"/>
      <c r="O505" s="93"/>
      <c r="P505" s="95"/>
      <c r="Q505" s="196"/>
    </row>
    <row r="506" spans="3:17" x14ac:dyDescent="0.25">
      <c r="C506" s="198"/>
      <c r="D506" s="111"/>
      <c r="E506" s="33"/>
      <c r="F506" s="90"/>
      <c r="H506" s="115"/>
      <c r="I506" s="26"/>
      <c r="J506" s="98"/>
      <c r="K506" s="36"/>
      <c r="L506" s="26"/>
      <c r="M506" s="26"/>
      <c r="N506" s="26"/>
      <c r="O506" s="93"/>
      <c r="P506" s="95"/>
      <c r="Q506" s="196"/>
    </row>
    <row r="507" spans="3:17" x14ac:dyDescent="0.25">
      <c r="C507" s="198"/>
      <c r="D507" s="111"/>
      <c r="E507" s="33"/>
      <c r="F507" s="90"/>
      <c r="H507" s="115"/>
      <c r="I507" s="26"/>
      <c r="J507" s="98"/>
      <c r="K507" s="36"/>
      <c r="L507" s="26"/>
      <c r="M507" s="26"/>
      <c r="N507" s="26"/>
      <c r="O507" s="93"/>
      <c r="P507" s="95"/>
      <c r="Q507" s="196"/>
    </row>
    <row r="508" spans="3:17" x14ac:dyDescent="0.25">
      <c r="C508" s="198"/>
      <c r="D508" s="111"/>
      <c r="E508" s="33"/>
      <c r="F508" s="90"/>
      <c r="H508" s="115"/>
      <c r="I508" s="26"/>
      <c r="J508" s="98"/>
      <c r="K508" s="36"/>
      <c r="L508" s="26"/>
      <c r="M508" s="26"/>
      <c r="N508" s="26"/>
      <c r="O508" s="93"/>
      <c r="P508" s="95"/>
      <c r="Q508" s="196"/>
    </row>
    <row r="509" spans="3:17" x14ac:dyDescent="0.25">
      <c r="C509" s="198"/>
      <c r="D509" s="111"/>
      <c r="E509" s="33"/>
      <c r="F509" s="90"/>
      <c r="H509" s="115"/>
      <c r="I509" s="26"/>
      <c r="J509" s="98"/>
      <c r="K509" s="36"/>
      <c r="L509" s="26"/>
      <c r="M509" s="26"/>
      <c r="N509" s="26"/>
      <c r="O509" s="93"/>
      <c r="P509" s="95"/>
      <c r="Q509" s="196"/>
    </row>
    <row r="510" spans="3:17" x14ac:dyDescent="0.25">
      <c r="C510" s="198"/>
      <c r="D510" s="111"/>
      <c r="E510" s="33"/>
      <c r="F510" s="90"/>
      <c r="H510" s="115"/>
      <c r="I510" s="26"/>
      <c r="J510" s="98"/>
      <c r="K510" s="36"/>
      <c r="L510" s="26"/>
      <c r="M510" s="26"/>
      <c r="N510" s="26"/>
      <c r="O510" s="93"/>
      <c r="P510" s="95"/>
      <c r="Q510" s="196"/>
    </row>
    <row r="511" spans="3:17" x14ac:dyDescent="0.25">
      <c r="C511" s="198"/>
      <c r="D511" s="111"/>
      <c r="E511" s="33"/>
      <c r="F511" s="90"/>
      <c r="H511" s="115"/>
      <c r="I511" s="26"/>
      <c r="J511" s="98"/>
      <c r="K511" s="36"/>
      <c r="L511" s="26"/>
      <c r="M511" s="26"/>
      <c r="N511" s="26"/>
      <c r="O511" s="93"/>
      <c r="P511" s="95"/>
      <c r="Q511" s="196"/>
    </row>
    <row r="512" spans="3:17" x14ac:dyDescent="0.25">
      <c r="C512" s="198"/>
      <c r="D512" s="111"/>
      <c r="E512" s="33"/>
      <c r="F512" s="90"/>
      <c r="H512" s="115"/>
      <c r="I512" s="26"/>
      <c r="J512" s="98"/>
      <c r="K512" s="36"/>
      <c r="L512" s="26"/>
      <c r="M512" s="26"/>
      <c r="N512" s="26"/>
      <c r="O512" s="93"/>
      <c r="P512" s="95"/>
      <c r="Q512" s="196"/>
    </row>
    <row r="513" spans="3:17" x14ac:dyDescent="0.25">
      <c r="C513" s="198"/>
      <c r="D513" s="111"/>
      <c r="E513" s="33"/>
      <c r="F513" s="90"/>
      <c r="H513" s="115"/>
      <c r="I513" s="26"/>
      <c r="J513" s="98"/>
      <c r="K513" s="36"/>
      <c r="L513" s="26"/>
      <c r="M513" s="26"/>
      <c r="N513" s="26"/>
      <c r="O513" s="93"/>
      <c r="P513" s="95"/>
      <c r="Q513" s="196"/>
    </row>
    <row r="514" spans="3:17" x14ac:dyDescent="0.25">
      <c r="C514" s="198"/>
      <c r="D514" s="111"/>
      <c r="E514" s="33"/>
      <c r="F514" s="90"/>
      <c r="H514" s="115"/>
      <c r="I514" s="26"/>
      <c r="J514" s="98"/>
      <c r="K514" s="36"/>
      <c r="L514" s="26"/>
      <c r="M514" s="26"/>
      <c r="N514" s="26"/>
      <c r="O514" s="93"/>
      <c r="P514" s="95"/>
      <c r="Q514" s="196"/>
    </row>
    <row r="515" spans="3:17" x14ac:dyDescent="0.25">
      <c r="C515" s="198"/>
      <c r="D515" s="111"/>
      <c r="E515" s="33"/>
      <c r="F515" s="90"/>
      <c r="H515" s="115"/>
      <c r="I515" s="26"/>
      <c r="J515" s="98"/>
      <c r="K515" s="36"/>
      <c r="L515" s="26"/>
      <c r="M515" s="26"/>
      <c r="N515" s="26"/>
      <c r="O515" s="93"/>
      <c r="P515" s="95"/>
      <c r="Q515" s="196"/>
    </row>
    <row r="516" spans="3:17" x14ac:dyDescent="0.25">
      <c r="C516" s="198"/>
      <c r="D516" s="111"/>
      <c r="E516" s="33"/>
      <c r="F516" s="90"/>
      <c r="H516" s="115"/>
      <c r="I516" s="26"/>
      <c r="J516" s="98"/>
      <c r="K516" s="36"/>
      <c r="L516" s="26"/>
      <c r="M516" s="26"/>
      <c r="N516" s="26"/>
      <c r="O516" s="93"/>
      <c r="P516" s="95"/>
      <c r="Q516" s="196"/>
    </row>
    <row r="517" spans="3:17" x14ac:dyDescent="0.25">
      <c r="C517" s="198"/>
      <c r="D517" s="111"/>
      <c r="E517" s="33"/>
      <c r="F517" s="90"/>
      <c r="H517" s="115"/>
      <c r="I517" s="26"/>
      <c r="J517" s="98"/>
      <c r="K517" s="36"/>
      <c r="L517" s="26"/>
      <c r="M517" s="26"/>
      <c r="N517" s="26"/>
      <c r="O517" s="93"/>
      <c r="P517" s="95"/>
      <c r="Q517" s="196"/>
    </row>
    <row r="518" spans="3:17" x14ac:dyDescent="0.25">
      <c r="C518" s="198"/>
      <c r="D518" s="111"/>
      <c r="E518" s="33"/>
      <c r="F518" s="90"/>
      <c r="H518" s="115"/>
      <c r="I518" s="26"/>
      <c r="J518" s="98"/>
      <c r="K518" s="36"/>
      <c r="L518" s="26"/>
      <c r="M518" s="26"/>
      <c r="N518" s="26"/>
      <c r="O518" s="93"/>
      <c r="P518" s="95"/>
      <c r="Q518" s="196"/>
    </row>
    <row r="519" spans="3:17" x14ac:dyDescent="0.25">
      <c r="C519" s="198"/>
      <c r="D519" s="111"/>
      <c r="E519" s="33"/>
      <c r="F519" s="90"/>
      <c r="H519" s="115"/>
      <c r="I519" s="26"/>
      <c r="J519" s="98"/>
      <c r="K519" s="36"/>
      <c r="L519" s="26"/>
      <c r="M519" s="26"/>
      <c r="N519" s="26"/>
      <c r="O519" s="93"/>
      <c r="P519" s="95"/>
      <c r="Q519" s="196"/>
    </row>
    <row r="520" spans="3:17" x14ac:dyDescent="0.25">
      <c r="C520" s="198"/>
      <c r="D520" s="111"/>
      <c r="E520" s="33"/>
      <c r="F520" s="90"/>
      <c r="H520" s="115"/>
      <c r="I520" s="26"/>
      <c r="J520" s="98"/>
      <c r="K520" s="36"/>
      <c r="L520" s="26"/>
      <c r="M520" s="26"/>
      <c r="N520" s="26"/>
      <c r="O520" s="93"/>
      <c r="P520" s="95"/>
      <c r="Q520" s="196"/>
    </row>
    <row r="521" spans="3:17" x14ac:dyDescent="0.25">
      <c r="C521" s="198"/>
      <c r="D521" s="111"/>
      <c r="E521" s="33"/>
      <c r="F521" s="90"/>
      <c r="H521" s="115"/>
      <c r="I521" s="26"/>
      <c r="J521" s="98"/>
      <c r="K521" s="36"/>
      <c r="L521" s="26"/>
      <c r="M521" s="26"/>
      <c r="N521" s="26"/>
      <c r="O521" s="93"/>
      <c r="P521" s="95"/>
      <c r="Q521" s="196"/>
    </row>
    <row r="522" spans="3:17" x14ac:dyDescent="0.25">
      <c r="C522" s="198"/>
      <c r="D522" s="111"/>
      <c r="E522" s="33"/>
      <c r="F522" s="90"/>
      <c r="H522" s="115"/>
      <c r="I522" s="26"/>
      <c r="J522" s="98"/>
      <c r="K522" s="36"/>
      <c r="L522" s="26"/>
      <c r="M522" s="26"/>
      <c r="N522" s="26"/>
      <c r="O522" s="93"/>
      <c r="P522" s="95"/>
      <c r="Q522" s="196"/>
    </row>
    <row r="523" spans="3:17" x14ac:dyDescent="0.25">
      <c r="C523" s="198"/>
      <c r="D523" s="111"/>
      <c r="E523" s="33"/>
      <c r="F523" s="90"/>
      <c r="H523" s="115"/>
      <c r="I523" s="26"/>
      <c r="J523" s="98"/>
      <c r="K523" s="36"/>
      <c r="L523" s="26"/>
      <c r="M523" s="26"/>
      <c r="N523" s="26"/>
      <c r="O523" s="93"/>
      <c r="P523" s="95"/>
      <c r="Q523" s="196"/>
    </row>
    <row r="524" spans="3:17" x14ac:dyDescent="0.25">
      <c r="C524" s="198"/>
      <c r="D524" s="111"/>
      <c r="E524" s="33"/>
      <c r="F524" s="90"/>
      <c r="H524" s="115"/>
      <c r="I524" s="26"/>
      <c r="J524" s="98"/>
      <c r="K524" s="36"/>
      <c r="L524" s="26"/>
      <c r="M524" s="26"/>
      <c r="N524" s="26"/>
      <c r="O524" s="93"/>
      <c r="P524" s="95"/>
      <c r="Q524" s="196"/>
    </row>
    <row r="525" spans="3:17" x14ac:dyDescent="0.25">
      <c r="C525" s="198"/>
      <c r="D525" s="111"/>
      <c r="E525" s="33"/>
      <c r="F525" s="90"/>
      <c r="H525" s="115"/>
      <c r="I525" s="26"/>
      <c r="J525" s="98"/>
      <c r="K525" s="36"/>
      <c r="L525" s="26"/>
      <c r="M525" s="26"/>
      <c r="N525" s="26"/>
      <c r="O525" s="93"/>
      <c r="P525" s="95"/>
      <c r="Q525" s="196"/>
    </row>
    <row r="526" spans="3:17" x14ac:dyDescent="0.25">
      <c r="C526" s="198"/>
      <c r="D526" s="111"/>
      <c r="E526" s="33"/>
      <c r="F526" s="90"/>
      <c r="H526" s="115"/>
      <c r="I526" s="26"/>
      <c r="J526" s="98"/>
      <c r="K526" s="36"/>
      <c r="L526" s="26"/>
      <c r="M526" s="26"/>
      <c r="N526" s="26"/>
      <c r="O526" s="93"/>
      <c r="P526" s="95"/>
      <c r="Q526" s="196"/>
    </row>
    <row r="527" spans="3:17" x14ac:dyDescent="0.25">
      <c r="C527" s="198"/>
      <c r="D527" s="111"/>
      <c r="E527" s="33"/>
      <c r="F527" s="90"/>
      <c r="H527" s="115"/>
      <c r="I527" s="26"/>
      <c r="J527" s="98"/>
      <c r="K527" s="36"/>
      <c r="L527" s="26"/>
      <c r="M527" s="26"/>
      <c r="N527" s="26"/>
      <c r="O527" s="93"/>
      <c r="P527" s="95"/>
      <c r="Q527" s="196"/>
    </row>
    <row r="528" spans="3:17" x14ac:dyDescent="0.25">
      <c r="C528" s="198"/>
      <c r="D528" s="111"/>
      <c r="E528" s="33"/>
      <c r="F528" s="90"/>
      <c r="H528" s="115"/>
      <c r="I528" s="26"/>
      <c r="J528" s="98"/>
      <c r="K528" s="36"/>
      <c r="L528" s="26"/>
      <c r="M528" s="26"/>
      <c r="N528" s="26"/>
      <c r="O528" s="93"/>
      <c r="P528" s="95"/>
      <c r="Q528" s="196"/>
    </row>
    <row r="529" spans="3:17" x14ac:dyDescent="0.25">
      <c r="C529" s="198"/>
      <c r="D529" s="111"/>
      <c r="E529" s="33"/>
      <c r="F529" s="90"/>
      <c r="H529" s="115"/>
      <c r="I529" s="26"/>
      <c r="J529" s="98"/>
      <c r="K529" s="36"/>
      <c r="L529" s="26"/>
      <c r="M529" s="26"/>
      <c r="N529" s="26"/>
      <c r="O529" s="93"/>
      <c r="P529" s="95"/>
      <c r="Q529" s="196"/>
    </row>
    <row r="530" spans="3:17" x14ac:dyDescent="0.25">
      <c r="C530" s="198"/>
      <c r="D530" s="111"/>
      <c r="E530" s="33"/>
      <c r="F530" s="90"/>
      <c r="H530" s="115"/>
      <c r="I530" s="26"/>
      <c r="J530" s="98"/>
      <c r="K530" s="36"/>
      <c r="L530" s="26"/>
      <c r="M530" s="26"/>
      <c r="N530" s="26"/>
      <c r="O530" s="93"/>
      <c r="P530" s="95"/>
      <c r="Q530" s="196"/>
    </row>
    <row r="531" spans="3:17" x14ac:dyDescent="0.25">
      <c r="C531" s="198"/>
      <c r="D531" s="111"/>
      <c r="E531" s="33"/>
      <c r="F531" s="90"/>
      <c r="H531" s="115"/>
      <c r="I531" s="26"/>
      <c r="J531" s="98"/>
      <c r="K531" s="36"/>
      <c r="L531" s="26"/>
      <c r="M531" s="26"/>
      <c r="N531" s="26"/>
      <c r="O531" s="93"/>
      <c r="P531" s="95"/>
      <c r="Q531" s="196"/>
    </row>
    <row r="532" spans="3:17" x14ac:dyDescent="0.25">
      <c r="C532" s="198"/>
      <c r="D532" s="111"/>
      <c r="E532" s="33"/>
      <c r="F532" s="90"/>
      <c r="H532" s="115"/>
      <c r="I532" s="26"/>
      <c r="J532" s="98"/>
      <c r="K532" s="36"/>
      <c r="L532" s="26"/>
      <c r="M532" s="26"/>
      <c r="N532" s="26"/>
      <c r="O532" s="93"/>
      <c r="P532" s="95"/>
      <c r="Q532" s="196"/>
    </row>
    <row r="533" spans="3:17" x14ac:dyDescent="0.25">
      <c r="C533" s="198"/>
      <c r="D533" s="111"/>
      <c r="E533" s="33"/>
      <c r="F533" s="90"/>
      <c r="H533" s="115"/>
      <c r="I533" s="26"/>
      <c r="J533" s="98"/>
      <c r="K533" s="36"/>
      <c r="L533" s="26"/>
      <c r="M533" s="26"/>
      <c r="N533" s="26"/>
      <c r="O533" s="93"/>
      <c r="P533" s="95"/>
      <c r="Q533" s="196"/>
    </row>
    <row r="534" spans="3:17" x14ac:dyDescent="0.25">
      <c r="C534" s="198"/>
      <c r="D534" s="111"/>
      <c r="E534" s="33"/>
      <c r="F534" s="90"/>
      <c r="H534" s="115"/>
      <c r="I534" s="26"/>
      <c r="J534" s="98"/>
      <c r="K534" s="36"/>
      <c r="L534" s="26"/>
      <c r="M534" s="26"/>
      <c r="N534" s="26"/>
      <c r="O534" s="93"/>
      <c r="P534" s="95"/>
      <c r="Q534" s="196"/>
    </row>
    <row r="535" spans="3:17" x14ac:dyDescent="0.25">
      <c r="C535" s="198"/>
      <c r="D535" s="111"/>
      <c r="E535" s="33"/>
      <c r="F535" s="90"/>
      <c r="H535" s="115"/>
      <c r="I535" s="26"/>
      <c r="J535" s="98"/>
      <c r="K535" s="36"/>
      <c r="L535" s="26"/>
      <c r="M535" s="26"/>
      <c r="N535" s="26"/>
      <c r="O535" s="93"/>
      <c r="P535" s="95"/>
      <c r="Q535" s="196"/>
    </row>
    <row r="536" spans="3:17" x14ac:dyDescent="0.25">
      <c r="C536" s="198"/>
      <c r="D536" s="111"/>
      <c r="E536" s="33"/>
      <c r="F536" s="90"/>
      <c r="H536" s="115"/>
      <c r="I536" s="26"/>
      <c r="J536" s="98"/>
      <c r="K536" s="36"/>
      <c r="L536" s="26"/>
      <c r="M536" s="26"/>
      <c r="N536" s="26"/>
      <c r="O536" s="93"/>
      <c r="P536" s="95"/>
      <c r="Q536" s="196"/>
    </row>
    <row r="537" spans="3:17" x14ac:dyDescent="0.25">
      <c r="C537" s="198"/>
      <c r="D537" s="111"/>
      <c r="E537" s="33"/>
      <c r="F537" s="90"/>
      <c r="H537" s="115"/>
      <c r="I537" s="26"/>
      <c r="J537" s="98"/>
      <c r="K537" s="36"/>
      <c r="L537" s="26"/>
      <c r="M537" s="26"/>
      <c r="N537" s="26"/>
      <c r="O537" s="93"/>
      <c r="P537" s="95"/>
      <c r="Q537" s="196"/>
    </row>
    <row r="538" spans="3:17" x14ac:dyDescent="0.25">
      <c r="C538" s="198"/>
      <c r="D538" s="111"/>
      <c r="E538" s="33"/>
      <c r="F538" s="90"/>
      <c r="H538" s="115"/>
      <c r="I538" s="26"/>
      <c r="J538" s="98"/>
      <c r="K538" s="36"/>
      <c r="L538" s="26"/>
      <c r="M538" s="26"/>
      <c r="N538" s="26"/>
      <c r="O538" s="93"/>
      <c r="P538" s="95"/>
      <c r="Q538" s="196"/>
    </row>
    <row r="539" spans="3:17" x14ac:dyDescent="0.25">
      <c r="C539" s="198"/>
      <c r="D539" s="111"/>
      <c r="E539" s="33"/>
      <c r="F539" s="90"/>
      <c r="H539" s="115"/>
      <c r="I539" s="26"/>
      <c r="J539" s="98"/>
      <c r="K539" s="36"/>
      <c r="L539" s="26"/>
      <c r="M539" s="26"/>
      <c r="N539" s="26"/>
      <c r="O539" s="93"/>
      <c r="P539" s="95"/>
      <c r="Q539" s="196"/>
    </row>
    <row r="540" spans="3:17" x14ac:dyDescent="0.25">
      <c r="C540" s="198"/>
      <c r="D540" s="111"/>
      <c r="E540" s="33"/>
      <c r="F540" s="90"/>
      <c r="H540" s="115"/>
      <c r="I540" s="26"/>
      <c r="J540" s="98"/>
      <c r="K540" s="36"/>
      <c r="L540" s="26"/>
      <c r="M540" s="26"/>
      <c r="N540" s="26"/>
      <c r="O540" s="93"/>
      <c r="P540" s="95"/>
      <c r="Q540" s="196"/>
    </row>
    <row r="541" spans="3:17" x14ac:dyDescent="0.25">
      <c r="C541" s="198"/>
      <c r="D541" s="111"/>
      <c r="E541" s="33"/>
      <c r="F541" s="90"/>
      <c r="H541" s="115"/>
      <c r="I541" s="26"/>
      <c r="J541" s="98"/>
      <c r="K541" s="36"/>
      <c r="L541" s="26"/>
      <c r="M541" s="26"/>
      <c r="N541" s="26"/>
      <c r="O541" s="93"/>
      <c r="P541" s="95"/>
      <c r="Q541" s="196"/>
    </row>
    <row r="542" spans="3:17" x14ac:dyDescent="0.25">
      <c r="C542" s="198"/>
      <c r="D542" s="111"/>
      <c r="E542" s="33"/>
      <c r="F542" s="90"/>
      <c r="H542" s="115"/>
      <c r="I542" s="26"/>
      <c r="J542" s="98"/>
      <c r="K542" s="36"/>
      <c r="L542" s="26"/>
      <c r="M542" s="26"/>
      <c r="N542" s="26"/>
      <c r="O542" s="93"/>
      <c r="P542" s="95"/>
      <c r="Q542" s="196"/>
    </row>
    <row r="543" spans="3:17" x14ac:dyDescent="0.25">
      <c r="C543" s="198"/>
      <c r="D543" s="111"/>
      <c r="E543" s="33"/>
      <c r="F543" s="90"/>
      <c r="H543" s="115"/>
      <c r="I543" s="26"/>
      <c r="J543" s="98"/>
      <c r="K543" s="36"/>
      <c r="L543" s="26"/>
      <c r="M543" s="26"/>
      <c r="N543" s="26"/>
      <c r="O543" s="93"/>
      <c r="P543" s="95"/>
      <c r="Q543" s="196"/>
    </row>
    <row r="544" spans="3:17" x14ac:dyDescent="0.25">
      <c r="C544" s="198"/>
      <c r="D544" s="111"/>
      <c r="E544" s="33"/>
      <c r="F544" s="90"/>
      <c r="H544" s="115"/>
      <c r="I544" s="26"/>
      <c r="J544" s="98"/>
      <c r="K544" s="36"/>
      <c r="L544" s="26"/>
      <c r="M544" s="26"/>
      <c r="N544" s="26"/>
      <c r="O544" s="93"/>
      <c r="P544" s="95"/>
      <c r="Q544" s="196"/>
    </row>
    <row r="545" spans="3:17" x14ac:dyDescent="0.25">
      <c r="C545" s="198"/>
      <c r="D545" s="111"/>
      <c r="E545" s="33"/>
      <c r="F545" s="90"/>
      <c r="H545" s="115"/>
      <c r="I545" s="26"/>
      <c r="J545" s="98"/>
      <c r="K545" s="36"/>
      <c r="L545" s="26"/>
      <c r="M545" s="26"/>
      <c r="N545" s="26"/>
      <c r="O545" s="93"/>
      <c r="P545" s="95"/>
      <c r="Q545" s="196"/>
    </row>
    <row r="546" spans="3:17" x14ac:dyDescent="0.25">
      <c r="C546" s="198"/>
      <c r="D546" s="111"/>
      <c r="E546" s="33"/>
      <c r="F546" s="90"/>
      <c r="H546" s="115"/>
      <c r="I546" s="26"/>
      <c r="J546" s="98"/>
      <c r="K546" s="36"/>
      <c r="L546" s="26"/>
      <c r="M546" s="26"/>
      <c r="N546" s="26"/>
      <c r="O546" s="93"/>
      <c r="P546" s="95"/>
      <c r="Q546" s="196"/>
    </row>
    <row r="547" spans="3:17" x14ac:dyDescent="0.25">
      <c r="C547" s="198"/>
      <c r="D547" s="111"/>
      <c r="E547" s="33"/>
      <c r="F547" s="90"/>
      <c r="H547" s="115"/>
      <c r="I547" s="26"/>
      <c r="J547" s="98"/>
      <c r="K547" s="36"/>
      <c r="L547" s="26"/>
      <c r="M547" s="26"/>
      <c r="N547" s="26"/>
      <c r="O547" s="93"/>
      <c r="P547" s="95"/>
      <c r="Q547" s="196"/>
    </row>
    <row r="548" spans="3:17" x14ac:dyDescent="0.25">
      <c r="C548" s="198"/>
      <c r="D548" s="111"/>
      <c r="E548" s="33"/>
      <c r="F548" s="90"/>
      <c r="H548" s="115"/>
      <c r="I548" s="26"/>
      <c r="J548" s="98"/>
      <c r="K548" s="36"/>
      <c r="L548" s="26"/>
      <c r="M548" s="26"/>
      <c r="N548" s="26"/>
      <c r="O548" s="93"/>
      <c r="P548" s="95"/>
      <c r="Q548" s="196"/>
    </row>
    <row r="549" spans="3:17" x14ac:dyDescent="0.25">
      <c r="C549" s="198"/>
      <c r="D549" s="111"/>
      <c r="E549" s="33"/>
      <c r="F549" s="90"/>
      <c r="H549" s="115"/>
      <c r="I549" s="26"/>
      <c r="J549" s="98"/>
      <c r="K549" s="36"/>
      <c r="L549" s="26"/>
      <c r="M549" s="26"/>
      <c r="N549" s="26"/>
      <c r="O549" s="93"/>
      <c r="P549" s="95"/>
      <c r="Q549" s="196"/>
    </row>
    <row r="550" spans="3:17" x14ac:dyDescent="0.25">
      <c r="C550" s="198"/>
      <c r="D550" s="111"/>
      <c r="E550" s="33"/>
      <c r="F550" s="90"/>
      <c r="H550" s="115"/>
      <c r="I550" s="26"/>
      <c r="J550" s="98"/>
      <c r="K550" s="36"/>
      <c r="L550" s="26"/>
      <c r="M550" s="26"/>
      <c r="N550" s="26"/>
      <c r="O550" s="93"/>
      <c r="P550" s="95"/>
      <c r="Q550" s="196"/>
    </row>
    <row r="551" spans="3:17" x14ac:dyDescent="0.25">
      <c r="C551" s="198"/>
      <c r="D551" s="111"/>
      <c r="E551" s="33"/>
      <c r="F551" s="90"/>
      <c r="H551" s="115"/>
      <c r="I551" s="26"/>
      <c r="J551" s="98"/>
      <c r="K551" s="36"/>
      <c r="L551" s="26"/>
      <c r="M551" s="26"/>
      <c r="N551" s="26"/>
      <c r="O551" s="93"/>
      <c r="P551" s="95"/>
      <c r="Q551" s="196"/>
    </row>
    <row r="552" spans="3:17" x14ac:dyDescent="0.25">
      <c r="C552" s="198"/>
      <c r="D552" s="111"/>
      <c r="E552" s="33"/>
      <c r="F552" s="90"/>
      <c r="H552" s="115"/>
      <c r="I552" s="26"/>
      <c r="J552" s="98"/>
      <c r="K552" s="36"/>
      <c r="L552" s="26"/>
      <c r="M552" s="26"/>
      <c r="N552" s="26"/>
      <c r="O552" s="93"/>
      <c r="P552" s="95"/>
      <c r="Q552" s="196"/>
    </row>
    <row r="553" spans="3:17" x14ac:dyDescent="0.25">
      <c r="C553" s="198"/>
      <c r="D553" s="111"/>
      <c r="E553" s="33"/>
      <c r="F553" s="90"/>
      <c r="H553" s="115"/>
      <c r="I553" s="26"/>
      <c r="J553" s="98"/>
      <c r="K553" s="36"/>
      <c r="L553" s="26"/>
      <c r="M553" s="26"/>
      <c r="N553" s="26"/>
      <c r="O553" s="93"/>
      <c r="P553" s="95"/>
      <c r="Q553" s="196"/>
    </row>
    <row r="554" spans="3:17" x14ac:dyDescent="0.25">
      <c r="C554" s="198"/>
      <c r="D554" s="111"/>
      <c r="E554" s="33"/>
      <c r="F554" s="90"/>
      <c r="H554" s="115"/>
      <c r="I554" s="26"/>
      <c r="J554" s="98"/>
      <c r="K554" s="36"/>
      <c r="L554" s="26"/>
      <c r="M554" s="26"/>
      <c r="N554" s="26"/>
      <c r="O554" s="93"/>
      <c r="P554" s="95"/>
      <c r="Q554" s="196"/>
    </row>
    <row r="555" spans="3:17" x14ac:dyDescent="0.25">
      <c r="C555" s="198"/>
      <c r="D555" s="111"/>
      <c r="E555" s="33"/>
      <c r="F555" s="90"/>
      <c r="H555" s="115"/>
      <c r="I555" s="26"/>
      <c r="J555" s="98"/>
      <c r="K555" s="36"/>
      <c r="L555" s="26"/>
      <c r="M555" s="26"/>
      <c r="N555" s="26"/>
      <c r="O555" s="93"/>
      <c r="P555" s="95"/>
      <c r="Q555" s="196"/>
    </row>
    <row r="556" spans="3:17" x14ac:dyDescent="0.25">
      <c r="C556" s="198"/>
      <c r="D556" s="111"/>
      <c r="E556" s="33"/>
      <c r="F556" s="90"/>
      <c r="H556" s="115"/>
      <c r="I556" s="26"/>
      <c r="J556" s="98"/>
      <c r="K556" s="36"/>
      <c r="L556" s="26"/>
      <c r="M556" s="26"/>
      <c r="N556" s="26"/>
      <c r="O556" s="93"/>
      <c r="P556" s="95"/>
      <c r="Q556" s="196"/>
    </row>
    <row r="557" spans="3:17" x14ac:dyDescent="0.25">
      <c r="C557" s="198"/>
      <c r="D557" s="111"/>
      <c r="E557" s="33"/>
      <c r="F557" s="90"/>
      <c r="H557" s="115"/>
      <c r="I557" s="26"/>
      <c r="J557" s="98"/>
      <c r="K557" s="36"/>
      <c r="L557" s="26"/>
      <c r="M557" s="26"/>
      <c r="N557" s="26"/>
      <c r="O557" s="93"/>
      <c r="P557" s="95"/>
      <c r="Q557" s="196"/>
    </row>
    <row r="558" spans="3:17" x14ac:dyDescent="0.25">
      <c r="C558" s="198"/>
      <c r="D558" s="111"/>
      <c r="E558" s="33"/>
      <c r="F558" s="90"/>
      <c r="H558" s="115"/>
      <c r="I558" s="26"/>
      <c r="J558" s="98"/>
      <c r="K558" s="36"/>
      <c r="L558" s="26"/>
      <c r="M558" s="26"/>
      <c r="N558" s="26"/>
      <c r="O558" s="93"/>
      <c r="P558" s="95"/>
      <c r="Q558" s="196"/>
    </row>
    <row r="559" spans="3:17" x14ac:dyDescent="0.25">
      <c r="C559" s="198"/>
      <c r="D559" s="111"/>
      <c r="E559" s="33"/>
      <c r="F559" s="90"/>
      <c r="H559" s="115"/>
      <c r="I559" s="26"/>
      <c r="J559" s="98"/>
      <c r="K559" s="36"/>
      <c r="L559" s="26"/>
      <c r="M559" s="26"/>
      <c r="N559" s="26"/>
      <c r="O559" s="93"/>
      <c r="P559" s="95"/>
      <c r="Q559" s="196"/>
    </row>
    <row r="560" spans="3:17" x14ac:dyDescent="0.25">
      <c r="C560" s="198"/>
      <c r="D560" s="111"/>
      <c r="E560" s="33"/>
      <c r="F560" s="90"/>
      <c r="H560" s="115"/>
      <c r="I560" s="26"/>
      <c r="J560" s="98"/>
      <c r="K560" s="36"/>
      <c r="L560" s="26"/>
      <c r="M560" s="26"/>
      <c r="N560" s="26"/>
      <c r="O560" s="93"/>
      <c r="P560" s="95"/>
      <c r="Q560" s="196"/>
    </row>
    <row r="561" spans="3:17" x14ac:dyDescent="0.25">
      <c r="C561" s="198"/>
      <c r="D561" s="111"/>
      <c r="E561" s="33"/>
      <c r="F561" s="90"/>
      <c r="H561" s="115"/>
      <c r="I561" s="26"/>
      <c r="J561" s="98"/>
      <c r="K561" s="36"/>
      <c r="L561" s="26"/>
      <c r="M561" s="26"/>
      <c r="N561" s="26"/>
      <c r="O561" s="93"/>
      <c r="P561" s="95"/>
      <c r="Q561" s="196"/>
    </row>
    <row r="562" spans="3:17" x14ac:dyDescent="0.25">
      <c r="C562" s="198"/>
      <c r="D562" s="111"/>
      <c r="E562" s="33"/>
      <c r="F562" s="90"/>
      <c r="H562" s="115"/>
      <c r="I562" s="26"/>
      <c r="J562" s="98"/>
      <c r="K562" s="36"/>
      <c r="L562" s="26"/>
      <c r="M562" s="26"/>
      <c r="N562" s="26"/>
      <c r="O562" s="93"/>
      <c r="P562" s="95"/>
      <c r="Q562" s="196"/>
    </row>
    <row r="563" spans="3:17" x14ac:dyDescent="0.25">
      <c r="C563" s="198"/>
      <c r="D563" s="111"/>
      <c r="E563" s="33"/>
      <c r="F563" s="90"/>
      <c r="H563" s="115"/>
      <c r="I563" s="26"/>
      <c r="J563" s="98"/>
      <c r="K563" s="36"/>
      <c r="L563" s="26"/>
      <c r="M563" s="26"/>
      <c r="N563" s="26"/>
      <c r="O563" s="93"/>
      <c r="P563" s="95"/>
      <c r="Q563" s="196"/>
    </row>
    <row r="564" spans="3:17" x14ac:dyDescent="0.25">
      <c r="C564" s="198"/>
      <c r="D564" s="111"/>
      <c r="E564" s="33"/>
      <c r="F564" s="90"/>
      <c r="H564" s="115"/>
      <c r="I564" s="26"/>
      <c r="J564" s="98"/>
      <c r="K564" s="36"/>
      <c r="L564" s="26"/>
      <c r="M564" s="26"/>
      <c r="N564" s="26"/>
      <c r="O564" s="93"/>
      <c r="P564" s="95"/>
      <c r="Q564" s="196"/>
    </row>
    <row r="565" spans="3:17" x14ac:dyDescent="0.25">
      <c r="C565" s="198"/>
      <c r="D565" s="111"/>
      <c r="E565" s="33"/>
      <c r="F565" s="90"/>
      <c r="H565" s="115"/>
      <c r="I565" s="26"/>
      <c r="J565" s="98"/>
      <c r="K565" s="36"/>
      <c r="L565" s="26"/>
      <c r="M565" s="26"/>
      <c r="N565" s="26"/>
      <c r="O565" s="93"/>
      <c r="P565" s="95"/>
      <c r="Q565" s="196"/>
    </row>
    <row r="566" spans="3:17" x14ac:dyDescent="0.25">
      <c r="C566" s="198"/>
      <c r="D566" s="111"/>
      <c r="E566" s="33"/>
      <c r="F566" s="90"/>
      <c r="H566" s="115"/>
      <c r="I566" s="26"/>
      <c r="J566" s="98"/>
      <c r="K566" s="36"/>
      <c r="L566" s="26"/>
      <c r="M566" s="26"/>
      <c r="N566" s="26"/>
      <c r="O566" s="93"/>
      <c r="P566" s="95"/>
      <c r="Q566" s="196"/>
    </row>
    <row r="567" spans="3:17" x14ac:dyDescent="0.25">
      <c r="C567" s="198"/>
      <c r="D567" s="111"/>
      <c r="E567" s="33"/>
      <c r="F567" s="90"/>
      <c r="H567" s="115"/>
      <c r="I567" s="26"/>
      <c r="J567" s="98"/>
      <c r="K567" s="36"/>
      <c r="L567" s="26"/>
      <c r="M567" s="26"/>
      <c r="N567" s="26"/>
      <c r="O567" s="93"/>
      <c r="P567" s="95"/>
      <c r="Q567" s="196"/>
    </row>
    <row r="568" spans="3:17" x14ac:dyDescent="0.25">
      <c r="C568" s="198"/>
      <c r="D568" s="111"/>
      <c r="E568" s="33"/>
      <c r="F568" s="90"/>
      <c r="H568" s="115"/>
      <c r="I568" s="26"/>
      <c r="J568" s="98"/>
      <c r="K568" s="36"/>
      <c r="L568" s="26"/>
      <c r="M568" s="26"/>
      <c r="N568" s="26"/>
      <c r="O568" s="93"/>
      <c r="P568" s="95"/>
      <c r="Q568" s="196"/>
    </row>
    <row r="569" spans="3:17" x14ac:dyDescent="0.25">
      <c r="C569" s="198"/>
      <c r="D569" s="111"/>
      <c r="E569" s="33"/>
      <c r="F569" s="90"/>
      <c r="H569" s="115"/>
      <c r="I569" s="26"/>
      <c r="J569" s="98"/>
      <c r="K569" s="36"/>
      <c r="L569" s="26"/>
      <c r="M569" s="26"/>
      <c r="N569" s="26"/>
      <c r="O569" s="93"/>
      <c r="P569" s="95"/>
      <c r="Q569" s="196"/>
    </row>
    <row r="570" spans="3:17" x14ac:dyDescent="0.25">
      <c r="C570" s="198"/>
      <c r="D570" s="111"/>
      <c r="E570" s="33"/>
      <c r="F570" s="90"/>
      <c r="H570" s="115"/>
      <c r="I570" s="26"/>
      <c r="J570" s="98"/>
      <c r="K570" s="36"/>
      <c r="L570" s="26"/>
      <c r="M570" s="26"/>
      <c r="N570" s="26"/>
      <c r="O570" s="93"/>
      <c r="P570" s="95"/>
      <c r="Q570" s="196"/>
    </row>
    <row r="571" spans="3:17" x14ac:dyDescent="0.25">
      <c r="C571" s="198"/>
      <c r="D571" s="111"/>
      <c r="E571" s="33"/>
      <c r="F571" s="90"/>
      <c r="H571" s="115"/>
      <c r="I571" s="26"/>
      <c r="J571" s="98"/>
      <c r="K571" s="36"/>
      <c r="L571" s="26"/>
      <c r="M571" s="26"/>
      <c r="N571" s="26"/>
      <c r="O571" s="93"/>
      <c r="P571" s="95"/>
      <c r="Q571" s="196"/>
    </row>
    <row r="572" spans="3:17" x14ac:dyDescent="0.25">
      <c r="C572" s="198"/>
      <c r="D572" s="111"/>
      <c r="E572" s="33"/>
      <c r="F572" s="90"/>
      <c r="H572" s="115"/>
      <c r="I572" s="26"/>
      <c r="J572" s="98"/>
      <c r="K572" s="36"/>
      <c r="L572" s="26"/>
      <c r="M572" s="26"/>
      <c r="N572" s="26"/>
      <c r="O572" s="93"/>
      <c r="P572" s="95"/>
      <c r="Q572" s="196"/>
    </row>
    <row r="573" spans="3:17" x14ac:dyDescent="0.25">
      <c r="C573" s="198"/>
      <c r="D573" s="111"/>
      <c r="E573" s="33"/>
      <c r="F573" s="90"/>
      <c r="H573" s="115"/>
      <c r="I573" s="26"/>
      <c r="J573" s="98"/>
      <c r="K573" s="36"/>
      <c r="L573" s="26"/>
      <c r="M573" s="26"/>
      <c r="N573" s="26"/>
      <c r="O573" s="93"/>
      <c r="P573" s="95"/>
      <c r="Q573" s="196"/>
    </row>
    <row r="574" spans="3:17" x14ac:dyDescent="0.25">
      <c r="C574" s="198"/>
      <c r="D574" s="111"/>
      <c r="E574" s="33"/>
      <c r="F574" s="90"/>
      <c r="H574" s="115"/>
      <c r="I574" s="26"/>
      <c r="J574" s="98"/>
      <c r="K574" s="36"/>
      <c r="L574" s="26"/>
      <c r="M574" s="26"/>
      <c r="N574" s="26"/>
      <c r="O574" s="93"/>
      <c r="P574" s="95"/>
      <c r="Q574" s="196"/>
    </row>
    <row r="575" spans="3:17" x14ac:dyDescent="0.25">
      <c r="C575" s="198"/>
      <c r="D575" s="111"/>
      <c r="E575" s="33"/>
      <c r="F575" s="90"/>
      <c r="H575" s="115"/>
      <c r="I575" s="26"/>
      <c r="J575" s="98"/>
      <c r="K575" s="36"/>
      <c r="L575" s="26"/>
      <c r="M575" s="26"/>
      <c r="N575" s="26"/>
      <c r="O575" s="93"/>
      <c r="P575" s="95"/>
      <c r="Q575" s="196"/>
    </row>
    <row r="576" spans="3:17" x14ac:dyDescent="0.25">
      <c r="C576" s="198"/>
      <c r="D576" s="111"/>
      <c r="E576" s="33"/>
      <c r="F576" s="90"/>
      <c r="H576" s="115"/>
      <c r="I576" s="26"/>
      <c r="J576" s="98"/>
      <c r="K576" s="36"/>
      <c r="L576" s="26"/>
      <c r="M576" s="26"/>
      <c r="N576" s="26"/>
      <c r="O576" s="93"/>
      <c r="P576" s="95"/>
      <c r="Q576" s="196"/>
    </row>
    <row r="577" spans="3:17" x14ac:dyDescent="0.25">
      <c r="C577" s="198"/>
      <c r="D577" s="111"/>
      <c r="E577" s="33"/>
      <c r="F577" s="90"/>
      <c r="H577" s="115"/>
      <c r="I577" s="26"/>
      <c r="J577" s="98"/>
      <c r="K577" s="36"/>
      <c r="L577" s="26"/>
      <c r="M577" s="26"/>
      <c r="N577" s="26"/>
      <c r="O577" s="93"/>
      <c r="P577" s="95"/>
      <c r="Q577" s="196"/>
    </row>
    <row r="578" spans="3:17" x14ac:dyDescent="0.25">
      <c r="C578" s="198"/>
      <c r="D578" s="111"/>
      <c r="E578" s="33"/>
      <c r="F578" s="90"/>
      <c r="H578" s="115"/>
      <c r="I578" s="26"/>
      <c r="J578" s="98"/>
      <c r="K578" s="36"/>
      <c r="L578" s="26"/>
      <c r="M578" s="26"/>
      <c r="N578" s="26"/>
      <c r="O578" s="93"/>
      <c r="P578" s="95"/>
      <c r="Q578" s="196"/>
    </row>
    <row r="579" spans="3:17" x14ac:dyDescent="0.25">
      <c r="C579" s="198"/>
      <c r="D579" s="111"/>
      <c r="E579" s="33"/>
      <c r="F579" s="90"/>
      <c r="H579" s="115"/>
      <c r="I579" s="26"/>
      <c r="J579" s="98"/>
      <c r="K579" s="36"/>
      <c r="L579" s="26"/>
      <c r="M579" s="26"/>
      <c r="N579" s="26"/>
      <c r="O579" s="93"/>
      <c r="P579" s="95"/>
      <c r="Q579" s="196"/>
    </row>
    <row r="580" spans="3:17" x14ac:dyDescent="0.25">
      <c r="C580" s="198"/>
      <c r="D580" s="111"/>
      <c r="E580" s="33"/>
      <c r="F580" s="90"/>
      <c r="H580" s="115"/>
      <c r="I580" s="26"/>
      <c r="J580" s="98"/>
      <c r="K580" s="36"/>
      <c r="L580" s="26"/>
      <c r="M580" s="26"/>
      <c r="N580" s="26"/>
      <c r="O580" s="93"/>
      <c r="P580" s="95"/>
      <c r="Q580" s="196"/>
    </row>
    <row r="581" spans="3:17" x14ac:dyDescent="0.25">
      <c r="C581" s="198"/>
      <c r="D581" s="111"/>
      <c r="E581" s="33"/>
      <c r="F581" s="90"/>
      <c r="H581" s="115"/>
      <c r="I581" s="26"/>
      <c r="J581" s="98"/>
      <c r="K581" s="36"/>
      <c r="L581" s="26"/>
      <c r="M581" s="26"/>
      <c r="N581" s="26"/>
      <c r="O581" s="93"/>
      <c r="P581" s="95"/>
      <c r="Q581" s="196"/>
    </row>
    <row r="582" spans="3:17" x14ac:dyDescent="0.25">
      <c r="C582" s="198"/>
      <c r="D582" s="111"/>
      <c r="E582" s="33"/>
      <c r="F582" s="90"/>
      <c r="H582" s="115"/>
      <c r="I582" s="26"/>
      <c r="J582" s="98"/>
      <c r="K582" s="36"/>
      <c r="L582" s="26"/>
      <c r="M582" s="26"/>
      <c r="N582" s="26"/>
      <c r="O582" s="93"/>
      <c r="P582" s="95"/>
      <c r="Q582" s="196"/>
    </row>
    <row r="583" spans="3:17" x14ac:dyDescent="0.25">
      <c r="C583" s="198"/>
      <c r="D583" s="111"/>
      <c r="E583" s="33"/>
      <c r="F583" s="90"/>
      <c r="H583" s="115"/>
      <c r="I583" s="26"/>
      <c r="J583" s="98"/>
      <c r="K583" s="36"/>
      <c r="L583" s="26"/>
      <c r="M583" s="26"/>
      <c r="N583" s="26"/>
      <c r="O583" s="93"/>
      <c r="P583" s="95"/>
      <c r="Q583" s="196"/>
    </row>
    <row r="584" spans="3:17" x14ac:dyDescent="0.25">
      <c r="C584" s="198"/>
      <c r="D584" s="111"/>
      <c r="E584" s="33"/>
      <c r="F584" s="90"/>
      <c r="H584" s="115"/>
      <c r="I584" s="26"/>
      <c r="J584" s="98"/>
      <c r="K584" s="36"/>
      <c r="L584" s="26"/>
      <c r="M584" s="26"/>
      <c r="N584" s="26"/>
      <c r="O584" s="93"/>
      <c r="P584" s="95"/>
      <c r="Q584" s="196"/>
    </row>
    <row r="585" spans="3:17" x14ac:dyDescent="0.25">
      <c r="C585" s="198"/>
      <c r="D585" s="111"/>
      <c r="E585" s="33"/>
      <c r="F585" s="90"/>
      <c r="H585" s="115"/>
      <c r="I585" s="26"/>
      <c r="J585" s="98"/>
      <c r="K585" s="36"/>
      <c r="L585" s="26"/>
      <c r="M585" s="26"/>
      <c r="N585" s="26"/>
      <c r="O585" s="93"/>
      <c r="P585" s="95"/>
      <c r="Q585" s="196"/>
    </row>
    <row r="586" spans="3:17" x14ac:dyDescent="0.25">
      <c r="C586" s="198"/>
      <c r="D586" s="111"/>
      <c r="E586" s="33"/>
      <c r="F586" s="90"/>
      <c r="H586" s="115"/>
      <c r="I586" s="26"/>
      <c r="J586" s="98"/>
      <c r="K586" s="36"/>
      <c r="L586" s="26"/>
      <c r="M586" s="26"/>
      <c r="N586" s="26"/>
      <c r="O586" s="93"/>
      <c r="P586" s="95"/>
      <c r="Q586" s="196"/>
    </row>
    <row r="587" spans="3:17" x14ac:dyDescent="0.25">
      <c r="C587" s="198"/>
      <c r="D587" s="111"/>
      <c r="E587" s="33"/>
      <c r="F587" s="90"/>
      <c r="H587" s="115"/>
      <c r="I587" s="26"/>
      <c r="J587" s="98"/>
      <c r="K587" s="36"/>
      <c r="L587" s="26"/>
      <c r="M587" s="26"/>
      <c r="N587" s="26"/>
      <c r="O587" s="93"/>
      <c r="P587" s="95"/>
      <c r="Q587" s="196"/>
    </row>
    <row r="588" spans="3:17" x14ac:dyDescent="0.25">
      <c r="C588" s="198"/>
      <c r="D588" s="111"/>
      <c r="E588" s="33"/>
      <c r="F588" s="90"/>
      <c r="H588" s="115"/>
      <c r="I588" s="26"/>
      <c r="J588" s="98"/>
      <c r="K588" s="36"/>
      <c r="L588" s="26"/>
      <c r="M588" s="26"/>
      <c r="N588" s="26"/>
      <c r="O588" s="93"/>
      <c r="P588" s="95"/>
      <c r="Q588" s="196"/>
    </row>
    <row r="589" spans="3:17" x14ac:dyDescent="0.25">
      <c r="C589" s="198"/>
      <c r="D589" s="111"/>
      <c r="E589" s="33"/>
      <c r="F589" s="90"/>
      <c r="H589" s="115"/>
      <c r="I589" s="26"/>
      <c r="J589" s="98"/>
      <c r="K589" s="36"/>
      <c r="L589" s="26"/>
      <c r="M589" s="26"/>
      <c r="N589" s="26"/>
      <c r="O589" s="93"/>
      <c r="P589" s="95"/>
      <c r="Q589" s="196"/>
    </row>
    <row r="590" spans="3:17" x14ac:dyDescent="0.25">
      <c r="C590" s="198"/>
      <c r="D590" s="111"/>
      <c r="E590" s="33"/>
      <c r="F590" s="90"/>
      <c r="H590" s="115"/>
      <c r="I590" s="26"/>
      <c r="J590" s="98"/>
      <c r="K590" s="36"/>
      <c r="L590" s="26"/>
      <c r="M590" s="26"/>
      <c r="N590" s="26"/>
      <c r="O590" s="93"/>
      <c r="P590" s="95"/>
      <c r="Q590" s="196"/>
    </row>
    <row r="591" spans="3:17" x14ac:dyDescent="0.25">
      <c r="C591" s="198"/>
      <c r="D591" s="111"/>
      <c r="E591" s="33"/>
      <c r="F591" s="90"/>
      <c r="H591" s="115"/>
      <c r="I591" s="26"/>
      <c r="J591" s="98"/>
      <c r="K591" s="36"/>
      <c r="L591" s="26"/>
      <c r="M591" s="26"/>
      <c r="N591" s="26"/>
      <c r="O591" s="93"/>
      <c r="P591" s="95"/>
      <c r="Q591" s="196"/>
    </row>
    <row r="592" spans="3:17" x14ac:dyDescent="0.25">
      <c r="C592" s="198"/>
      <c r="D592" s="111"/>
      <c r="E592" s="33"/>
      <c r="F592" s="90"/>
      <c r="H592" s="115"/>
      <c r="I592" s="26"/>
      <c r="J592" s="98"/>
      <c r="K592" s="36"/>
      <c r="L592" s="26"/>
      <c r="M592" s="26"/>
      <c r="N592" s="26"/>
      <c r="O592" s="93"/>
      <c r="P592" s="95"/>
      <c r="Q592" s="196"/>
    </row>
    <row r="593" spans="3:17" x14ac:dyDescent="0.25">
      <c r="C593" s="198"/>
      <c r="D593" s="111"/>
      <c r="E593" s="33"/>
      <c r="F593" s="90"/>
      <c r="H593" s="115"/>
      <c r="I593" s="26"/>
      <c r="J593" s="98"/>
      <c r="K593" s="36"/>
      <c r="L593" s="26"/>
      <c r="M593" s="26"/>
      <c r="N593" s="26"/>
      <c r="O593" s="93"/>
      <c r="P593" s="95"/>
      <c r="Q593" s="196"/>
    </row>
    <row r="594" spans="3:17" x14ac:dyDescent="0.25">
      <c r="C594" s="198"/>
      <c r="D594" s="111"/>
      <c r="E594" s="33"/>
      <c r="F594" s="90"/>
      <c r="H594" s="115"/>
      <c r="I594" s="26"/>
      <c r="J594" s="98"/>
      <c r="K594" s="36"/>
      <c r="L594" s="26"/>
      <c r="M594" s="26"/>
      <c r="N594" s="26"/>
      <c r="O594" s="93"/>
      <c r="P594" s="95"/>
      <c r="Q594" s="196"/>
    </row>
    <row r="595" spans="3:17" x14ac:dyDescent="0.25">
      <c r="C595" s="198"/>
      <c r="D595" s="111"/>
      <c r="E595" s="33"/>
      <c r="F595" s="90"/>
      <c r="H595" s="115"/>
      <c r="I595" s="26"/>
      <c r="J595" s="98"/>
      <c r="K595" s="36"/>
      <c r="L595" s="26"/>
      <c r="M595" s="26"/>
      <c r="N595" s="26"/>
      <c r="O595" s="93"/>
      <c r="P595" s="95"/>
      <c r="Q595" s="196"/>
    </row>
    <row r="596" spans="3:17" x14ac:dyDescent="0.25">
      <c r="C596" s="198"/>
      <c r="D596" s="111"/>
      <c r="E596" s="33"/>
      <c r="F596" s="90"/>
      <c r="H596" s="115"/>
      <c r="I596" s="26"/>
      <c r="J596" s="98"/>
      <c r="K596" s="36"/>
      <c r="L596" s="26"/>
      <c r="M596" s="26"/>
      <c r="N596" s="26"/>
      <c r="O596" s="93"/>
      <c r="P596" s="95"/>
      <c r="Q596" s="196"/>
    </row>
    <row r="597" spans="3:17" x14ac:dyDescent="0.25">
      <c r="C597" s="198"/>
      <c r="D597" s="111"/>
      <c r="E597" s="33"/>
      <c r="F597" s="90"/>
      <c r="H597" s="115"/>
      <c r="I597" s="26"/>
      <c r="J597" s="98"/>
      <c r="K597" s="36"/>
      <c r="L597" s="26"/>
      <c r="M597" s="26"/>
      <c r="N597" s="26"/>
      <c r="O597" s="93"/>
      <c r="P597" s="95"/>
      <c r="Q597" s="196"/>
    </row>
    <row r="598" spans="3:17" x14ac:dyDescent="0.25">
      <c r="C598" s="198"/>
      <c r="D598" s="111"/>
      <c r="E598" s="33"/>
      <c r="F598" s="90"/>
      <c r="H598" s="115"/>
      <c r="I598" s="26"/>
      <c r="J598" s="98"/>
      <c r="K598" s="36"/>
      <c r="L598" s="26"/>
      <c r="M598" s="26"/>
      <c r="N598" s="26"/>
      <c r="O598" s="93"/>
      <c r="P598" s="95"/>
      <c r="Q598" s="196"/>
    </row>
    <row r="599" spans="3:17" x14ac:dyDescent="0.25">
      <c r="C599" s="198"/>
      <c r="D599" s="111"/>
      <c r="E599" s="33"/>
      <c r="F599" s="90"/>
      <c r="H599" s="115"/>
      <c r="I599" s="26"/>
      <c r="J599" s="98"/>
      <c r="K599" s="36"/>
      <c r="L599" s="26"/>
      <c r="M599" s="26"/>
      <c r="N599" s="26"/>
      <c r="O599" s="93"/>
      <c r="P599" s="95"/>
      <c r="Q599" s="196"/>
    </row>
    <row r="600" spans="3:17" x14ac:dyDescent="0.25">
      <c r="C600" s="198"/>
      <c r="D600" s="111"/>
      <c r="E600" s="33"/>
      <c r="F600" s="90"/>
      <c r="H600" s="115"/>
      <c r="I600" s="26"/>
      <c r="J600" s="98"/>
      <c r="K600" s="36"/>
      <c r="L600" s="26"/>
      <c r="M600" s="26"/>
      <c r="N600" s="26"/>
      <c r="O600" s="93"/>
      <c r="P600" s="95"/>
      <c r="Q600" s="196"/>
    </row>
    <row r="601" spans="3:17" x14ac:dyDescent="0.25">
      <c r="C601" s="198"/>
      <c r="D601" s="111"/>
      <c r="E601" s="33"/>
      <c r="F601" s="90"/>
      <c r="H601" s="115"/>
      <c r="I601" s="26"/>
      <c r="J601" s="98"/>
      <c r="K601" s="36"/>
      <c r="L601" s="26"/>
      <c r="M601" s="26"/>
      <c r="N601" s="26"/>
      <c r="O601" s="93"/>
      <c r="P601" s="95"/>
      <c r="Q601" s="196"/>
    </row>
    <row r="602" spans="3:17" x14ac:dyDescent="0.25">
      <c r="C602" s="198"/>
      <c r="D602" s="111"/>
      <c r="E602" s="33"/>
      <c r="F602" s="90"/>
      <c r="H602" s="115"/>
      <c r="I602" s="26"/>
      <c r="J602" s="98"/>
      <c r="K602" s="36"/>
      <c r="L602" s="26"/>
      <c r="M602" s="26"/>
      <c r="N602" s="26"/>
      <c r="O602" s="93"/>
      <c r="P602" s="95"/>
      <c r="Q602" s="196"/>
    </row>
    <row r="603" spans="3:17" x14ac:dyDescent="0.25">
      <c r="C603" s="198"/>
      <c r="D603" s="111"/>
      <c r="E603" s="33"/>
      <c r="F603" s="90"/>
      <c r="H603" s="115"/>
      <c r="I603" s="26"/>
      <c r="J603" s="98"/>
      <c r="K603" s="36"/>
      <c r="L603" s="26"/>
      <c r="M603" s="26"/>
      <c r="N603" s="26"/>
      <c r="O603" s="93"/>
      <c r="P603" s="95"/>
      <c r="Q603" s="196"/>
    </row>
    <row r="604" spans="3:17" x14ac:dyDescent="0.25">
      <c r="C604" s="198"/>
      <c r="D604" s="111"/>
      <c r="E604" s="33"/>
      <c r="F604" s="90"/>
      <c r="H604" s="115"/>
      <c r="I604" s="26"/>
      <c r="J604" s="98"/>
      <c r="K604" s="36"/>
      <c r="L604" s="26"/>
      <c r="M604" s="26"/>
      <c r="N604" s="26"/>
      <c r="O604" s="93"/>
      <c r="P604" s="95"/>
      <c r="Q604" s="196"/>
    </row>
    <row r="605" spans="3:17" x14ac:dyDescent="0.25">
      <c r="C605" s="198"/>
      <c r="D605" s="111"/>
      <c r="E605" s="33"/>
      <c r="F605" s="90"/>
      <c r="H605" s="115"/>
      <c r="I605" s="26"/>
      <c r="J605" s="98"/>
      <c r="K605" s="36"/>
      <c r="L605" s="26"/>
      <c r="M605" s="26"/>
      <c r="N605" s="26"/>
      <c r="O605" s="93"/>
      <c r="P605" s="95"/>
      <c r="Q605" s="196"/>
    </row>
    <row r="606" spans="3:17" x14ac:dyDescent="0.25">
      <c r="C606" s="198"/>
      <c r="D606" s="111"/>
      <c r="E606" s="33"/>
      <c r="F606" s="90"/>
      <c r="H606" s="115"/>
      <c r="I606" s="26"/>
      <c r="J606" s="98"/>
      <c r="K606" s="36"/>
      <c r="L606" s="26"/>
      <c r="M606" s="26"/>
      <c r="N606" s="26"/>
      <c r="O606" s="93"/>
      <c r="P606" s="95"/>
      <c r="Q606" s="196"/>
    </row>
    <row r="607" spans="3:17" x14ac:dyDescent="0.25">
      <c r="C607" s="198"/>
      <c r="D607" s="111"/>
      <c r="E607" s="33"/>
      <c r="F607" s="90"/>
      <c r="H607" s="115"/>
      <c r="I607" s="26"/>
      <c r="J607" s="98"/>
      <c r="K607" s="36"/>
      <c r="L607" s="26"/>
      <c r="M607" s="26"/>
      <c r="N607" s="26"/>
      <c r="O607" s="93"/>
      <c r="P607" s="95"/>
      <c r="Q607" s="196"/>
    </row>
    <row r="608" spans="3:17" x14ac:dyDescent="0.25">
      <c r="C608" s="198"/>
      <c r="D608" s="111"/>
      <c r="E608" s="33"/>
      <c r="F608" s="90"/>
      <c r="H608" s="115"/>
      <c r="I608" s="26"/>
      <c r="J608" s="98"/>
      <c r="K608" s="36"/>
      <c r="L608" s="26"/>
      <c r="M608" s="26"/>
      <c r="N608" s="26"/>
      <c r="O608" s="93"/>
      <c r="P608" s="95"/>
      <c r="Q608" s="196"/>
    </row>
    <row r="609" spans="3:17" x14ac:dyDescent="0.25">
      <c r="C609" s="198"/>
      <c r="D609" s="111"/>
      <c r="E609" s="33"/>
      <c r="F609" s="90"/>
      <c r="H609" s="115"/>
      <c r="I609" s="26"/>
      <c r="J609" s="98"/>
      <c r="K609" s="36"/>
      <c r="L609" s="26"/>
      <c r="M609" s="26"/>
      <c r="N609" s="26"/>
      <c r="O609" s="93"/>
      <c r="P609" s="95"/>
      <c r="Q609" s="196"/>
    </row>
    <row r="610" spans="3:17" x14ac:dyDescent="0.25">
      <c r="C610" s="198"/>
      <c r="D610" s="111"/>
      <c r="E610" s="33"/>
      <c r="F610" s="90"/>
      <c r="H610" s="115"/>
      <c r="I610" s="26"/>
      <c r="J610" s="98"/>
      <c r="K610" s="36"/>
      <c r="L610" s="26"/>
      <c r="M610" s="26"/>
      <c r="N610" s="26"/>
      <c r="O610" s="93"/>
      <c r="P610" s="95"/>
      <c r="Q610" s="196"/>
    </row>
    <row r="611" spans="3:17" x14ac:dyDescent="0.25">
      <c r="C611" s="198"/>
      <c r="D611" s="111"/>
      <c r="E611" s="33"/>
      <c r="F611" s="90"/>
      <c r="H611" s="115"/>
      <c r="I611" s="26"/>
      <c r="J611" s="98"/>
      <c r="K611" s="36"/>
      <c r="L611" s="26"/>
      <c r="M611" s="26"/>
      <c r="N611" s="26"/>
      <c r="O611" s="93"/>
      <c r="P611" s="95"/>
      <c r="Q611" s="196"/>
    </row>
    <row r="612" spans="3:17" x14ac:dyDescent="0.25">
      <c r="C612" s="198"/>
      <c r="D612" s="111"/>
      <c r="E612" s="33"/>
      <c r="F612" s="90"/>
      <c r="H612" s="115"/>
      <c r="I612" s="26"/>
      <c r="J612" s="98"/>
      <c r="K612" s="36"/>
      <c r="L612" s="26"/>
      <c r="M612" s="26"/>
      <c r="N612" s="26"/>
      <c r="O612" s="93"/>
      <c r="P612" s="95"/>
      <c r="Q612" s="196"/>
    </row>
    <row r="613" spans="3:17" x14ac:dyDescent="0.25">
      <c r="C613" s="198"/>
      <c r="D613" s="111"/>
      <c r="E613" s="33"/>
      <c r="F613" s="90"/>
      <c r="H613" s="115"/>
      <c r="I613" s="26"/>
      <c r="J613" s="98"/>
      <c r="K613" s="36"/>
      <c r="L613" s="26"/>
      <c r="M613" s="26"/>
      <c r="N613" s="26"/>
      <c r="O613" s="93"/>
      <c r="P613" s="95"/>
      <c r="Q613" s="196"/>
    </row>
    <row r="614" spans="3:17" x14ac:dyDescent="0.25">
      <c r="C614" s="198"/>
      <c r="D614" s="111"/>
      <c r="E614" s="33"/>
      <c r="F614" s="90"/>
      <c r="H614" s="115"/>
      <c r="I614" s="26"/>
      <c r="J614" s="98"/>
      <c r="K614" s="36"/>
      <c r="L614" s="26"/>
      <c r="M614" s="26"/>
      <c r="N614" s="26"/>
      <c r="O614" s="93"/>
      <c r="P614" s="95"/>
      <c r="Q614" s="196"/>
    </row>
    <row r="615" spans="3:17" x14ac:dyDescent="0.25">
      <c r="C615" s="198"/>
      <c r="D615" s="111"/>
      <c r="E615" s="33"/>
      <c r="F615" s="90"/>
      <c r="H615" s="115"/>
      <c r="I615" s="26"/>
      <c r="J615" s="98"/>
      <c r="K615" s="36"/>
      <c r="L615" s="26"/>
      <c r="M615" s="26"/>
      <c r="N615" s="26"/>
      <c r="O615" s="93"/>
      <c r="P615" s="95"/>
      <c r="Q615" s="196"/>
    </row>
    <row r="616" spans="3:17" x14ac:dyDescent="0.25">
      <c r="C616" s="198"/>
      <c r="D616" s="111"/>
      <c r="E616" s="33"/>
      <c r="F616" s="90"/>
      <c r="H616" s="115"/>
      <c r="I616" s="26"/>
      <c r="J616" s="98"/>
      <c r="K616" s="36"/>
      <c r="L616" s="26"/>
      <c r="M616" s="26"/>
      <c r="N616" s="26"/>
      <c r="O616" s="93"/>
      <c r="P616" s="95"/>
      <c r="Q616" s="196"/>
    </row>
    <row r="617" spans="3:17" x14ac:dyDescent="0.25">
      <c r="C617" s="198"/>
      <c r="D617" s="111"/>
      <c r="E617" s="33"/>
      <c r="F617" s="90"/>
      <c r="H617" s="115"/>
      <c r="I617" s="26"/>
      <c r="J617" s="98"/>
      <c r="K617" s="36"/>
      <c r="L617" s="26"/>
      <c r="M617" s="26"/>
      <c r="N617" s="26"/>
      <c r="O617" s="93"/>
      <c r="P617" s="95"/>
      <c r="Q617" s="196"/>
    </row>
    <row r="618" spans="3:17" x14ac:dyDescent="0.25">
      <c r="C618" s="198"/>
      <c r="D618" s="111"/>
      <c r="E618" s="33"/>
      <c r="F618" s="90"/>
      <c r="H618" s="115"/>
      <c r="I618" s="26"/>
      <c r="J618" s="98"/>
      <c r="K618" s="36"/>
      <c r="L618" s="26"/>
      <c r="M618" s="26"/>
      <c r="N618" s="26"/>
      <c r="O618" s="93"/>
      <c r="P618" s="95"/>
      <c r="Q618" s="196"/>
    </row>
    <row r="619" spans="3:17" x14ac:dyDescent="0.25">
      <c r="C619" s="198"/>
      <c r="D619" s="111"/>
      <c r="E619" s="33"/>
      <c r="F619" s="90"/>
      <c r="H619" s="115"/>
      <c r="I619" s="26"/>
      <c r="J619" s="98"/>
      <c r="K619" s="36"/>
      <c r="L619" s="26"/>
      <c r="M619" s="26"/>
      <c r="N619" s="26"/>
      <c r="O619" s="93"/>
      <c r="P619" s="95"/>
      <c r="Q619" s="196"/>
    </row>
    <row r="620" spans="3:17" x14ac:dyDescent="0.25">
      <c r="C620" s="198"/>
      <c r="D620" s="111"/>
      <c r="E620" s="33"/>
      <c r="F620" s="90"/>
      <c r="H620" s="115"/>
      <c r="I620" s="26"/>
      <c r="J620" s="98"/>
      <c r="K620" s="36"/>
      <c r="L620" s="26"/>
      <c r="M620" s="26"/>
      <c r="N620" s="26"/>
      <c r="O620" s="93"/>
      <c r="P620" s="95"/>
      <c r="Q620" s="196"/>
    </row>
    <row r="621" spans="3:17" x14ac:dyDescent="0.25">
      <c r="C621" s="198"/>
      <c r="D621" s="111"/>
      <c r="E621" s="33"/>
      <c r="F621" s="90"/>
      <c r="H621" s="115"/>
      <c r="I621" s="26"/>
      <c r="J621" s="98"/>
      <c r="K621" s="36"/>
      <c r="L621" s="26"/>
      <c r="M621" s="26"/>
      <c r="N621" s="26"/>
      <c r="O621" s="93"/>
      <c r="P621" s="95"/>
      <c r="Q621" s="196"/>
    </row>
    <row r="622" spans="3:17" x14ac:dyDescent="0.25">
      <c r="C622" s="198"/>
      <c r="D622" s="111"/>
      <c r="E622" s="33"/>
      <c r="F622" s="90"/>
      <c r="H622" s="115"/>
      <c r="I622" s="26"/>
      <c r="J622" s="98"/>
      <c r="K622" s="36"/>
      <c r="L622" s="26"/>
      <c r="M622" s="26"/>
      <c r="N622" s="26"/>
      <c r="O622" s="93"/>
      <c r="P622" s="95"/>
      <c r="Q622" s="196"/>
    </row>
    <row r="623" spans="3:17" x14ac:dyDescent="0.25">
      <c r="C623" s="198"/>
      <c r="D623" s="111"/>
      <c r="E623" s="33"/>
      <c r="F623" s="90"/>
      <c r="H623" s="115"/>
      <c r="I623" s="26"/>
      <c r="J623" s="98"/>
      <c r="K623" s="36"/>
      <c r="L623" s="26"/>
      <c r="M623" s="26"/>
      <c r="N623" s="26"/>
      <c r="O623" s="93"/>
      <c r="P623" s="95"/>
      <c r="Q623" s="196"/>
    </row>
    <row r="624" spans="3:17" x14ac:dyDescent="0.25">
      <c r="C624" s="198"/>
      <c r="D624" s="111"/>
      <c r="E624" s="33"/>
      <c r="F624" s="90"/>
      <c r="H624" s="115"/>
      <c r="I624" s="26"/>
      <c r="J624" s="98"/>
      <c r="K624" s="36"/>
      <c r="L624" s="26"/>
      <c r="M624" s="26"/>
      <c r="N624" s="26"/>
      <c r="O624" s="93"/>
      <c r="P624" s="95"/>
      <c r="Q624" s="196"/>
    </row>
    <row r="625" spans="3:17" x14ac:dyDescent="0.25">
      <c r="C625" s="198"/>
      <c r="D625" s="111"/>
      <c r="E625" s="33"/>
      <c r="F625" s="90"/>
      <c r="H625" s="115"/>
      <c r="I625" s="26"/>
      <c r="J625" s="98"/>
      <c r="K625" s="36"/>
      <c r="L625" s="26"/>
      <c r="M625" s="26"/>
      <c r="N625" s="26"/>
      <c r="O625" s="93"/>
      <c r="P625" s="95"/>
      <c r="Q625" s="196"/>
    </row>
    <row r="626" spans="3:17" x14ac:dyDescent="0.25">
      <c r="C626" s="198"/>
      <c r="D626" s="111"/>
      <c r="E626" s="33"/>
      <c r="F626" s="90"/>
      <c r="H626" s="115"/>
      <c r="I626" s="26"/>
      <c r="J626" s="98"/>
      <c r="K626" s="36"/>
      <c r="L626" s="26"/>
      <c r="M626" s="26"/>
      <c r="N626" s="26"/>
      <c r="O626" s="93"/>
      <c r="P626" s="95"/>
      <c r="Q626" s="196"/>
    </row>
    <row r="627" spans="3:17" x14ac:dyDescent="0.25">
      <c r="C627" s="198"/>
      <c r="D627" s="111"/>
      <c r="E627" s="33"/>
      <c r="F627" s="90"/>
      <c r="H627" s="115"/>
      <c r="I627" s="26"/>
      <c r="J627" s="98"/>
      <c r="K627" s="36"/>
      <c r="L627" s="26"/>
      <c r="M627" s="26"/>
      <c r="N627" s="26"/>
      <c r="O627" s="93"/>
      <c r="P627" s="95"/>
      <c r="Q627" s="196"/>
    </row>
    <row r="628" spans="3:17" x14ac:dyDescent="0.25">
      <c r="C628" s="198"/>
      <c r="D628" s="111"/>
      <c r="E628" s="33"/>
      <c r="F628" s="90"/>
      <c r="H628" s="115"/>
      <c r="I628" s="26"/>
      <c r="J628" s="98"/>
      <c r="K628" s="36"/>
      <c r="L628" s="26"/>
      <c r="M628" s="26"/>
      <c r="N628" s="26"/>
      <c r="O628" s="93"/>
      <c r="P628" s="95"/>
      <c r="Q628" s="196"/>
    </row>
    <row r="629" spans="3:17" x14ac:dyDescent="0.25">
      <c r="C629" s="198"/>
      <c r="D629" s="111"/>
      <c r="E629" s="33"/>
      <c r="F629" s="90"/>
      <c r="H629" s="115"/>
      <c r="I629" s="26"/>
      <c r="J629" s="98"/>
      <c r="K629" s="36"/>
      <c r="L629" s="26"/>
      <c r="M629" s="26"/>
      <c r="N629" s="26"/>
      <c r="O629" s="93"/>
      <c r="P629" s="95"/>
      <c r="Q629" s="196"/>
    </row>
    <row r="630" spans="3:17" x14ac:dyDescent="0.25">
      <c r="C630" s="198"/>
      <c r="D630" s="111"/>
      <c r="E630" s="33"/>
      <c r="F630" s="90"/>
      <c r="H630" s="115"/>
      <c r="I630" s="26"/>
      <c r="J630" s="98"/>
      <c r="K630" s="36"/>
      <c r="L630" s="26"/>
      <c r="M630" s="26"/>
      <c r="N630" s="26"/>
      <c r="O630" s="93"/>
      <c r="P630" s="95"/>
      <c r="Q630" s="196"/>
    </row>
    <row r="631" spans="3:17" x14ac:dyDescent="0.25">
      <c r="C631" s="198"/>
      <c r="D631" s="111"/>
      <c r="E631" s="33"/>
      <c r="F631" s="90"/>
      <c r="H631" s="115"/>
      <c r="I631" s="26"/>
      <c r="J631" s="98"/>
      <c r="K631" s="36"/>
      <c r="L631" s="26"/>
      <c r="M631" s="26"/>
      <c r="N631" s="26"/>
      <c r="O631" s="93"/>
      <c r="P631" s="95"/>
      <c r="Q631" s="196"/>
    </row>
    <row r="632" spans="3:17" x14ac:dyDescent="0.25">
      <c r="C632" s="198"/>
      <c r="D632" s="111"/>
      <c r="E632" s="33"/>
      <c r="F632" s="90"/>
      <c r="H632" s="115"/>
      <c r="I632" s="26"/>
      <c r="J632" s="98"/>
      <c r="K632" s="36"/>
      <c r="L632" s="26"/>
      <c r="M632" s="26"/>
      <c r="N632" s="26"/>
      <c r="O632" s="93"/>
      <c r="P632" s="95"/>
      <c r="Q632" s="196"/>
    </row>
    <row r="633" spans="3:17" x14ac:dyDescent="0.25">
      <c r="C633" s="198"/>
      <c r="D633" s="111"/>
      <c r="E633" s="33"/>
      <c r="F633" s="90"/>
      <c r="H633" s="115"/>
      <c r="I633" s="26"/>
      <c r="J633" s="98"/>
      <c r="K633" s="36"/>
      <c r="L633" s="26"/>
      <c r="M633" s="26"/>
      <c r="N633" s="26"/>
      <c r="O633" s="93"/>
      <c r="P633" s="95"/>
      <c r="Q633" s="196"/>
    </row>
    <row r="634" spans="3:17" x14ac:dyDescent="0.25">
      <c r="C634" s="198"/>
      <c r="D634" s="111"/>
      <c r="E634" s="33"/>
      <c r="F634" s="90"/>
      <c r="H634" s="115"/>
      <c r="I634" s="26"/>
      <c r="J634" s="98"/>
      <c r="K634" s="36"/>
      <c r="L634" s="26"/>
      <c r="M634" s="26"/>
      <c r="N634" s="26"/>
      <c r="O634" s="93"/>
      <c r="P634" s="95"/>
      <c r="Q634" s="196"/>
    </row>
    <row r="635" spans="3:17" x14ac:dyDescent="0.25">
      <c r="C635" s="198"/>
      <c r="D635" s="111"/>
      <c r="E635" s="33"/>
      <c r="F635" s="90"/>
      <c r="H635" s="115"/>
      <c r="I635" s="26"/>
      <c r="J635" s="98"/>
      <c r="K635" s="36"/>
      <c r="L635" s="26"/>
      <c r="M635" s="26"/>
      <c r="N635" s="26"/>
      <c r="O635" s="93"/>
      <c r="P635" s="95"/>
      <c r="Q635" s="196"/>
    </row>
    <row r="636" spans="3:17" x14ac:dyDescent="0.25">
      <c r="C636" s="198"/>
      <c r="D636" s="111"/>
      <c r="E636" s="33"/>
      <c r="F636" s="90"/>
      <c r="H636" s="115"/>
      <c r="I636" s="26"/>
      <c r="J636" s="98"/>
      <c r="K636" s="36"/>
      <c r="L636" s="26"/>
      <c r="M636" s="26"/>
      <c r="N636" s="26"/>
      <c r="O636" s="93"/>
      <c r="P636" s="95"/>
      <c r="Q636" s="196"/>
    </row>
    <row r="637" spans="3:17" x14ac:dyDescent="0.25">
      <c r="C637" s="198"/>
      <c r="D637" s="111"/>
      <c r="E637" s="33"/>
      <c r="F637" s="90"/>
      <c r="H637" s="115"/>
      <c r="I637" s="26"/>
      <c r="J637" s="98"/>
      <c r="K637" s="36"/>
      <c r="L637" s="26"/>
      <c r="M637" s="26"/>
      <c r="N637" s="26"/>
      <c r="O637" s="93"/>
      <c r="P637" s="95"/>
      <c r="Q637" s="196"/>
    </row>
    <row r="638" spans="3:17" x14ac:dyDescent="0.25">
      <c r="C638" s="198"/>
      <c r="D638" s="111"/>
      <c r="E638" s="33"/>
      <c r="F638" s="90"/>
      <c r="H638" s="115"/>
      <c r="I638" s="26"/>
      <c r="J638" s="98"/>
      <c r="K638" s="36"/>
      <c r="L638" s="26"/>
      <c r="M638" s="26"/>
      <c r="N638" s="26"/>
      <c r="O638" s="93"/>
      <c r="P638" s="95"/>
      <c r="Q638" s="196"/>
    </row>
    <row r="639" spans="3:17" x14ac:dyDescent="0.25">
      <c r="C639" s="198"/>
      <c r="D639" s="111"/>
      <c r="E639" s="33"/>
      <c r="F639" s="90"/>
      <c r="H639" s="115"/>
      <c r="I639" s="26"/>
      <c r="J639" s="98"/>
      <c r="K639" s="36"/>
      <c r="L639" s="26"/>
      <c r="M639" s="26"/>
      <c r="N639" s="26"/>
      <c r="O639" s="93"/>
      <c r="P639" s="95"/>
      <c r="Q639" s="196"/>
    </row>
    <row r="640" spans="3:17" x14ac:dyDescent="0.25">
      <c r="C640" s="198"/>
      <c r="D640" s="111"/>
      <c r="E640" s="33"/>
      <c r="F640" s="90"/>
      <c r="H640" s="115"/>
      <c r="I640" s="26"/>
      <c r="J640" s="98"/>
      <c r="K640" s="36"/>
      <c r="L640" s="26"/>
      <c r="M640" s="26"/>
      <c r="N640" s="26"/>
      <c r="O640" s="93"/>
      <c r="P640" s="95"/>
      <c r="Q640" s="196"/>
    </row>
    <row r="641" spans="3:17" x14ac:dyDescent="0.25">
      <c r="C641" s="198"/>
      <c r="D641" s="111"/>
      <c r="E641" s="33"/>
      <c r="F641" s="90"/>
      <c r="H641" s="115"/>
      <c r="I641" s="26"/>
      <c r="J641" s="98"/>
      <c r="K641" s="36"/>
      <c r="L641" s="26"/>
      <c r="M641" s="26"/>
      <c r="N641" s="26"/>
      <c r="O641" s="93"/>
      <c r="P641" s="95"/>
      <c r="Q641" s="196"/>
    </row>
    <row r="642" spans="3:17" x14ac:dyDescent="0.25">
      <c r="C642" s="198"/>
      <c r="D642" s="111"/>
      <c r="E642" s="33"/>
      <c r="F642" s="90"/>
      <c r="H642" s="115"/>
      <c r="I642" s="26"/>
      <c r="J642" s="98"/>
      <c r="K642" s="36"/>
      <c r="L642" s="26"/>
      <c r="M642" s="26"/>
      <c r="N642" s="26"/>
      <c r="O642" s="93"/>
      <c r="P642" s="95"/>
      <c r="Q642" s="196"/>
    </row>
    <row r="643" spans="3:17" x14ac:dyDescent="0.25">
      <c r="C643" s="198"/>
      <c r="D643" s="111"/>
      <c r="E643" s="33"/>
      <c r="F643" s="90"/>
      <c r="H643" s="115"/>
      <c r="I643" s="26"/>
      <c r="J643" s="98"/>
      <c r="K643" s="36"/>
      <c r="L643" s="26"/>
      <c r="M643" s="26"/>
      <c r="N643" s="26"/>
      <c r="O643" s="93"/>
      <c r="P643" s="95"/>
      <c r="Q643" s="196"/>
    </row>
    <row r="644" spans="3:17" x14ac:dyDescent="0.25">
      <c r="C644" s="198"/>
      <c r="D644" s="111"/>
      <c r="E644" s="33"/>
      <c r="F644" s="90"/>
      <c r="H644" s="115"/>
      <c r="I644" s="26"/>
      <c r="J644" s="98"/>
      <c r="K644" s="36"/>
      <c r="L644" s="26"/>
      <c r="M644" s="26"/>
      <c r="N644" s="26"/>
      <c r="O644" s="93"/>
      <c r="P644" s="95"/>
      <c r="Q644" s="196"/>
    </row>
    <row r="645" spans="3:17" x14ac:dyDescent="0.25">
      <c r="C645" s="198"/>
      <c r="D645" s="111"/>
      <c r="E645" s="33"/>
      <c r="F645" s="90"/>
      <c r="H645" s="115"/>
      <c r="I645" s="26"/>
      <c r="J645" s="98"/>
      <c r="K645" s="36"/>
      <c r="L645" s="26"/>
      <c r="M645" s="26"/>
      <c r="N645" s="26"/>
      <c r="O645" s="93"/>
      <c r="P645" s="95"/>
      <c r="Q645" s="196"/>
    </row>
    <row r="646" spans="3:17" x14ac:dyDescent="0.25">
      <c r="C646" s="198"/>
      <c r="D646" s="111"/>
      <c r="E646" s="33"/>
      <c r="F646" s="90"/>
      <c r="H646" s="115"/>
      <c r="I646" s="26"/>
      <c r="J646" s="98"/>
      <c r="K646" s="36"/>
      <c r="L646" s="26"/>
      <c r="M646" s="26"/>
      <c r="N646" s="26"/>
      <c r="O646" s="93"/>
      <c r="P646" s="95"/>
      <c r="Q646" s="196"/>
    </row>
    <row r="647" spans="3:17" x14ac:dyDescent="0.25">
      <c r="C647" s="198"/>
      <c r="D647" s="111"/>
      <c r="E647" s="33"/>
      <c r="F647" s="90"/>
      <c r="H647" s="115"/>
      <c r="I647" s="26"/>
      <c r="J647" s="98"/>
      <c r="K647" s="36"/>
      <c r="L647" s="26"/>
      <c r="M647" s="26"/>
      <c r="N647" s="26"/>
      <c r="O647" s="93"/>
      <c r="P647" s="95"/>
      <c r="Q647" s="196"/>
    </row>
    <row r="648" spans="3:17" x14ac:dyDescent="0.25">
      <c r="C648" s="198"/>
      <c r="D648" s="111"/>
      <c r="E648" s="33"/>
      <c r="F648" s="90"/>
      <c r="H648" s="115"/>
      <c r="I648" s="26"/>
      <c r="J648" s="98"/>
      <c r="K648" s="36"/>
      <c r="L648" s="26"/>
      <c r="M648" s="26"/>
      <c r="N648" s="26"/>
      <c r="O648" s="93"/>
      <c r="P648" s="95"/>
      <c r="Q648" s="196"/>
    </row>
    <row r="649" spans="3:17" x14ac:dyDescent="0.25">
      <c r="C649" s="198"/>
      <c r="D649" s="111"/>
      <c r="E649" s="33"/>
      <c r="F649" s="90"/>
      <c r="H649" s="115"/>
      <c r="I649" s="26"/>
      <c r="J649" s="98"/>
      <c r="K649" s="36"/>
      <c r="L649" s="26"/>
      <c r="M649" s="26"/>
      <c r="N649" s="26"/>
      <c r="O649" s="93"/>
      <c r="P649" s="95"/>
      <c r="Q649" s="196"/>
    </row>
    <row r="650" spans="3:17" x14ac:dyDescent="0.25">
      <c r="C650" s="198"/>
      <c r="D650" s="111"/>
      <c r="E650" s="33"/>
      <c r="F650" s="90"/>
      <c r="H650" s="115"/>
      <c r="I650" s="26"/>
      <c r="J650" s="98"/>
      <c r="K650" s="36"/>
      <c r="L650" s="26"/>
      <c r="M650" s="26"/>
      <c r="N650" s="26"/>
      <c r="O650" s="93"/>
      <c r="P650" s="95"/>
      <c r="Q650" s="196"/>
    </row>
    <row r="651" spans="3:17" x14ac:dyDescent="0.25">
      <c r="C651" s="198"/>
      <c r="D651" s="111"/>
      <c r="E651" s="33"/>
      <c r="F651" s="90"/>
      <c r="H651" s="115"/>
      <c r="I651" s="26"/>
      <c r="J651" s="98"/>
      <c r="K651" s="36"/>
      <c r="L651" s="26"/>
      <c r="M651" s="26"/>
      <c r="N651" s="26"/>
      <c r="O651" s="93"/>
      <c r="P651" s="95"/>
      <c r="Q651" s="196"/>
    </row>
    <row r="652" spans="3:17" x14ac:dyDescent="0.25">
      <c r="C652" s="198"/>
      <c r="D652" s="111"/>
      <c r="E652" s="33"/>
      <c r="F652" s="90"/>
      <c r="H652" s="115"/>
      <c r="I652" s="26"/>
      <c r="J652" s="98"/>
      <c r="K652" s="36"/>
      <c r="L652" s="26"/>
      <c r="M652" s="26"/>
      <c r="N652" s="26"/>
      <c r="O652" s="93"/>
      <c r="P652" s="95"/>
      <c r="Q652" s="196"/>
    </row>
    <row r="653" spans="3:17" x14ac:dyDescent="0.25">
      <c r="C653" s="198"/>
      <c r="D653" s="111"/>
      <c r="E653" s="33"/>
      <c r="F653" s="90"/>
      <c r="H653" s="115"/>
      <c r="I653" s="26"/>
      <c r="J653" s="98"/>
      <c r="K653" s="36"/>
      <c r="L653" s="26"/>
      <c r="M653" s="26"/>
      <c r="N653" s="26"/>
      <c r="O653" s="93"/>
      <c r="P653" s="95"/>
      <c r="Q653" s="196"/>
    </row>
    <row r="654" spans="3:17" x14ac:dyDescent="0.25">
      <c r="C654" s="198"/>
      <c r="D654" s="111"/>
      <c r="E654" s="33"/>
      <c r="F654" s="90"/>
      <c r="H654" s="115"/>
      <c r="I654" s="26"/>
      <c r="J654" s="98"/>
      <c r="K654" s="36"/>
      <c r="L654" s="26"/>
      <c r="M654" s="26"/>
      <c r="N654" s="26"/>
      <c r="O654" s="93"/>
      <c r="P654" s="95"/>
      <c r="Q654" s="196"/>
    </row>
    <row r="655" spans="3:17" x14ac:dyDescent="0.25">
      <c r="C655" s="198"/>
      <c r="D655" s="111"/>
      <c r="E655" s="33"/>
      <c r="F655" s="90"/>
      <c r="H655" s="115"/>
      <c r="I655" s="26"/>
      <c r="J655" s="98"/>
      <c r="K655" s="36"/>
      <c r="L655" s="26"/>
      <c r="M655" s="26"/>
      <c r="N655" s="26"/>
      <c r="O655" s="93"/>
      <c r="P655" s="95"/>
      <c r="Q655" s="196"/>
    </row>
    <row r="656" spans="3:17" x14ac:dyDescent="0.25">
      <c r="C656" s="198"/>
      <c r="D656" s="111"/>
      <c r="E656" s="33"/>
      <c r="F656" s="90"/>
      <c r="H656" s="115"/>
      <c r="I656" s="26"/>
      <c r="J656" s="98"/>
      <c r="K656" s="36"/>
      <c r="L656" s="26"/>
      <c r="M656" s="26"/>
      <c r="N656" s="26"/>
      <c r="O656" s="93"/>
      <c r="P656" s="95"/>
      <c r="Q656" s="196"/>
    </row>
    <row r="657" spans="3:17" x14ac:dyDescent="0.25">
      <c r="C657" s="198"/>
      <c r="D657" s="111"/>
      <c r="E657" s="33"/>
      <c r="F657" s="90"/>
      <c r="H657" s="115"/>
      <c r="I657" s="26"/>
      <c r="J657" s="98"/>
      <c r="K657" s="36"/>
      <c r="L657" s="26"/>
      <c r="M657" s="26"/>
      <c r="N657" s="26"/>
      <c r="O657" s="93"/>
      <c r="P657" s="95"/>
      <c r="Q657" s="196"/>
    </row>
    <row r="658" spans="3:17" x14ac:dyDescent="0.25">
      <c r="C658" s="198"/>
      <c r="D658" s="111"/>
      <c r="E658" s="33"/>
      <c r="F658" s="90"/>
      <c r="H658" s="115"/>
      <c r="I658" s="26"/>
      <c r="J658" s="98"/>
      <c r="K658" s="36"/>
      <c r="L658" s="26"/>
      <c r="M658" s="26"/>
      <c r="N658" s="26"/>
      <c r="O658" s="93"/>
      <c r="P658" s="95"/>
      <c r="Q658" s="196"/>
    </row>
    <row r="659" spans="3:17" x14ac:dyDescent="0.25">
      <c r="C659" s="198"/>
      <c r="D659" s="111"/>
      <c r="E659" s="33"/>
      <c r="F659" s="90"/>
      <c r="H659" s="115"/>
      <c r="I659" s="26"/>
      <c r="J659" s="98"/>
      <c r="K659" s="36"/>
      <c r="L659" s="26"/>
      <c r="M659" s="26"/>
      <c r="N659" s="26"/>
      <c r="O659" s="93"/>
      <c r="P659" s="95"/>
      <c r="Q659" s="196"/>
    </row>
    <row r="660" spans="3:17" x14ac:dyDescent="0.25">
      <c r="C660" s="198"/>
      <c r="D660" s="111"/>
      <c r="E660" s="33"/>
      <c r="F660" s="90"/>
      <c r="H660" s="115"/>
      <c r="I660" s="26"/>
      <c r="J660" s="98"/>
      <c r="K660" s="36"/>
      <c r="L660" s="26"/>
      <c r="M660" s="26"/>
      <c r="N660" s="26"/>
      <c r="O660" s="93"/>
      <c r="P660" s="95"/>
      <c r="Q660" s="196"/>
    </row>
    <row r="661" spans="3:17" x14ac:dyDescent="0.25">
      <c r="C661" s="198"/>
      <c r="D661" s="111"/>
      <c r="E661" s="33"/>
      <c r="F661" s="90"/>
      <c r="H661" s="115"/>
      <c r="I661" s="26"/>
      <c r="J661" s="98"/>
      <c r="K661" s="36"/>
      <c r="L661" s="26"/>
      <c r="M661" s="26"/>
      <c r="N661" s="26"/>
      <c r="O661" s="93"/>
      <c r="P661" s="95"/>
      <c r="Q661" s="196"/>
    </row>
    <row r="662" spans="3:17" x14ac:dyDescent="0.25">
      <c r="C662" s="198"/>
      <c r="D662" s="111"/>
      <c r="E662" s="33"/>
      <c r="F662" s="90"/>
      <c r="H662" s="115"/>
      <c r="I662" s="26"/>
      <c r="J662" s="98"/>
      <c r="K662" s="36"/>
      <c r="L662" s="26"/>
      <c r="M662" s="26"/>
      <c r="N662" s="26"/>
      <c r="O662" s="93"/>
      <c r="P662" s="95"/>
      <c r="Q662" s="196"/>
    </row>
    <row r="663" spans="3:17" x14ac:dyDescent="0.25">
      <c r="C663" s="198"/>
      <c r="D663" s="111"/>
      <c r="E663" s="33"/>
      <c r="F663" s="90"/>
      <c r="H663" s="115"/>
      <c r="I663" s="26"/>
      <c r="J663" s="98"/>
      <c r="K663" s="36"/>
      <c r="L663" s="26"/>
      <c r="M663" s="26"/>
      <c r="N663" s="26"/>
      <c r="O663" s="93"/>
      <c r="P663" s="95"/>
      <c r="Q663" s="196"/>
    </row>
    <row r="664" spans="3:17" x14ac:dyDescent="0.25">
      <c r="C664" s="198"/>
      <c r="D664" s="111"/>
      <c r="E664" s="33"/>
      <c r="F664" s="90"/>
      <c r="H664" s="115"/>
      <c r="I664" s="26"/>
      <c r="J664" s="98"/>
      <c r="K664" s="36"/>
      <c r="L664" s="26"/>
      <c r="M664" s="26"/>
      <c r="N664" s="26"/>
      <c r="O664" s="93"/>
      <c r="P664" s="95"/>
      <c r="Q664" s="196"/>
    </row>
    <row r="665" spans="3:17" x14ac:dyDescent="0.25">
      <c r="C665" s="198"/>
      <c r="D665" s="111"/>
      <c r="E665" s="33"/>
      <c r="F665" s="90"/>
      <c r="H665" s="115"/>
      <c r="I665" s="26"/>
      <c r="J665" s="98"/>
      <c r="K665" s="36"/>
      <c r="L665" s="26"/>
      <c r="M665" s="26"/>
      <c r="N665" s="26"/>
      <c r="O665" s="93"/>
      <c r="P665" s="95"/>
      <c r="Q665" s="196"/>
    </row>
    <row r="666" spans="3:17" x14ac:dyDescent="0.25">
      <c r="C666" s="198"/>
      <c r="D666" s="111"/>
      <c r="E666" s="33"/>
      <c r="F666" s="90"/>
      <c r="H666" s="115"/>
      <c r="I666" s="26"/>
      <c r="J666" s="98"/>
      <c r="K666" s="36"/>
      <c r="L666" s="26"/>
      <c r="M666" s="26"/>
      <c r="N666" s="26"/>
      <c r="O666" s="93"/>
      <c r="P666" s="95"/>
      <c r="Q666" s="196"/>
    </row>
    <row r="667" spans="3:17" x14ac:dyDescent="0.25">
      <c r="C667" s="198"/>
      <c r="D667" s="111"/>
      <c r="E667" s="33"/>
      <c r="F667" s="90"/>
      <c r="H667" s="115"/>
      <c r="I667" s="26"/>
      <c r="J667" s="98"/>
      <c r="K667" s="36"/>
      <c r="L667" s="26"/>
      <c r="M667" s="26"/>
      <c r="N667" s="26"/>
      <c r="O667" s="93"/>
      <c r="P667" s="95"/>
      <c r="Q667" s="196"/>
    </row>
    <row r="668" spans="3:17" x14ac:dyDescent="0.25">
      <c r="C668" s="198"/>
      <c r="D668" s="111"/>
      <c r="E668" s="33"/>
      <c r="F668" s="90"/>
      <c r="H668" s="115"/>
      <c r="I668" s="26"/>
      <c r="J668" s="98"/>
      <c r="K668" s="36"/>
      <c r="L668" s="26"/>
      <c r="M668" s="26"/>
      <c r="N668" s="26"/>
      <c r="O668" s="93"/>
      <c r="P668" s="95"/>
      <c r="Q668" s="196"/>
    </row>
    <row r="669" spans="3:17" x14ac:dyDescent="0.25">
      <c r="C669" s="198"/>
      <c r="D669" s="111"/>
      <c r="E669" s="33"/>
      <c r="F669" s="90"/>
      <c r="H669" s="115"/>
      <c r="I669" s="26"/>
      <c r="J669" s="98"/>
      <c r="K669" s="36"/>
      <c r="L669" s="26"/>
      <c r="M669" s="26"/>
      <c r="N669" s="26"/>
      <c r="O669" s="93"/>
      <c r="P669" s="95"/>
      <c r="Q669" s="196"/>
    </row>
    <row r="670" spans="3:17" x14ac:dyDescent="0.25">
      <c r="C670" s="198"/>
      <c r="D670" s="111"/>
      <c r="E670" s="33"/>
      <c r="F670" s="90"/>
      <c r="H670" s="115"/>
      <c r="I670" s="26"/>
      <c r="J670" s="98"/>
      <c r="K670" s="36"/>
      <c r="L670" s="26"/>
      <c r="M670" s="26"/>
      <c r="N670" s="26"/>
      <c r="O670" s="93"/>
      <c r="P670" s="95"/>
      <c r="Q670" s="196"/>
    </row>
    <row r="671" spans="3:17" x14ac:dyDescent="0.25">
      <c r="C671" s="198"/>
      <c r="D671" s="111"/>
      <c r="E671" s="33"/>
      <c r="F671" s="90"/>
      <c r="H671" s="115"/>
      <c r="I671" s="26"/>
      <c r="J671" s="98"/>
      <c r="K671" s="36"/>
      <c r="L671" s="26"/>
      <c r="M671" s="26"/>
      <c r="N671" s="26"/>
      <c r="O671" s="93"/>
      <c r="P671" s="95"/>
      <c r="Q671" s="196"/>
    </row>
    <row r="672" spans="3:17" x14ac:dyDescent="0.25">
      <c r="C672" s="198"/>
      <c r="D672" s="111"/>
      <c r="E672" s="33"/>
      <c r="F672" s="90"/>
      <c r="H672" s="115"/>
      <c r="I672" s="26"/>
      <c r="J672" s="98"/>
      <c r="K672" s="36"/>
      <c r="L672" s="26"/>
      <c r="M672" s="26"/>
      <c r="N672" s="26"/>
      <c r="O672" s="93"/>
      <c r="P672" s="95"/>
      <c r="Q672" s="196"/>
    </row>
    <row r="673" spans="3:17" x14ac:dyDescent="0.25">
      <c r="C673" s="198"/>
      <c r="D673" s="111"/>
      <c r="E673" s="33"/>
      <c r="F673" s="90"/>
      <c r="H673" s="115"/>
      <c r="I673" s="26"/>
      <c r="J673" s="98"/>
      <c r="K673" s="36"/>
      <c r="L673" s="26"/>
      <c r="M673" s="26"/>
      <c r="N673" s="26"/>
      <c r="O673" s="93"/>
      <c r="P673" s="95"/>
      <c r="Q673" s="196"/>
    </row>
    <row r="674" spans="3:17" x14ac:dyDescent="0.25">
      <c r="C674" s="198"/>
      <c r="D674" s="111"/>
      <c r="E674" s="33"/>
      <c r="F674" s="90"/>
      <c r="H674" s="115"/>
      <c r="I674" s="26"/>
      <c r="J674" s="98"/>
      <c r="K674" s="36"/>
      <c r="L674" s="26"/>
      <c r="M674" s="26"/>
      <c r="N674" s="26"/>
      <c r="O674" s="93"/>
      <c r="P674" s="95"/>
      <c r="Q674" s="196"/>
    </row>
    <row r="675" spans="3:17" x14ac:dyDescent="0.25">
      <c r="C675" s="198"/>
      <c r="D675" s="111"/>
      <c r="E675" s="33"/>
      <c r="F675" s="90"/>
      <c r="H675" s="115"/>
      <c r="I675" s="26"/>
      <c r="J675" s="98"/>
      <c r="K675" s="36"/>
      <c r="L675" s="26"/>
      <c r="M675" s="26"/>
      <c r="N675" s="26"/>
      <c r="O675" s="93"/>
      <c r="P675" s="95"/>
      <c r="Q675" s="196"/>
    </row>
    <row r="676" spans="3:17" x14ac:dyDescent="0.25">
      <c r="C676" s="198"/>
      <c r="D676" s="111"/>
      <c r="E676" s="33"/>
      <c r="F676" s="90"/>
      <c r="H676" s="115"/>
      <c r="I676" s="26"/>
      <c r="J676" s="98"/>
      <c r="K676" s="36"/>
      <c r="L676" s="26"/>
      <c r="M676" s="26"/>
      <c r="N676" s="26"/>
      <c r="O676" s="93"/>
      <c r="P676" s="95"/>
      <c r="Q676" s="196"/>
    </row>
    <row r="677" spans="3:17" x14ac:dyDescent="0.25">
      <c r="C677" s="198"/>
      <c r="D677" s="111"/>
      <c r="E677" s="33"/>
      <c r="F677" s="90"/>
      <c r="H677" s="115"/>
      <c r="I677" s="26"/>
      <c r="J677" s="98"/>
      <c r="K677" s="36"/>
      <c r="L677" s="26"/>
      <c r="M677" s="26"/>
      <c r="N677" s="26"/>
      <c r="O677" s="93"/>
      <c r="P677" s="95"/>
      <c r="Q677" s="196"/>
    </row>
    <row r="678" spans="3:17" x14ac:dyDescent="0.25">
      <c r="C678" s="198"/>
      <c r="D678" s="111"/>
      <c r="E678" s="33"/>
      <c r="F678" s="90"/>
      <c r="H678" s="115"/>
      <c r="I678" s="26"/>
      <c r="J678" s="98"/>
      <c r="K678" s="36"/>
      <c r="L678" s="26"/>
      <c r="M678" s="26"/>
      <c r="N678" s="26"/>
      <c r="O678" s="93"/>
      <c r="P678" s="95"/>
      <c r="Q678" s="196"/>
    </row>
    <row r="679" spans="3:17" x14ac:dyDescent="0.25">
      <c r="C679" s="198"/>
      <c r="D679" s="111"/>
      <c r="E679" s="33"/>
      <c r="F679" s="90"/>
      <c r="H679" s="115"/>
      <c r="I679" s="26"/>
      <c r="J679" s="98"/>
      <c r="K679" s="36"/>
      <c r="L679" s="26"/>
      <c r="M679" s="26"/>
      <c r="N679" s="26"/>
      <c r="O679" s="93"/>
      <c r="P679" s="95"/>
      <c r="Q679" s="196"/>
    </row>
    <row r="680" spans="3:17" x14ac:dyDescent="0.25">
      <c r="C680" s="198"/>
      <c r="D680" s="111"/>
      <c r="E680" s="33"/>
      <c r="F680" s="90"/>
      <c r="H680" s="115"/>
      <c r="I680" s="26"/>
      <c r="J680" s="98"/>
      <c r="K680" s="36"/>
      <c r="L680" s="26"/>
      <c r="M680" s="26"/>
      <c r="N680" s="26"/>
      <c r="O680" s="93"/>
      <c r="P680" s="95"/>
      <c r="Q680" s="196"/>
    </row>
    <row r="681" spans="3:17" x14ac:dyDescent="0.25">
      <c r="C681" s="198"/>
      <c r="D681" s="111"/>
      <c r="E681" s="33"/>
      <c r="F681" s="90"/>
      <c r="H681" s="115"/>
      <c r="I681" s="26"/>
      <c r="J681" s="98"/>
      <c r="K681" s="36"/>
      <c r="L681" s="26"/>
      <c r="M681" s="26"/>
      <c r="N681" s="26"/>
      <c r="O681" s="93"/>
      <c r="P681" s="95"/>
      <c r="Q681" s="196"/>
    </row>
    <row r="682" spans="3:17" x14ac:dyDescent="0.25">
      <c r="C682" s="198"/>
      <c r="D682" s="111"/>
      <c r="E682" s="33"/>
      <c r="F682" s="90"/>
      <c r="H682" s="115"/>
      <c r="I682" s="26"/>
      <c r="J682" s="98"/>
      <c r="K682" s="36"/>
      <c r="L682" s="26"/>
      <c r="M682" s="26"/>
      <c r="N682" s="26"/>
      <c r="O682" s="93"/>
      <c r="P682" s="95"/>
      <c r="Q682" s="196"/>
    </row>
    <row r="683" spans="3:17" x14ac:dyDescent="0.25">
      <c r="C683" s="198"/>
      <c r="D683" s="111"/>
      <c r="E683" s="33"/>
      <c r="F683" s="90"/>
      <c r="H683" s="115"/>
      <c r="I683" s="26"/>
      <c r="J683" s="98"/>
      <c r="K683" s="36"/>
      <c r="L683" s="26"/>
      <c r="M683" s="26"/>
      <c r="N683" s="26"/>
      <c r="O683" s="93"/>
      <c r="P683" s="95"/>
      <c r="Q683" s="196"/>
    </row>
    <row r="684" spans="3:17" x14ac:dyDescent="0.25">
      <c r="C684" s="198"/>
      <c r="D684" s="111"/>
      <c r="E684" s="33"/>
      <c r="F684" s="90"/>
      <c r="H684" s="115"/>
      <c r="I684" s="26"/>
      <c r="J684" s="98"/>
      <c r="K684" s="36"/>
      <c r="L684" s="26"/>
      <c r="M684" s="26"/>
      <c r="N684" s="26"/>
      <c r="O684" s="93"/>
      <c r="P684" s="95"/>
      <c r="Q684" s="196"/>
    </row>
    <row r="685" spans="3:17" x14ac:dyDescent="0.25">
      <c r="C685" s="198"/>
      <c r="D685" s="111"/>
      <c r="E685" s="33"/>
      <c r="F685" s="90"/>
      <c r="H685" s="115"/>
      <c r="I685" s="26"/>
      <c r="J685" s="98"/>
      <c r="K685" s="36"/>
      <c r="L685" s="26"/>
      <c r="M685" s="26"/>
      <c r="N685" s="26"/>
      <c r="O685" s="93"/>
      <c r="P685" s="95"/>
      <c r="Q685" s="196"/>
    </row>
    <row r="686" spans="3:17" x14ac:dyDescent="0.25">
      <c r="C686" s="198"/>
      <c r="D686" s="111"/>
      <c r="E686" s="33"/>
      <c r="F686" s="90"/>
      <c r="H686" s="115"/>
      <c r="I686" s="26"/>
      <c r="J686" s="98"/>
      <c r="K686" s="36"/>
      <c r="L686" s="26"/>
      <c r="M686" s="26"/>
      <c r="N686" s="26"/>
      <c r="O686" s="93"/>
      <c r="P686" s="95"/>
      <c r="Q686" s="196"/>
    </row>
    <row r="687" spans="3:17" x14ac:dyDescent="0.25">
      <c r="C687" s="198"/>
      <c r="D687" s="111"/>
      <c r="E687" s="33"/>
      <c r="F687" s="90"/>
      <c r="H687" s="115"/>
      <c r="I687" s="26"/>
      <c r="J687" s="98"/>
      <c r="K687" s="36"/>
      <c r="L687" s="26"/>
      <c r="M687" s="26"/>
      <c r="N687" s="26"/>
      <c r="O687" s="93"/>
      <c r="P687" s="95"/>
      <c r="Q687" s="196"/>
    </row>
    <row r="688" spans="3:17" x14ac:dyDescent="0.25">
      <c r="C688" s="198"/>
      <c r="D688" s="111"/>
      <c r="E688" s="33"/>
      <c r="F688" s="90"/>
      <c r="H688" s="115"/>
      <c r="I688" s="26"/>
      <c r="J688" s="98"/>
      <c r="K688" s="36"/>
      <c r="L688" s="26"/>
      <c r="M688" s="26"/>
      <c r="N688" s="26"/>
      <c r="O688" s="93"/>
      <c r="P688" s="95"/>
      <c r="Q688" s="196"/>
    </row>
    <row r="689" spans="3:17" x14ac:dyDescent="0.25">
      <c r="C689" s="198"/>
      <c r="D689" s="111"/>
      <c r="E689" s="33"/>
      <c r="F689" s="90"/>
      <c r="H689" s="115"/>
      <c r="I689" s="26"/>
      <c r="J689" s="98"/>
      <c r="K689" s="36"/>
      <c r="L689" s="26"/>
      <c r="M689" s="26"/>
      <c r="N689" s="26"/>
      <c r="O689" s="93"/>
      <c r="P689" s="95"/>
      <c r="Q689" s="196"/>
    </row>
    <row r="690" spans="3:17" x14ac:dyDescent="0.25">
      <c r="C690" s="198"/>
      <c r="D690" s="111"/>
      <c r="E690" s="33"/>
      <c r="F690" s="90"/>
      <c r="H690" s="115"/>
      <c r="I690" s="26"/>
      <c r="J690" s="98"/>
      <c r="K690" s="36"/>
      <c r="L690" s="26"/>
      <c r="M690" s="26"/>
      <c r="N690" s="26"/>
      <c r="O690" s="93"/>
      <c r="P690" s="95"/>
      <c r="Q690" s="196"/>
    </row>
    <row r="691" spans="3:17" x14ac:dyDescent="0.25">
      <c r="C691" s="198"/>
      <c r="D691" s="111"/>
      <c r="E691" s="33"/>
      <c r="F691" s="90"/>
      <c r="H691" s="115"/>
      <c r="I691" s="26"/>
      <c r="J691" s="98"/>
      <c r="K691" s="36"/>
      <c r="L691" s="26"/>
      <c r="M691" s="26"/>
      <c r="N691" s="26"/>
      <c r="O691" s="93"/>
      <c r="P691" s="95"/>
      <c r="Q691" s="196"/>
    </row>
    <row r="692" spans="3:17" x14ac:dyDescent="0.25">
      <c r="C692" s="198"/>
      <c r="D692" s="111"/>
      <c r="E692" s="33"/>
      <c r="F692" s="90"/>
      <c r="H692" s="115"/>
      <c r="I692" s="26"/>
      <c r="J692" s="98"/>
      <c r="K692" s="36"/>
      <c r="L692" s="26"/>
      <c r="M692" s="26"/>
      <c r="N692" s="26"/>
      <c r="O692" s="93"/>
      <c r="P692" s="95"/>
      <c r="Q692" s="196"/>
    </row>
    <row r="693" spans="3:17" x14ac:dyDescent="0.25">
      <c r="C693" s="198"/>
      <c r="D693" s="111"/>
      <c r="E693" s="33"/>
      <c r="F693" s="90"/>
      <c r="H693" s="115"/>
      <c r="I693" s="26"/>
      <c r="J693" s="98"/>
      <c r="K693" s="36"/>
      <c r="L693" s="26"/>
      <c r="M693" s="26"/>
      <c r="N693" s="26"/>
      <c r="O693" s="93"/>
      <c r="P693" s="95"/>
      <c r="Q693" s="196"/>
    </row>
    <row r="694" spans="3:17" x14ac:dyDescent="0.25">
      <c r="C694" s="198"/>
      <c r="D694" s="111"/>
      <c r="E694" s="33"/>
      <c r="F694" s="90"/>
      <c r="H694" s="115"/>
      <c r="I694" s="26"/>
      <c r="J694" s="98"/>
      <c r="K694" s="36"/>
      <c r="L694" s="26"/>
      <c r="M694" s="26"/>
      <c r="N694" s="26"/>
      <c r="O694" s="93"/>
      <c r="P694" s="95"/>
      <c r="Q694" s="196"/>
    </row>
    <row r="695" spans="3:17" x14ac:dyDescent="0.25">
      <c r="C695" s="198"/>
      <c r="D695" s="111"/>
      <c r="E695" s="33"/>
      <c r="F695" s="90"/>
      <c r="H695" s="115"/>
      <c r="I695" s="26"/>
      <c r="J695" s="98"/>
      <c r="K695" s="36"/>
      <c r="L695" s="26"/>
      <c r="M695" s="26"/>
      <c r="N695" s="26"/>
      <c r="O695" s="93"/>
      <c r="P695" s="95"/>
      <c r="Q695" s="196"/>
    </row>
    <row r="696" spans="3:17" x14ac:dyDescent="0.25">
      <c r="C696" s="198"/>
      <c r="D696" s="111"/>
      <c r="E696" s="33"/>
      <c r="F696" s="90"/>
      <c r="H696" s="115"/>
      <c r="I696" s="26"/>
      <c r="J696" s="98"/>
      <c r="K696" s="36"/>
      <c r="L696" s="26"/>
      <c r="M696" s="26"/>
      <c r="N696" s="26"/>
      <c r="O696" s="93"/>
      <c r="P696" s="95"/>
      <c r="Q696" s="196"/>
    </row>
    <row r="697" spans="3:17" x14ac:dyDescent="0.25">
      <c r="C697" s="198"/>
      <c r="D697" s="111"/>
      <c r="E697" s="33"/>
      <c r="F697" s="90"/>
      <c r="H697" s="115"/>
      <c r="I697" s="26"/>
      <c r="J697" s="98"/>
      <c r="K697" s="36"/>
      <c r="L697" s="26"/>
      <c r="M697" s="26"/>
      <c r="N697" s="26"/>
      <c r="O697" s="93"/>
      <c r="P697" s="95"/>
      <c r="Q697" s="196"/>
    </row>
    <row r="698" spans="3:17" x14ac:dyDescent="0.25">
      <c r="C698" s="198"/>
      <c r="D698" s="111"/>
      <c r="E698" s="33"/>
      <c r="F698" s="90"/>
      <c r="H698" s="115"/>
      <c r="I698" s="26"/>
      <c r="J698" s="98"/>
      <c r="K698" s="36"/>
      <c r="L698" s="26"/>
      <c r="M698" s="26"/>
      <c r="N698" s="26"/>
      <c r="O698" s="93"/>
      <c r="P698" s="95"/>
      <c r="Q698" s="196"/>
    </row>
    <row r="699" spans="3:17" x14ac:dyDescent="0.25">
      <c r="C699" s="198"/>
      <c r="D699" s="111"/>
      <c r="E699" s="33"/>
      <c r="F699" s="90"/>
      <c r="H699" s="115"/>
      <c r="I699" s="26"/>
      <c r="J699" s="98"/>
      <c r="K699" s="36"/>
      <c r="L699" s="26"/>
      <c r="M699" s="26"/>
      <c r="N699" s="26"/>
      <c r="O699" s="93"/>
      <c r="P699" s="95"/>
      <c r="Q699" s="196"/>
    </row>
    <row r="700" spans="3:17" x14ac:dyDescent="0.25">
      <c r="C700" s="198"/>
      <c r="D700" s="111"/>
      <c r="E700" s="33"/>
      <c r="F700" s="90"/>
      <c r="H700" s="115"/>
      <c r="I700" s="26"/>
      <c r="J700" s="98"/>
      <c r="K700" s="36"/>
      <c r="L700" s="26"/>
      <c r="M700" s="26"/>
      <c r="N700" s="26"/>
      <c r="O700" s="93"/>
      <c r="P700" s="95"/>
      <c r="Q700" s="196"/>
    </row>
    <row r="701" spans="3:17" x14ac:dyDescent="0.25">
      <c r="C701" s="198"/>
      <c r="D701" s="111"/>
      <c r="E701" s="33"/>
      <c r="F701" s="90"/>
      <c r="H701" s="115"/>
      <c r="I701" s="26"/>
      <c r="J701" s="98"/>
      <c r="K701" s="36"/>
      <c r="L701" s="26"/>
      <c r="M701" s="26"/>
      <c r="N701" s="26"/>
      <c r="O701" s="93"/>
      <c r="P701" s="95"/>
      <c r="Q701" s="196"/>
    </row>
    <row r="702" spans="3:17" x14ac:dyDescent="0.25">
      <c r="C702" s="198"/>
      <c r="D702" s="111"/>
      <c r="E702" s="33"/>
      <c r="F702" s="90"/>
      <c r="H702" s="115"/>
      <c r="I702" s="26"/>
      <c r="J702" s="98"/>
      <c r="K702" s="36"/>
      <c r="L702" s="26"/>
      <c r="M702" s="26"/>
      <c r="N702" s="26"/>
      <c r="O702" s="93"/>
      <c r="P702" s="95"/>
      <c r="Q702" s="196"/>
    </row>
    <row r="703" spans="3:17" x14ac:dyDescent="0.25">
      <c r="C703" s="198"/>
      <c r="D703" s="111"/>
      <c r="E703" s="33"/>
      <c r="F703" s="90"/>
      <c r="H703" s="115"/>
      <c r="I703" s="26"/>
      <c r="J703" s="98"/>
      <c r="K703" s="36"/>
      <c r="L703" s="26"/>
      <c r="M703" s="26"/>
      <c r="N703" s="26"/>
      <c r="O703" s="93"/>
      <c r="P703" s="95"/>
      <c r="Q703" s="196"/>
    </row>
    <row r="704" spans="3:17" x14ac:dyDescent="0.25">
      <c r="C704" s="198"/>
      <c r="D704" s="111"/>
      <c r="E704" s="33"/>
      <c r="F704" s="90"/>
      <c r="H704" s="115"/>
      <c r="I704" s="26"/>
      <c r="J704" s="98"/>
      <c r="K704" s="36"/>
      <c r="L704" s="26"/>
      <c r="M704" s="26"/>
      <c r="N704" s="26"/>
      <c r="O704" s="93"/>
      <c r="P704" s="95"/>
      <c r="Q704" s="196"/>
    </row>
    <row r="705" spans="3:17" x14ac:dyDescent="0.25">
      <c r="C705" s="198"/>
      <c r="D705" s="111"/>
      <c r="E705" s="33"/>
      <c r="F705" s="90"/>
      <c r="H705" s="115"/>
      <c r="I705" s="26"/>
      <c r="J705" s="98"/>
      <c r="K705" s="36"/>
      <c r="L705" s="26"/>
      <c r="M705" s="26"/>
      <c r="N705" s="26"/>
      <c r="O705" s="93"/>
      <c r="P705" s="95"/>
      <c r="Q705" s="196"/>
    </row>
    <row r="706" spans="3:17" x14ac:dyDescent="0.25">
      <c r="C706" s="198"/>
      <c r="D706" s="111"/>
      <c r="E706" s="33"/>
      <c r="F706" s="90"/>
      <c r="H706" s="115"/>
      <c r="I706" s="26"/>
      <c r="J706" s="98"/>
      <c r="K706" s="36"/>
      <c r="L706" s="26"/>
      <c r="M706" s="26"/>
      <c r="N706" s="26"/>
      <c r="O706" s="93"/>
      <c r="P706" s="95"/>
      <c r="Q706" s="196"/>
    </row>
    <row r="707" spans="3:17" x14ac:dyDescent="0.25">
      <c r="C707" s="198"/>
      <c r="D707" s="111"/>
      <c r="E707" s="33"/>
      <c r="F707" s="90"/>
      <c r="H707" s="115"/>
      <c r="I707" s="26"/>
      <c r="J707" s="98"/>
      <c r="K707" s="36"/>
      <c r="L707" s="26"/>
      <c r="M707" s="26"/>
      <c r="N707" s="26"/>
      <c r="O707" s="93"/>
      <c r="P707" s="95"/>
      <c r="Q707" s="196"/>
    </row>
    <row r="708" spans="3:17" x14ac:dyDescent="0.25">
      <c r="C708" s="198"/>
      <c r="D708" s="111"/>
      <c r="E708" s="33"/>
      <c r="F708" s="90"/>
      <c r="H708" s="115"/>
      <c r="I708" s="26"/>
      <c r="J708" s="98"/>
      <c r="K708" s="36"/>
      <c r="L708" s="26"/>
      <c r="M708" s="26"/>
      <c r="N708" s="26"/>
      <c r="O708" s="93"/>
      <c r="P708" s="95"/>
      <c r="Q708" s="196"/>
    </row>
    <row r="709" spans="3:17" x14ac:dyDescent="0.25">
      <c r="C709" s="198"/>
      <c r="D709" s="111"/>
      <c r="E709" s="33"/>
      <c r="F709" s="90"/>
      <c r="H709" s="115"/>
      <c r="I709" s="26"/>
      <c r="J709" s="98"/>
      <c r="K709" s="36"/>
      <c r="L709" s="26"/>
      <c r="M709" s="26"/>
      <c r="N709" s="26"/>
      <c r="O709" s="93"/>
      <c r="P709" s="95"/>
      <c r="Q709" s="196"/>
    </row>
    <row r="710" spans="3:17" x14ac:dyDescent="0.25">
      <c r="C710" s="198"/>
      <c r="D710" s="111"/>
      <c r="E710" s="33"/>
      <c r="F710" s="90"/>
      <c r="H710" s="115"/>
      <c r="I710" s="26"/>
      <c r="J710" s="98"/>
      <c r="K710" s="36"/>
      <c r="L710" s="26"/>
      <c r="M710" s="26"/>
      <c r="N710" s="26"/>
      <c r="O710" s="93"/>
      <c r="P710" s="95"/>
      <c r="Q710" s="196"/>
    </row>
    <row r="711" spans="3:17" x14ac:dyDescent="0.25">
      <c r="C711" s="198"/>
      <c r="D711" s="111"/>
      <c r="E711" s="33"/>
      <c r="F711" s="90"/>
      <c r="H711" s="115"/>
      <c r="I711" s="26"/>
      <c r="J711" s="98"/>
      <c r="K711" s="36"/>
      <c r="L711" s="26"/>
      <c r="M711" s="26"/>
      <c r="N711" s="26"/>
      <c r="O711" s="93"/>
      <c r="P711" s="95"/>
      <c r="Q711" s="196"/>
    </row>
    <row r="712" spans="3:17" x14ac:dyDescent="0.25">
      <c r="C712" s="198"/>
      <c r="D712" s="111"/>
      <c r="E712" s="33"/>
      <c r="F712" s="90"/>
      <c r="H712" s="115"/>
      <c r="I712" s="26"/>
      <c r="J712" s="98"/>
      <c r="K712" s="36"/>
      <c r="L712" s="26"/>
      <c r="M712" s="26"/>
      <c r="N712" s="26"/>
      <c r="O712" s="93"/>
      <c r="P712" s="95"/>
      <c r="Q712" s="196"/>
    </row>
    <row r="713" spans="3:17" x14ac:dyDescent="0.25">
      <c r="C713" s="198"/>
      <c r="D713" s="111"/>
      <c r="E713" s="33"/>
      <c r="F713" s="90"/>
      <c r="H713" s="115"/>
      <c r="I713" s="26"/>
      <c r="J713" s="98"/>
      <c r="K713" s="36"/>
      <c r="L713" s="26"/>
      <c r="M713" s="26"/>
      <c r="N713" s="26"/>
      <c r="O713" s="93"/>
      <c r="P713" s="95"/>
      <c r="Q713" s="196"/>
    </row>
    <row r="714" spans="3:17" x14ac:dyDescent="0.25">
      <c r="C714" s="198"/>
      <c r="D714" s="111"/>
      <c r="E714" s="33"/>
      <c r="F714" s="90"/>
      <c r="H714" s="115"/>
      <c r="I714" s="26"/>
      <c r="J714" s="98"/>
      <c r="K714" s="36"/>
      <c r="L714" s="26"/>
      <c r="M714" s="26"/>
      <c r="N714" s="26"/>
      <c r="O714" s="93"/>
      <c r="P714" s="95"/>
      <c r="Q714" s="196"/>
    </row>
    <row r="715" spans="3:17" x14ac:dyDescent="0.25">
      <c r="C715" s="198"/>
      <c r="D715" s="111"/>
      <c r="E715" s="33"/>
      <c r="F715" s="90"/>
      <c r="H715" s="115"/>
      <c r="I715" s="26"/>
      <c r="J715" s="98"/>
      <c r="K715" s="36"/>
      <c r="L715" s="26"/>
      <c r="M715" s="26"/>
      <c r="N715" s="26"/>
      <c r="O715" s="93"/>
      <c r="P715" s="95"/>
      <c r="Q715" s="196"/>
    </row>
    <row r="716" spans="3:17" x14ac:dyDescent="0.25">
      <c r="C716" s="198"/>
      <c r="D716" s="111"/>
      <c r="E716" s="33"/>
      <c r="F716" s="90"/>
      <c r="H716" s="115"/>
      <c r="I716" s="26"/>
      <c r="J716" s="98"/>
      <c r="K716" s="36"/>
      <c r="L716" s="26"/>
      <c r="M716" s="26"/>
      <c r="N716" s="26"/>
      <c r="O716" s="93"/>
      <c r="P716" s="95"/>
      <c r="Q716" s="196"/>
    </row>
    <row r="717" spans="3:17" x14ac:dyDescent="0.25">
      <c r="C717" s="198"/>
      <c r="D717" s="111"/>
      <c r="E717" s="33"/>
      <c r="F717" s="90"/>
      <c r="H717" s="115"/>
      <c r="I717" s="26"/>
      <c r="J717" s="98"/>
      <c r="K717" s="36"/>
      <c r="L717" s="26"/>
      <c r="M717" s="26"/>
      <c r="N717" s="26"/>
      <c r="O717" s="93"/>
      <c r="P717" s="95"/>
      <c r="Q717" s="196"/>
    </row>
    <row r="718" spans="3:17" x14ac:dyDescent="0.25">
      <c r="C718" s="198"/>
      <c r="D718" s="111"/>
      <c r="E718" s="33"/>
      <c r="F718" s="90"/>
      <c r="H718" s="115"/>
      <c r="I718" s="26"/>
      <c r="J718" s="98"/>
      <c r="K718" s="36"/>
      <c r="L718" s="26"/>
      <c r="M718" s="26"/>
      <c r="N718" s="26"/>
      <c r="O718" s="93"/>
      <c r="P718" s="95"/>
      <c r="Q718" s="196"/>
    </row>
    <row r="719" spans="3:17" x14ac:dyDescent="0.25">
      <c r="C719" s="198"/>
      <c r="D719" s="111"/>
      <c r="E719" s="33"/>
      <c r="F719" s="90"/>
      <c r="H719" s="115"/>
      <c r="I719" s="26"/>
      <c r="J719" s="98"/>
      <c r="K719" s="36"/>
      <c r="L719" s="26"/>
      <c r="M719" s="26"/>
      <c r="N719" s="26"/>
      <c r="O719" s="93"/>
      <c r="P719" s="95"/>
      <c r="Q719" s="196"/>
    </row>
    <row r="720" spans="3:17" x14ac:dyDescent="0.25">
      <c r="C720" s="198"/>
      <c r="D720" s="111"/>
      <c r="E720" s="33"/>
      <c r="F720" s="90"/>
      <c r="H720" s="115"/>
      <c r="I720" s="26"/>
      <c r="J720" s="98"/>
      <c r="K720" s="36"/>
      <c r="L720" s="26"/>
      <c r="M720" s="26"/>
      <c r="N720" s="26"/>
      <c r="O720" s="93"/>
      <c r="P720" s="95"/>
      <c r="Q720" s="196"/>
    </row>
    <row r="721" spans="3:17" x14ac:dyDescent="0.25">
      <c r="C721" s="198"/>
      <c r="D721" s="111"/>
      <c r="E721" s="33"/>
      <c r="F721" s="90"/>
      <c r="H721" s="115"/>
      <c r="I721" s="26"/>
      <c r="J721" s="98"/>
      <c r="K721" s="36"/>
      <c r="L721" s="26"/>
      <c r="M721" s="26"/>
      <c r="N721" s="26"/>
      <c r="O721" s="93"/>
      <c r="P721" s="95"/>
      <c r="Q721" s="196"/>
    </row>
    <row r="722" spans="3:17" x14ac:dyDescent="0.25">
      <c r="C722" s="198"/>
      <c r="D722" s="111"/>
      <c r="E722" s="33"/>
      <c r="F722" s="90"/>
      <c r="H722" s="115"/>
      <c r="I722" s="26"/>
      <c r="J722" s="98"/>
      <c r="K722" s="36"/>
      <c r="L722" s="26"/>
      <c r="M722" s="26"/>
      <c r="N722" s="26"/>
      <c r="O722" s="93"/>
      <c r="P722" s="95"/>
      <c r="Q722" s="196"/>
    </row>
    <row r="723" spans="3:17" x14ac:dyDescent="0.25">
      <c r="C723" s="198"/>
      <c r="D723" s="111"/>
      <c r="E723" s="33"/>
      <c r="F723" s="90"/>
      <c r="H723" s="115"/>
      <c r="I723" s="26"/>
      <c r="J723" s="98"/>
      <c r="K723" s="36"/>
      <c r="L723" s="26"/>
      <c r="M723" s="26"/>
      <c r="N723" s="26"/>
      <c r="O723" s="93"/>
      <c r="P723" s="95"/>
      <c r="Q723" s="196"/>
    </row>
    <row r="724" spans="3:17" x14ac:dyDescent="0.25">
      <c r="C724" s="198"/>
      <c r="D724" s="111"/>
      <c r="E724" s="33"/>
      <c r="F724" s="90"/>
      <c r="H724" s="115"/>
      <c r="I724" s="26"/>
      <c r="J724" s="98"/>
      <c r="K724" s="36"/>
      <c r="L724" s="26"/>
      <c r="M724" s="26"/>
      <c r="N724" s="26"/>
      <c r="O724" s="93"/>
      <c r="P724" s="95"/>
      <c r="Q724" s="196"/>
    </row>
    <row r="725" spans="3:17" x14ac:dyDescent="0.25">
      <c r="C725" s="198"/>
      <c r="D725" s="111"/>
      <c r="E725" s="33"/>
      <c r="F725" s="90"/>
      <c r="H725" s="115"/>
      <c r="I725" s="26"/>
      <c r="J725" s="98"/>
      <c r="K725" s="36"/>
      <c r="L725" s="26"/>
      <c r="M725" s="26"/>
      <c r="N725" s="26"/>
      <c r="O725" s="93"/>
      <c r="P725" s="95"/>
      <c r="Q725" s="196"/>
    </row>
    <row r="726" spans="3:17" x14ac:dyDescent="0.25">
      <c r="C726" s="198"/>
      <c r="D726" s="111"/>
      <c r="E726" s="33"/>
      <c r="F726" s="90"/>
      <c r="H726" s="115"/>
      <c r="I726" s="26"/>
      <c r="J726" s="98"/>
      <c r="K726" s="36"/>
      <c r="L726" s="26"/>
      <c r="M726" s="26"/>
      <c r="N726" s="26"/>
      <c r="O726" s="93"/>
      <c r="P726" s="95"/>
      <c r="Q726" s="196"/>
    </row>
    <row r="727" spans="3:17" x14ac:dyDescent="0.25">
      <c r="C727" s="198"/>
      <c r="D727" s="111"/>
      <c r="E727" s="33"/>
      <c r="F727" s="90"/>
      <c r="H727" s="115"/>
      <c r="I727" s="26"/>
      <c r="J727" s="98"/>
      <c r="K727" s="36"/>
      <c r="L727" s="26"/>
      <c r="M727" s="26"/>
      <c r="N727" s="26"/>
      <c r="O727" s="93"/>
      <c r="P727" s="95"/>
      <c r="Q727" s="196"/>
    </row>
    <row r="728" spans="3:17" x14ac:dyDescent="0.25">
      <c r="C728" s="198"/>
      <c r="D728" s="111"/>
      <c r="E728" s="33"/>
      <c r="F728" s="90"/>
      <c r="H728" s="115"/>
      <c r="I728" s="26"/>
      <c r="J728" s="98"/>
      <c r="K728" s="36"/>
      <c r="L728" s="26"/>
      <c r="M728" s="26"/>
      <c r="N728" s="26"/>
      <c r="O728" s="93"/>
      <c r="P728" s="95"/>
      <c r="Q728" s="196"/>
    </row>
    <row r="729" spans="3:17" x14ac:dyDescent="0.25">
      <c r="C729" s="198"/>
      <c r="D729" s="111"/>
      <c r="E729" s="33"/>
      <c r="F729" s="90"/>
      <c r="H729" s="115"/>
      <c r="I729" s="26"/>
      <c r="J729" s="98"/>
      <c r="K729" s="36"/>
      <c r="L729" s="26"/>
      <c r="M729" s="26"/>
      <c r="N729" s="26"/>
      <c r="O729" s="93"/>
      <c r="P729" s="95"/>
      <c r="Q729" s="196"/>
    </row>
    <row r="730" spans="3:17" x14ac:dyDescent="0.25">
      <c r="C730" s="198"/>
      <c r="D730" s="111"/>
      <c r="E730" s="33"/>
      <c r="F730" s="90"/>
      <c r="H730" s="115"/>
      <c r="I730" s="26"/>
      <c r="J730" s="98"/>
      <c r="K730" s="36"/>
      <c r="L730" s="26"/>
      <c r="M730" s="26"/>
      <c r="N730" s="26"/>
      <c r="O730" s="93"/>
      <c r="P730" s="95"/>
      <c r="Q730" s="196"/>
    </row>
    <row r="731" spans="3:17" x14ac:dyDescent="0.25">
      <c r="C731" s="198"/>
      <c r="D731" s="111"/>
      <c r="E731" s="33"/>
      <c r="F731" s="90"/>
      <c r="H731" s="115"/>
      <c r="I731" s="26"/>
      <c r="J731" s="98"/>
      <c r="K731" s="36"/>
      <c r="L731" s="26"/>
      <c r="M731" s="26"/>
      <c r="N731" s="26"/>
      <c r="O731" s="93"/>
      <c r="P731" s="95"/>
      <c r="Q731" s="196"/>
    </row>
    <row r="732" spans="3:17" x14ac:dyDescent="0.25">
      <c r="C732" s="198"/>
      <c r="D732" s="111"/>
      <c r="E732" s="33"/>
      <c r="F732" s="90"/>
      <c r="H732" s="115"/>
      <c r="I732" s="26"/>
      <c r="J732" s="98"/>
      <c r="K732" s="36"/>
      <c r="L732" s="26"/>
      <c r="M732" s="26"/>
      <c r="N732" s="26"/>
      <c r="O732" s="93"/>
      <c r="P732" s="95"/>
      <c r="Q732" s="196"/>
    </row>
    <row r="733" spans="3:17" x14ac:dyDescent="0.25">
      <c r="C733" s="198"/>
      <c r="D733" s="111"/>
      <c r="E733" s="33"/>
      <c r="F733" s="90"/>
      <c r="H733" s="115"/>
      <c r="I733" s="26"/>
      <c r="J733" s="98"/>
      <c r="K733" s="36"/>
      <c r="L733" s="26"/>
      <c r="M733" s="26"/>
      <c r="N733" s="26"/>
      <c r="O733" s="93"/>
      <c r="P733" s="95"/>
      <c r="Q733" s="196"/>
    </row>
    <row r="734" spans="3:17" x14ac:dyDescent="0.25">
      <c r="C734" s="198"/>
      <c r="D734" s="111"/>
      <c r="E734" s="33"/>
      <c r="F734" s="90"/>
      <c r="H734" s="115"/>
      <c r="I734" s="26"/>
      <c r="J734" s="98"/>
      <c r="K734" s="36"/>
      <c r="L734" s="26"/>
      <c r="M734" s="26"/>
      <c r="N734" s="26"/>
      <c r="O734" s="93"/>
      <c r="P734" s="95"/>
      <c r="Q734" s="196"/>
    </row>
    <row r="735" spans="3:17" x14ac:dyDescent="0.25">
      <c r="C735" s="198"/>
      <c r="D735" s="111"/>
      <c r="E735" s="33"/>
      <c r="F735" s="90"/>
      <c r="H735" s="115"/>
      <c r="I735" s="26"/>
      <c r="J735" s="98"/>
      <c r="K735" s="36"/>
      <c r="L735" s="26"/>
      <c r="M735" s="26"/>
      <c r="N735" s="26"/>
      <c r="O735" s="93"/>
      <c r="P735" s="95"/>
      <c r="Q735" s="196"/>
    </row>
    <row r="736" spans="3:17" x14ac:dyDescent="0.25">
      <c r="C736" s="198"/>
      <c r="D736" s="111"/>
      <c r="E736" s="33"/>
      <c r="F736" s="90"/>
      <c r="H736" s="115"/>
      <c r="I736" s="26"/>
      <c r="J736" s="98"/>
      <c r="K736" s="36"/>
      <c r="L736" s="26"/>
      <c r="M736" s="26"/>
      <c r="N736" s="26"/>
      <c r="O736" s="93"/>
      <c r="P736" s="95"/>
      <c r="Q736" s="196"/>
    </row>
    <row r="737" spans="3:17" x14ac:dyDescent="0.25">
      <c r="C737" s="198"/>
      <c r="D737" s="111"/>
      <c r="E737" s="33"/>
      <c r="F737" s="90"/>
      <c r="H737" s="115"/>
      <c r="I737" s="26"/>
      <c r="J737" s="98"/>
      <c r="K737" s="36"/>
      <c r="L737" s="26"/>
      <c r="M737" s="26"/>
      <c r="N737" s="26"/>
      <c r="O737" s="93"/>
      <c r="P737" s="95"/>
      <c r="Q737" s="196"/>
    </row>
    <row r="738" spans="3:17" x14ac:dyDescent="0.25">
      <c r="C738" s="198"/>
      <c r="D738" s="111"/>
      <c r="E738" s="33"/>
      <c r="F738" s="90"/>
      <c r="H738" s="115"/>
      <c r="I738" s="26"/>
      <c r="J738" s="98"/>
      <c r="K738" s="36"/>
      <c r="L738" s="26"/>
      <c r="M738" s="26"/>
      <c r="N738" s="26"/>
      <c r="O738" s="93"/>
      <c r="P738" s="95"/>
      <c r="Q738" s="196"/>
    </row>
    <row r="739" spans="3:17" x14ac:dyDescent="0.25">
      <c r="C739" s="198"/>
      <c r="D739" s="111"/>
      <c r="E739" s="33"/>
      <c r="F739" s="90"/>
      <c r="H739" s="115"/>
      <c r="I739" s="26"/>
      <c r="J739" s="98"/>
      <c r="K739" s="36"/>
      <c r="L739" s="26"/>
      <c r="M739" s="26"/>
      <c r="N739" s="26"/>
      <c r="O739" s="93"/>
      <c r="P739" s="95"/>
      <c r="Q739" s="196"/>
    </row>
    <row r="740" spans="3:17" x14ac:dyDescent="0.25">
      <c r="C740" s="198"/>
      <c r="D740" s="111"/>
      <c r="E740" s="33"/>
      <c r="F740" s="90"/>
      <c r="H740" s="115"/>
      <c r="I740" s="26"/>
      <c r="J740" s="98"/>
      <c r="K740" s="36"/>
      <c r="L740" s="26"/>
      <c r="M740" s="26"/>
      <c r="N740" s="26"/>
      <c r="O740" s="93"/>
      <c r="P740" s="95"/>
      <c r="Q740" s="196"/>
    </row>
    <row r="741" spans="3:17" x14ac:dyDescent="0.25">
      <c r="C741" s="198"/>
      <c r="D741" s="111"/>
      <c r="E741" s="33"/>
      <c r="F741" s="90"/>
      <c r="H741" s="115"/>
      <c r="I741" s="26"/>
      <c r="J741" s="98"/>
      <c r="K741" s="36"/>
      <c r="L741" s="26"/>
      <c r="M741" s="26"/>
      <c r="N741" s="26"/>
      <c r="O741" s="93"/>
      <c r="P741" s="95"/>
      <c r="Q741" s="196"/>
    </row>
    <row r="742" spans="3:17" x14ac:dyDescent="0.25">
      <c r="C742" s="198"/>
      <c r="D742" s="111"/>
      <c r="E742" s="33"/>
      <c r="F742" s="90"/>
      <c r="H742" s="115"/>
      <c r="I742" s="26"/>
      <c r="J742" s="98"/>
      <c r="K742" s="36"/>
      <c r="L742" s="26"/>
      <c r="M742" s="26"/>
      <c r="N742" s="26"/>
      <c r="O742" s="93"/>
      <c r="P742" s="95"/>
      <c r="Q742" s="196"/>
    </row>
    <row r="743" spans="3:17" x14ac:dyDescent="0.25">
      <c r="C743" s="198"/>
      <c r="D743" s="111"/>
      <c r="E743" s="33"/>
      <c r="F743" s="90"/>
      <c r="H743" s="115"/>
      <c r="I743" s="26"/>
      <c r="J743" s="98"/>
      <c r="K743" s="36"/>
      <c r="L743" s="26"/>
      <c r="M743" s="26"/>
      <c r="N743" s="26"/>
      <c r="O743" s="93"/>
      <c r="P743" s="95"/>
      <c r="Q743" s="196"/>
    </row>
    <row r="744" spans="3:17" x14ac:dyDescent="0.25">
      <c r="C744" s="198"/>
      <c r="D744" s="111"/>
      <c r="E744" s="33"/>
      <c r="F744" s="90"/>
      <c r="H744" s="115"/>
      <c r="I744" s="26"/>
      <c r="J744" s="98"/>
      <c r="K744" s="36"/>
      <c r="L744" s="26"/>
      <c r="M744" s="26"/>
      <c r="N744" s="26"/>
      <c r="O744" s="93"/>
      <c r="P744" s="95"/>
      <c r="Q744" s="196"/>
    </row>
    <row r="745" spans="3:17" x14ac:dyDescent="0.25">
      <c r="C745" s="198"/>
      <c r="D745" s="111"/>
      <c r="E745" s="33"/>
      <c r="F745" s="90"/>
      <c r="H745" s="115"/>
      <c r="I745" s="26"/>
      <c r="J745" s="98"/>
      <c r="K745" s="36"/>
      <c r="L745" s="26"/>
      <c r="M745" s="26"/>
      <c r="N745" s="26"/>
      <c r="O745" s="93"/>
      <c r="P745" s="95"/>
      <c r="Q745" s="196"/>
    </row>
    <row r="746" spans="3:17" x14ac:dyDescent="0.25">
      <c r="C746" s="198"/>
      <c r="D746" s="111"/>
      <c r="E746" s="33"/>
      <c r="F746" s="90"/>
      <c r="H746" s="115"/>
      <c r="I746" s="26"/>
      <c r="J746" s="98"/>
      <c r="K746" s="36"/>
      <c r="L746" s="26"/>
      <c r="M746" s="26"/>
      <c r="N746" s="26"/>
      <c r="O746" s="93"/>
      <c r="P746" s="95"/>
      <c r="Q746" s="196"/>
    </row>
    <row r="747" spans="3:17" x14ac:dyDescent="0.25">
      <c r="C747" s="198"/>
      <c r="D747" s="111"/>
      <c r="E747" s="33"/>
      <c r="F747" s="90"/>
      <c r="H747" s="115"/>
      <c r="I747" s="26"/>
      <c r="J747" s="98"/>
      <c r="K747" s="36"/>
      <c r="L747" s="26"/>
      <c r="M747" s="26"/>
      <c r="N747" s="26"/>
      <c r="O747" s="93"/>
      <c r="P747" s="95"/>
      <c r="Q747" s="196"/>
    </row>
    <row r="748" spans="3:17" x14ac:dyDescent="0.25">
      <c r="C748" s="198"/>
      <c r="D748" s="111"/>
      <c r="E748" s="33"/>
      <c r="F748" s="90"/>
      <c r="H748" s="115"/>
      <c r="I748" s="26"/>
      <c r="J748" s="98"/>
      <c r="K748" s="36"/>
      <c r="L748" s="26"/>
      <c r="M748" s="26"/>
      <c r="N748" s="26"/>
      <c r="O748" s="93"/>
      <c r="P748" s="95"/>
      <c r="Q748" s="196"/>
    </row>
    <row r="749" spans="3:17" x14ac:dyDescent="0.25">
      <c r="C749" s="198"/>
      <c r="D749" s="111"/>
      <c r="E749" s="33"/>
      <c r="F749" s="90"/>
      <c r="H749" s="115"/>
      <c r="I749" s="26"/>
      <c r="J749" s="98"/>
      <c r="K749" s="36"/>
      <c r="L749" s="26"/>
      <c r="M749" s="26"/>
      <c r="N749" s="26"/>
      <c r="O749" s="93"/>
      <c r="P749" s="95"/>
      <c r="Q749" s="196"/>
    </row>
    <row r="750" spans="3:17" x14ac:dyDescent="0.25">
      <c r="C750" s="198"/>
      <c r="D750" s="111"/>
      <c r="E750" s="33"/>
      <c r="F750" s="90"/>
      <c r="H750" s="115"/>
      <c r="I750" s="26"/>
      <c r="J750" s="98"/>
      <c r="K750" s="36"/>
      <c r="L750" s="26"/>
      <c r="M750" s="26"/>
      <c r="N750" s="26"/>
      <c r="O750" s="93"/>
      <c r="P750" s="95"/>
      <c r="Q750" s="196"/>
    </row>
    <row r="751" spans="3:17" x14ac:dyDescent="0.25">
      <c r="C751" s="198"/>
      <c r="D751" s="111"/>
      <c r="E751" s="33"/>
      <c r="F751" s="90"/>
      <c r="H751" s="115"/>
      <c r="I751" s="26"/>
      <c r="J751" s="98"/>
      <c r="K751" s="36"/>
      <c r="L751" s="26"/>
      <c r="M751" s="26"/>
      <c r="N751" s="26"/>
      <c r="O751" s="93"/>
      <c r="P751" s="95"/>
      <c r="Q751" s="196"/>
    </row>
    <row r="752" spans="3:17" x14ac:dyDescent="0.25">
      <c r="C752" s="198"/>
      <c r="D752" s="111"/>
      <c r="E752" s="33"/>
      <c r="F752" s="90"/>
      <c r="H752" s="115"/>
      <c r="I752" s="26"/>
      <c r="J752" s="98"/>
      <c r="K752" s="36"/>
      <c r="L752" s="26"/>
      <c r="M752" s="26"/>
      <c r="N752" s="26"/>
      <c r="O752" s="93"/>
      <c r="P752" s="95"/>
      <c r="Q752" s="196"/>
    </row>
    <row r="753" spans="3:17" x14ac:dyDescent="0.25">
      <c r="C753" s="198"/>
      <c r="D753" s="111"/>
      <c r="E753" s="33"/>
      <c r="F753" s="90"/>
      <c r="H753" s="115"/>
      <c r="I753" s="26"/>
      <c r="J753" s="98"/>
      <c r="K753" s="36"/>
      <c r="L753" s="26"/>
      <c r="M753" s="26"/>
      <c r="N753" s="26"/>
      <c r="O753" s="93"/>
      <c r="P753" s="95"/>
      <c r="Q753" s="196"/>
    </row>
    <row r="754" spans="3:17" x14ac:dyDescent="0.25">
      <c r="C754" s="198"/>
      <c r="D754" s="111"/>
      <c r="E754" s="33"/>
      <c r="F754" s="90"/>
      <c r="H754" s="115"/>
      <c r="I754" s="26"/>
      <c r="J754" s="98"/>
      <c r="K754" s="36"/>
      <c r="L754" s="26"/>
      <c r="M754" s="26"/>
      <c r="N754" s="26"/>
      <c r="O754" s="93"/>
      <c r="P754" s="95"/>
      <c r="Q754" s="196"/>
    </row>
    <row r="755" spans="3:17" x14ac:dyDescent="0.25">
      <c r="C755" s="198"/>
      <c r="D755" s="111"/>
      <c r="E755" s="33"/>
      <c r="F755" s="90"/>
      <c r="H755" s="115"/>
      <c r="I755" s="26"/>
      <c r="J755" s="98"/>
      <c r="K755" s="36"/>
      <c r="L755" s="26"/>
      <c r="M755" s="26"/>
      <c r="N755" s="26"/>
      <c r="O755" s="93"/>
      <c r="P755" s="95"/>
      <c r="Q755" s="196"/>
    </row>
    <row r="756" spans="3:17" x14ac:dyDescent="0.25">
      <c r="C756" s="198"/>
      <c r="D756" s="111"/>
      <c r="E756" s="33"/>
      <c r="F756" s="90"/>
      <c r="H756" s="115"/>
      <c r="I756" s="26"/>
      <c r="J756" s="98"/>
      <c r="K756" s="36"/>
      <c r="L756" s="26"/>
      <c r="M756" s="26"/>
      <c r="N756" s="26"/>
      <c r="O756" s="93"/>
      <c r="P756" s="95"/>
      <c r="Q756" s="196"/>
    </row>
    <row r="757" spans="3:17" x14ac:dyDescent="0.25">
      <c r="C757" s="198"/>
      <c r="D757" s="111"/>
      <c r="E757" s="33"/>
      <c r="F757" s="90"/>
      <c r="H757" s="115"/>
      <c r="I757" s="26"/>
      <c r="J757" s="98"/>
      <c r="K757" s="36"/>
      <c r="L757" s="26"/>
      <c r="M757" s="26"/>
      <c r="N757" s="26"/>
      <c r="O757" s="93"/>
      <c r="P757" s="95"/>
      <c r="Q757" s="196"/>
    </row>
    <row r="758" spans="3:17" x14ac:dyDescent="0.25">
      <c r="C758" s="198"/>
      <c r="D758" s="111"/>
      <c r="E758" s="33"/>
      <c r="F758" s="90"/>
      <c r="H758" s="115"/>
      <c r="I758" s="26"/>
      <c r="J758" s="98"/>
      <c r="K758" s="36"/>
      <c r="L758" s="26"/>
      <c r="M758" s="26"/>
      <c r="N758" s="26"/>
      <c r="O758" s="93"/>
      <c r="P758" s="95"/>
      <c r="Q758" s="196"/>
    </row>
    <row r="759" spans="3:17" x14ac:dyDescent="0.25">
      <c r="C759" s="198"/>
      <c r="D759" s="111"/>
      <c r="E759" s="33"/>
      <c r="F759" s="90"/>
      <c r="H759" s="115"/>
      <c r="I759" s="26"/>
      <c r="J759" s="98"/>
      <c r="K759" s="36"/>
      <c r="L759" s="26"/>
      <c r="M759" s="26"/>
      <c r="N759" s="26"/>
      <c r="O759" s="93"/>
      <c r="P759" s="95"/>
      <c r="Q759" s="196"/>
    </row>
    <row r="760" spans="3:17" x14ac:dyDescent="0.25">
      <c r="C760" s="198"/>
      <c r="D760" s="111"/>
      <c r="E760" s="33"/>
      <c r="F760" s="90"/>
      <c r="H760" s="115"/>
      <c r="I760" s="26"/>
      <c r="J760" s="98"/>
      <c r="K760" s="36"/>
      <c r="L760" s="26"/>
      <c r="M760" s="26"/>
      <c r="N760" s="26"/>
      <c r="O760" s="93"/>
      <c r="P760" s="95"/>
      <c r="Q760" s="196"/>
    </row>
    <row r="761" spans="3:17" x14ac:dyDescent="0.25">
      <c r="C761" s="198"/>
      <c r="D761" s="111"/>
      <c r="E761" s="33"/>
      <c r="F761" s="90"/>
      <c r="H761" s="115"/>
      <c r="I761" s="26"/>
      <c r="J761" s="98"/>
      <c r="K761" s="36"/>
      <c r="L761" s="26"/>
      <c r="M761" s="26"/>
      <c r="N761" s="26"/>
      <c r="O761" s="93"/>
      <c r="P761" s="95"/>
      <c r="Q761" s="196"/>
    </row>
    <row r="762" spans="3:17" x14ac:dyDescent="0.25">
      <c r="C762" s="198"/>
      <c r="D762" s="111"/>
      <c r="E762" s="33"/>
      <c r="F762" s="90"/>
      <c r="H762" s="115"/>
      <c r="I762" s="26"/>
      <c r="J762" s="98"/>
      <c r="K762" s="36"/>
      <c r="L762" s="26"/>
      <c r="M762" s="26"/>
      <c r="N762" s="26"/>
      <c r="O762" s="93"/>
      <c r="P762" s="95"/>
      <c r="Q762" s="196"/>
    </row>
    <row r="763" spans="3:17" x14ac:dyDescent="0.25">
      <c r="C763" s="198"/>
      <c r="D763" s="111"/>
      <c r="E763" s="33"/>
      <c r="F763" s="90"/>
      <c r="H763" s="115"/>
      <c r="I763" s="26"/>
      <c r="J763" s="98"/>
      <c r="K763" s="36"/>
      <c r="L763" s="26"/>
      <c r="M763" s="26"/>
      <c r="N763" s="26"/>
      <c r="O763" s="93"/>
      <c r="P763" s="95"/>
      <c r="Q763" s="196"/>
    </row>
    <row r="764" spans="3:17" x14ac:dyDescent="0.25">
      <c r="C764" s="198"/>
      <c r="D764" s="111"/>
      <c r="E764" s="33"/>
      <c r="F764" s="90"/>
      <c r="H764" s="115"/>
      <c r="I764" s="26"/>
      <c r="J764" s="98"/>
      <c r="K764" s="36"/>
      <c r="L764" s="26"/>
      <c r="M764" s="26"/>
      <c r="N764" s="26"/>
      <c r="O764" s="93"/>
      <c r="P764" s="95"/>
      <c r="Q764" s="196"/>
    </row>
    <row r="765" spans="3:17" x14ac:dyDescent="0.25">
      <c r="C765" s="198"/>
      <c r="D765" s="111"/>
      <c r="E765" s="33"/>
      <c r="F765" s="90"/>
      <c r="H765" s="115"/>
      <c r="I765" s="26"/>
      <c r="J765" s="98"/>
      <c r="K765" s="36"/>
      <c r="L765" s="26"/>
      <c r="M765" s="26"/>
      <c r="N765" s="26"/>
      <c r="O765" s="93"/>
      <c r="P765" s="95"/>
      <c r="Q765" s="196"/>
    </row>
    <row r="766" spans="3:17" x14ac:dyDescent="0.25">
      <c r="C766" s="198"/>
      <c r="D766" s="111"/>
      <c r="E766" s="33"/>
      <c r="F766" s="90"/>
      <c r="H766" s="115"/>
      <c r="I766" s="26"/>
      <c r="J766" s="98"/>
      <c r="K766" s="36"/>
      <c r="L766" s="26"/>
      <c r="M766" s="26"/>
      <c r="N766" s="26"/>
      <c r="O766" s="93"/>
      <c r="P766" s="95"/>
      <c r="Q766" s="196"/>
    </row>
    <row r="767" spans="3:17" x14ac:dyDescent="0.25">
      <c r="C767" s="198"/>
      <c r="D767" s="111"/>
      <c r="E767" s="33"/>
      <c r="F767" s="90"/>
      <c r="H767" s="115"/>
      <c r="I767" s="26"/>
      <c r="J767" s="98"/>
      <c r="K767" s="36"/>
      <c r="L767" s="26"/>
      <c r="M767" s="26"/>
      <c r="N767" s="26"/>
      <c r="O767" s="93"/>
      <c r="P767" s="95"/>
      <c r="Q767" s="196"/>
    </row>
    <row r="768" spans="3:17" x14ac:dyDescent="0.25">
      <c r="C768" s="198"/>
      <c r="D768" s="111"/>
      <c r="E768" s="33"/>
      <c r="F768" s="90"/>
      <c r="H768" s="115"/>
      <c r="I768" s="26"/>
      <c r="J768" s="98"/>
      <c r="K768" s="36"/>
      <c r="L768" s="26"/>
      <c r="M768" s="26"/>
      <c r="N768" s="26"/>
      <c r="O768" s="93"/>
      <c r="P768" s="95"/>
      <c r="Q768" s="196"/>
    </row>
    <row r="769" spans="3:17" x14ac:dyDescent="0.25">
      <c r="C769" s="198"/>
      <c r="D769" s="111"/>
      <c r="E769" s="33"/>
      <c r="F769" s="90"/>
      <c r="H769" s="115"/>
      <c r="I769" s="26"/>
      <c r="J769" s="98"/>
      <c r="K769" s="36"/>
      <c r="L769" s="26"/>
      <c r="M769" s="26"/>
      <c r="N769" s="26"/>
      <c r="O769" s="93"/>
      <c r="P769" s="95"/>
      <c r="Q769" s="196"/>
    </row>
    <row r="770" spans="3:17" x14ac:dyDescent="0.25">
      <c r="C770" s="198"/>
      <c r="D770" s="111"/>
      <c r="E770" s="33"/>
      <c r="F770" s="90"/>
      <c r="H770" s="115"/>
      <c r="I770" s="26"/>
      <c r="J770" s="98"/>
      <c r="K770" s="36"/>
      <c r="L770" s="26"/>
      <c r="M770" s="26"/>
      <c r="N770" s="26"/>
      <c r="O770" s="93"/>
      <c r="P770" s="95"/>
      <c r="Q770" s="196"/>
    </row>
    <row r="771" spans="3:17" x14ac:dyDescent="0.25">
      <c r="C771" s="198"/>
      <c r="D771" s="111"/>
      <c r="E771" s="33"/>
      <c r="F771" s="90"/>
      <c r="H771" s="115"/>
      <c r="I771" s="26"/>
      <c r="J771" s="98"/>
      <c r="K771" s="36"/>
      <c r="L771" s="26"/>
      <c r="M771" s="26"/>
      <c r="N771" s="26"/>
      <c r="O771" s="93"/>
      <c r="P771" s="95"/>
      <c r="Q771" s="196"/>
    </row>
    <row r="772" spans="3:17" x14ac:dyDescent="0.25">
      <c r="C772" s="198"/>
      <c r="D772" s="111"/>
      <c r="E772" s="33"/>
      <c r="F772" s="90"/>
      <c r="H772" s="115"/>
      <c r="I772" s="26"/>
      <c r="J772" s="98"/>
      <c r="K772" s="36"/>
      <c r="L772" s="26"/>
      <c r="M772" s="26"/>
      <c r="N772" s="26"/>
      <c r="O772" s="93"/>
      <c r="P772" s="95"/>
      <c r="Q772" s="196"/>
    </row>
    <row r="773" spans="3:17" x14ac:dyDescent="0.25">
      <c r="C773" s="198"/>
      <c r="D773" s="111"/>
      <c r="E773" s="33"/>
      <c r="F773" s="90"/>
      <c r="H773" s="115"/>
      <c r="I773" s="26"/>
      <c r="J773" s="98"/>
      <c r="K773" s="36"/>
      <c r="L773" s="26"/>
      <c r="M773" s="26"/>
      <c r="N773" s="26"/>
      <c r="O773" s="93"/>
      <c r="P773" s="95"/>
      <c r="Q773" s="196"/>
    </row>
    <row r="774" spans="3:17" x14ac:dyDescent="0.25">
      <c r="C774" s="198"/>
      <c r="D774" s="111"/>
      <c r="E774" s="33"/>
      <c r="F774" s="90"/>
      <c r="H774" s="115"/>
      <c r="I774" s="26"/>
      <c r="J774" s="98"/>
      <c r="K774" s="36"/>
      <c r="L774" s="26"/>
      <c r="M774" s="26"/>
      <c r="N774" s="26"/>
      <c r="O774" s="93"/>
      <c r="P774" s="95"/>
      <c r="Q774" s="196"/>
    </row>
    <row r="775" spans="3:17" x14ac:dyDescent="0.25">
      <c r="C775" s="198"/>
      <c r="D775" s="111"/>
      <c r="E775" s="33"/>
      <c r="F775" s="90"/>
      <c r="H775" s="115"/>
      <c r="I775" s="26"/>
      <c r="J775" s="98"/>
      <c r="K775" s="36"/>
      <c r="L775" s="26"/>
      <c r="M775" s="26"/>
      <c r="N775" s="26"/>
      <c r="O775" s="93"/>
      <c r="P775" s="95"/>
      <c r="Q775" s="196"/>
    </row>
    <row r="776" spans="3:17" x14ac:dyDescent="0.25">
      <c r="C776" s="198"/>
      <c r="D776" s="111"/>
      <c r="E776" s="33"/>
      <c r="F776" s="90"/>
      <c r="H776" s="115"/>
      <c r="I776" s="26"/>
      <c r="J776" s="98"/>
      <c r="K776" s="36"/>
      <c r="L776" s="26"/>
      <c r="M776" s="26"/>
      <c r="N776" s="26"/>
      <c r="O776" s="93"/>
      <c r="P776" s="95"/>
      <c r="Q776" s="196"/>
    </row>
    <row r="777" spans="3:17" x14ac:dyDescent="0.25">
      <c r="C777" s="198"/>
      <c r="D777" s="111"/>
      <c r="E777" s="33"/>
      <c r="F777" s="90"/>
      <c r="H777" s="115"/>
      <c r="I777" s="26"/>
      <c r="J777" s="98"/>
      <c r="K777" s="36"/>
      <c r="L777" s="26"/>
      <c r="M777" s="26"/>
      <c r="N777" s="26"/>
      <c r="O777" s="93"/>
      <c r="P777" s="95"/>
      <c r="Q777" s="196"/>
    </row>
    <row r="778" spans="3:17" x14ac:dyDescent="0.25">
      <c r="C778" s="198"/>
      <c r="D778" s="111"/>
      <c r="E778" s="33"/>
      <c r="F778" s="90"/>
      <c r="H778" s="115"/>
      <c r="I778" s="26"/>
      <c r="J778" s="98"/>
      <c r="K778" s="36"/>
      <c r="L778" s="26"/>
      <c r="M778" s="26"/>
      <c r="N778" s="26"/>
      <c r="O778" s="93"/>
      <c r="P778" s="95"/>
      <c r="Q778" s="196"/>
    </row>
    <row r="779" spans="3:17" x14ac:dyDescent="0.25">
      <c r="C779" s="198"/>
      <c r="D779" s="111"/>
      <c r="E779" s="33"/>
      <c r="F779" s="90"/>
      <c r="H779" s="115"/>
      <c r="I779" s="26"/>
      <c r="J779" s="98"/>
      <c r="K779" s="36"/>
      <c r="L779" s="26"/>
      <c r="M779" s="26"/>
      <c r="N779" s="26"/>
      <c r="O779" s="93"/>
      <c r="P779" s="95"/>
      <c r="Q779" s="196"/>
    </row>
    <row r="780" spans="3:17" x14ac:dyDescent="0.25">
      <c r="C780" s="198"/>
      <c r="D780" s="111"/>
      <c r="E780" s="33"/>
      <c r="F780" s="90"/>
      <c r="H780" s="115"/>
      <c r="I780" s="26"/>
      <c r="J780" s="98"/>
      <c r="K780" s="36"/>
      <c r="L780" s="26"/>
      <c r="M780" s="26"/>
      <c r="N780" s="26"/>
      <c r="O780" s="93"/>
      <c r="P780" s="95"/>
      <c r="Q780" s="196"/>
    </row>
    <row r="781" spans="3:17" x14ac:dyDescent="0.25">
      <c r="C781" s="198"/>
      <c r="D781" s="111"/>
      <c r="E781" s="33"/>
      <c r="F781" s="90"/>
      <c r="H781" s="115"/>
      <c r="I781" s="26"/>
      <c r="J781" s="98"/>
      <c r="K781" s="36"/>
      <c r="L781" s="26"/>
      <c r="M781" s="26"/>
      <c r="N781" s="26"/>
      <c r="O781" s="93"/>
      <c r="P781" s="95"/>
      <c r="Q781" s="196"/>
    </row>
    <row r="782" spans="3:17" x14ac:dyDescent="0.25">
      <c r="C782" s="198"/>
      <c r="D782" s="111"/>
      <c r="E782" s="33"/>
      <c r="F782" s="90"/>
      <c r="H782" s="115"/>
      <c r="I782" s="26"/>
      <c r="J782" s="98"/>
      <c r="K782" s="36"/>
      <c r="L782" s="26"/>
      <c r="M782" s="26"/>
      <c r="N782" s="26"/>
      <c r="O782" s="93"/>
      <c r="P782" s="95"/>
      <c r="Q782" s="196"/>
    </row>
    <row r="783" spans="3:17" x14ac:dyDescent="0.25">
      <c r="C783" s="198"/>
      <c r="D783" s="111"/>
      <c r="E783" s="33"/>
      <c r="F783" s="90"/>
      <c r="H783" s="115"/>
      <c r="I783" s="26"/>
      <c r="J783" s="98"/>
      <c r="K783" s="36"/>
      <c r="L783" s="26"/>
      <c r="M783" s="26"/>
      <c r="N783" s="26"/>
      <c r="O783" s="93"/>
      <c r="P783" s="95"/>
      <c r="Q783" s="196"/>
    </row>
    <row r="784" spans="3:17" x14ac:dyDescent="0.25">
      <c r="C784" s="198"/>
      <c r="D784" s="111"/>
      <c r="E784" s="33"/>
      <c r="F784" s="90"/>
      <c r="H784" s="115"/>
      <c r="I784" s="26"/>
      <c r="J784" s="98"/>
      <c r="K784" s="36"/>
      <c r="L784" s="26"/>
      <c r="M784" s="26"/>
      <c r="N784" s="26"/>
      <c r="O784" s="93"/>
      <c r="P784" s="95"/>
      <c r="Q784" s="196"/>
    </row>
    <row r="785" spans="3:17" x14ac:dyDescent="0.25">
      <c r="C785" s="198"/>
      <c r="D785" s="111"/>
      <c r="E785" s="33"/>
      <c r="F785" s="90"/>
      <c r="H785" s="115"/>
      <c r="I785" s="26"/>
      <c r="J785" s="98"/>
      <c r="K785" s="36"/>
      <c r="L785" s="26"/>
      <c r="M785" s="26"/>
      <c r="N785" s="26"/>
      <c r="O785" s="93"/>
      <c r="P785" s="95"/>
      <c r="Q785" s="196"/>
    </row>
    <row r="786" spans="3:17" x14ac:dyDescent="0.25">
      <c r="C786" s="198"/>
      <c r="D786" s="111"/>
      <c r="E786" s="33"/>
      <c r="F786" s="90"/>
      <c r="H786" s="115"/>
      <c r="I786" s="26"/>
      <c r="J786" s="98"/>
      <c r="K786" s="36"/>
      <c r="L786" s="26"/>
      <c r="M786" s="26"/>
      <c r="N786" s="26"/>
      <c r="O786" s="93"/>
      <c r="P786" s="95"/>
      <c r="Q786" s="196"/>
    </row>
    <row r="787" spans="3:17" x14ac:dyDescent="0.25">
      <c r="C787" s="198"/>
      <c r="D787" s="111"/>
      <c r="E787" s="33"/>
      <c r="F787" s="90"/>
      <c r="H787" s="115"/>
      <c r="I787" s="26"/>
      <c r="J787" s="98"/>
      <c r="K787" s="36"/>
      <c r="L787" s="26"/>
      <c r="M787" s="26"/>
      <c r="N787" s="26"/>
      <c r="O787" s="93"/>
      <c r="P787" s="95"/>
      <c r="Q787" s="196"/>
    </row>
    <row r="788" spans="3:17" x14ac:dyDescent="0.25">
      <c r="C788" s="198"/>
      <c r="D788" s="111"/>
      <c r="E788" s="33"/>
      <c r="F788" s="90"/>
      <c r="H788" s="115"/>
      <c r="I788" s="26"/>
      <c r="J788" s="98"/>
      <c r="K788" s="36"/>
      <c r="L788" s="26"/>
      <c r="M788" s="26"/>
      <c r="N788" s="26"/>
      <c r="O788" s="93"/>
      <c r="P788" s="95"/>
      <c r="Q788" s="196"/>
    </row>
    <row r="789" spans="3:17" x14ac:dyDescent="0.25">
      <c r="C789" s="198"/>
      <c r="D789" s="111"/>
      <c r="E789" s="33"/>
      <c r="F789" s="90"/>
      <c r="H789" s="115"/>
      <c r="I789" s="26"/>
      <c r="J789" s="98"/>
      <c r="K789" s="36"/>
      <c r="L789" s="26"/>
      <c r="M789" s="26"/>
      <c r="N789" s="26"/>
      <c r="O789" s="93"/>
      <c r="P789" s="95"/>
      <c r="Q789" s="196"/>
    </row>
    <row r="790" spans="3:17" x14ac:dyDescent="0.25">
      <c r="C790" s="198"/>
      <c r="D790" s="111"/>
      <c r="E790" s="33"/>
      <c r="F790" s="90"/>
      <c r="H790" s="115"/>
      <c r="I790" s="26"/>
      <c r="J790" s="98"/>
      <c r="K790" s="36"/>
      <c r="L790" s="26"/>
      <c r="M790" s="26"/>
      <c r="N790" s="26"/>
      <c r="O790" s="93"/>
      <c r="P790" s="95"/>
      <c r="Q790" s="196"/>
    </row>
    <row r="791" spans="3:17" x14ac:dyDescent="0.25">
      <c r="C791" s="198"/>
      <c r="D791" s="111"/>
      <c r="E791" s="33"/>
      <c r="F791" s="90"/>
      <c r="H791" s="115"/>
      <c r="I791" s="26"/>
      <c r="J791" s="98"/>
      <c r="K791" s="36"/>
      <c r="L791" s="26"/>
      <c r="M791" s="26"/>
      <c r="N791" s="26"/>
      <c r="O791" s="93"/>
      <c r="P791" s="95"/>
      <c r="Q791" s="196"/>
    </row>
    <row r="792" spans="3:17" ht="12" thickBot="1" x14ac:dyDescent="0.3">
      <c r="C792" s="198"/>
      <c r="D792" s="111"/>
      <c r="E792" s="33"/>
      <c r="F792" s="90"/>
      <c r="H792" s="115"/>
      <c r="I792" s="26"/>
      <c r="J792" s="98"/>
      <c r="K792" s="36"/>
      <c r="L792" s="26"/>
      <c r="M792" s="26"/>
      <c r="N792" s="26"/>
      <c r="O792" s="93"/>
      <c r="P792" s="95"/>
      <c r="Q792" s="196"/>
    </row>
    <row r="793" spans="3:17" ht="12" thickBot="1" x14ac:dyDescent="0.3">
      <c r="P793" s="212">
        <f>SUM(P22:P792)</f>
        <v>74700502.50582166</v>
      </c>
    </row>
  </sheetData>
  <conditionalFormatting sqref="F22:F792">
    <cfRule type="containsText" dxfId="9" priority="2" operator="containsText" text="ERROR">
      <formula>NOT(ISERROR(SEARCH("ERROR",F22)))</formula>
    </cfRule>
  </conditionalFormatting>
  <conditionalFormatting sqref="J22:J792">
    <cfRule type="cellIs" dxfId="8" priority="1" operator="equal">
      <formula>1</formula>
    </cfRule>
  </conditionalFormatting>
  <hyperlinks>
    <hyperlink ref="E7" location="'Asset exclusions'!A1" display="'Asset exclusions'!A1" xr:uid="{00000000-0004-0000-0500-000000000000}"/>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sheetPr>
  <dimension ref="A1:Q2013"/>
  <sheetViews>
    <sheetView showGridLines="0" zoomScale="85" zoomScaleNormal="85" workbookViewId="0">
      <pane ySplit="21" topLeftCell="A22" activePane="bottomLeft" state="frozen"/>
      <selection activeCell="J9" sqref="J9"/>
      <selection pane="bottomLeft" activeCell="E38" sqref="E38"/>
    </sheetView>
  </sheetViews>
  <sheetFormatPr defaultRowHeight="11.5" outlineLevelRow="1" x14ac:dyDescent="0.25"/>
  <cols>
    <col min="1" max="1" width="7.19921875" style="243" customWidth="1"/>
    <col min="2" max="2" width="14.19921875" style="243" bestFit="1" customWidth="1"/>
    <col min="3" max="3" width="18" customWidth="1"/>
    <col min="4" max="4" width="50.69921875" bestFit="1" customWidth="1"/>
    <col min="5" max="5" width="15.69921875" customWidth="1"/>
    <col min="6" max="6" width="25.8984375" bestFit="1" customWidth="1"/>
    <col min="7" max="7" width="2.69921875" customWidth="1"/>
    <col min="8" max="8" width="16.3984375" customWidth="1"/>
    <col min="9" max="10" width="15.69921875" customWidth="1"/>
    <col min="11" max="11" width="2.69921875" customWidth="1"/>
    <col min="12" max="13" width="15.69921875" customWidth="1"/>
    <col min="14" max="14" width="18" customWidth="1"/>
    <col min="15" max="16" width="15.69921875" customWidth="1"/>
    <col min="17" max="17" width="11.8984375" customWidth="1"/>
    <col min="18" max="18" width="9.09765625" customWidth="1"/>
  </cols>
  <sheetData>
    <row r="1" spans="3:15" x14ac:dyDescent="0.25">
      <c r="E1" s="31"/>
    </row>
    <row r="2" spans="3:15" x14ac:dyDescent="0.25">
      <c r="E2" s="31"/>
    </row>
    <row r="3" spans="3:15" ht="20" x14ac:dyDescent="0.4">
      <c r="C3" s="57" t="s">
        <v>551</v>
      </c>
    </row>
    <row r="4" spans="3:15" hidden="1" outlineLevel="1" x14ac:dyDescent="0.25"/>
    <row r="5" spans="3:15" hidden="1" outlineLevel="1" x14ac:dyDescent="0.25">
      <c r="D5" s="31"/>
    </row>
    <row r="6" spans="3:15" ht="12" hidden="1" customHeight="1" outlineLevel="1" x14ac:dyDescent="0.25">
      <c r="C6" s="105"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15" hidden="1" outlineLevel="1" x14ac:dyDescent="0.25">
      <c r="C7" s="127" t="str">
        <f ca="1">"Hyperlink to the '"&amp;MID(CELL("filename",'Asset exclusions'!A1),FIND("]",CELL("filename",'Asset exclusions'!A1))+1,255)&amp;"' worksheet:"</f>
        <v>Hyperlink to the 'Asset exclusions' worksheet:</v>
      </c>
      <c r="E7" s="156" t="s">
        <v>174</v>
      </c>
    </row>
    <row r="8" spans="3:15" hidden="1" outlineLevel="1" x14ac:dyDescent="0.25">
      <c r="C8" s="127"/>
      <c r="E8" s="156"/>
    </row>
    <row r="9" spans="3:15" hidden="1" outlineLevel="1" x14ac:dyDescent="0.25">
      <c r="C9" s="127" t="s">
        <v>175</v>
      </c>
      <c r="E9" s="156"/>
      <c r="J9">
        <v>97.559677397661673</v>
      </c>
    </row>
    <row r="10" spans="3:15" hidden="1" outlineLevel="1" x14ac:dyDescent="0.25">
      <c r="C10" s="127" t="s">
        <v>176</v>
      </c>
      <c r="E10" s="156"/>
    </row>
    <row r="11" spans="3:15" hidden="1" outlineLevel="1" x14ac:dyDescent="0.25">
      <c r="C11" s="127" t="s">
        <v>177</v>
      </c>
      <c r="E11" s="156"/>
    </row>
    <row r="12" spans="3:15" hidden="1" outlineLevel="1" x14ac:dyDescent="0.25">
      <c r="C12" s="127" t="s">
        <v>178</v>
      </c>
      <c r="E12" s="156"/>
    </row>
    <row r="13" spans="3:15" collapsed="1" x14ac:dyDescent="0.25"/>
    <row r="14" spans="3:15" x14ac:dyDescent="0.25">
      <c r="C14" s="6" t="s">
        <v>179</v>
      </c>
    </row>
    <row r="15" spans="3:15" ht="12" x14ac:dyDescent="0.3">
      <c r="C15" s="63" t="s">
        <v>180</v>
      </c>
      <c r="E15" s="87">
        <f>'General inputs'!$H$24+1</f>
        <v>35065</v>
      </c>
      <c r="H15" s="199" t="s">
        <v>181</v>
      </c>
      <c r="L15" s="206" t="s">
        <v>552</v>
      </c>
      <c r="M15" s="249"/>
      <c r="N15" s="249"/>
    </row>
    <row r="16" spans="3:15" ht="12" x14ac:dyDescent="0.3">
      <c r="C16" s="63" t="s">
        <v>182</v>
      </c>
      <c r="E16" s="88">
        <f>'General inputs'!$H$18</f>
        <v>44377</v>
      </c>
      <c r="H16" s="200" t="s">
        <v>183</v>
      </c>
      <c r="I16" s="201">
        <f>SUMIF($B$22:$B$1998,H16,$P$22:$P$1998)/$J$22</f>
        <v>26236961.976891082</v>
      </c>
      <c r="L16" s="201">
        <f>I16+'Pre-1996 assets'!I16</f>
        <v>196906634.78466028</v>
      </c>
      <c r="M16" s="250"/>
      <c r="N16" s="251"/>
      <c r="O16" s="207"/>
    </row>
    <row r="17" spans="1:17" ht="12" x14ac:dyDescent="0.3">
      <c r="H17" s="202" t="s">
        <v>184</v>
      </c>
      <c r="I17" s="203">
        <f>SUMIF($B$22:$B$1998,H17,$P$22:$P$1998)/$J$22</f>
        <v>298798.37248953653</v>
      </c>
      <c r="L17" s="203">
        <f>I17+'Pre-1996 assets'!I17</f>
        <v>4820775.7457291167</v>
      </c>
      <c r="M17" s="250"/>
      <c r="N17" s="229"/>
    </row>
    <row r="18" spans="1:17" ht="15.5" x14ac:dyDescent="0.35">
      <c r="C18" s="2" t="s">
        <v>553</v>
      </c>
      <c r="H18" s="204" t="s">
        <v>186</v>
      </c>
      <c r="I18" s="205">
        <f>SUMIF($B$22:$B$1998,H18,$P$22:$P$1998)/$J$22</f>
        <v>16941289.29420606</v>
      </c>
      <c r="L18" s="205">
        <f>I18+'Pre-1996 assets'!I18</f>
        <v>26574698.80830409</v>
      </c>
      <c r="M18" s="250"/>
      <c r="N18" s="251"/>
    </row>
    <row r="19" spans="1:17" ht="12" x14ac:dyDescent="0.3">
      <c r="H19" s="204" t="s">
        <v>554</v>
      </c>
      <c r="I19" s="205">
        <f>SUMIF($B$22:$B$1998,H19,$P$22:$P$1998)/$J$22</f>
        <v>212948280.87167069</v>
      </c>
      <c r="L19" s="205">
        <f>I19+'Pre-1996 assets'!I19</f>
        <v>212948280.87167069</v>
      </c>
      <c r="M19" s="250"/>
      <c r="N19" s="251"/>
    </row>
    <row r="20" spans="1:17" x14ac:dyDescent="0.25">
      <c r="C20" s="6" t="s">
        <v>187</v>
      </c>
      <c r="H20" s="6" t="s">
        <v>188</v>
      </c>
      <c r="L20" s="6" t="s">
        <v>189</v>
      </c>
      <c r="M20" s="6"/>
    </row>
    <row r="21" spans="1:17" ht="46" x14ac:dyDescent="0.25">
      <c r="C21" s="24" t="s">
        <v>190</v>
      </c>
      <c r="D21" s="24" t="s">
        <v>191</v>
      </c>
      <c r="E21" s="24" t="s">
        <v>192</v>
      </c>
      <c r="F21" s="24" t="s">
        <v>555</v>
      </c>
      <c r="H21" s="24" t="s">
        <v>194</v>
      </c>
      <c r="I21" s="24" t="s">
        <v>195</v>
      </c>
      <c r="J21" s="24" t="s">
        <v>196</v>
      </c>
      <c r="L21" s="24" t="s">
        <v>197</v>
      </c>
      <c r="M21" s="24" t="s">
        <v>198</v>
      </c>
      <c r="N21" s="24" t="s">
        <v>199</v>
      </c>
      <c r="O21" s="24" t="s">
        <v>200</v>
      </c>
      <c r="P21" s="24" t="s">
        <v>201</v>
      </c>
      <c r="Q21" s="194" t="s">
        <v>202</v>
      </c>
    </row>
    <row r="22" spans="1:17" x14ac:dyDescent="0.25">
      <c r="A22" s="243">
        <v>1998</v>
      </c>
      <c r="B22" s="243" t="s">
        <v>183</v>
      </c>
      <c r="C22" s="198">
        <v>350585</v>
      </c>
      <c r="D22" s="111" t="s">
        <v>556</v>
      </c>
      <c r="E22" s="33">
        <f>DATEVALUE("30 Jun "&amp;A22)</f>
        <v>35976</v>
      </c>
      <c r="F22" s="104" t="str">
        <f>IF(E22="","-",IF(OR(E22&lt;$E$15,E22&gt;$E$16),"ERROR - date outside of range",IF(MONTH(E22)&gt;=7,YEAR(E22)&amp;"-"&amp;IF(YEAR(E22)=1999,"00",IF(AND(YEAR(E22)&gt;=2000,YEAR(E22)&lt;2009),"0","")&amp;RIGHT(YEAR(E22),2)+1),RIGHT(YEAR(E22),4)-1&amp;"-"&amp;RIGHT(YEAR(E22),2))))</f>
        <v>1997-98</v>
      </c>
      <c r="H22" s="115" t="s">
        <v>205</v>
      </c>
      <c r="I22" s="26"/>
      <c r="J22" s="240">
        <f>'ET inputs'!AP21</f>
        <v>0.71056941388834605</v>
      </c>
      <c r="K22" s="36"/>
      <c r="L22" s="26">
        <v>8</v>
      </c>
      <c r="M22" s="26" t="s">
        <v>206</v>
      </c>
      <c r="N22" s="26">
        <v>1153.2224409778812</v>
      </c>
      <c r="O22" s="93">
        <f>IF(N22="","-",L22*N22)</f>
        <v>9225.7795278230496</v>
      </c>
      <c r="P22" s="95">
        <f>IF(O22="-","-",IF(OR(E22&lt;$E$15,E22&gt;$E$16),0,O22*J22))*Q22</f>
        <v>6555.556751748326</v>
      </c>
      <c r="Q22" s="196">
        <v>1</v>
      </c>
    </row>
    <row r="23" spans="1:17" x14ac:dyDescent="0.25">
      <c r="A23" s="243">
        <v>1998</v>
      </c>
      <c r="B23" s="243" t="s">
        <v>183</v>
      </c>
      <c r="C23" s="198"/>
      <c r="D23" s="111" t="s">
        <v>556</v>
      </c>
      <c r="E23" s="33">
        <f>DATEVALUE("30 Jun "&amp;A23)</f>
        <v>35976</v>
      </c>
      <c r="F23" s="104" t="str">
        <f>IF(E23="","-",IF(OR(E23&lt;$E$15,E23&gt;$E$16),"ERROR - date outside of range",IF(MONTH(E23)&gt;=7,YEAR(E23)&amp;"-"&amp;IF(YEAR(E23)=1999,"00",IF(AND(YEAR(E23)&gt;=2000,YEAR(E23)&lt;2009),"0","")&amp;RIGHT(YEAR(E23),2)+1),RIGHT(YEAR(E23),4)-1&amp;"-"&amp;RIGHT(YEAR(E23),2))))</f>
        <v>1997-98</v>
      </c>
      <c r="H23" s="115"/>
      <c r="I23" s="26"/>
      <c r="J23" s="98">
        <f>J22</f>
        <v>0.71056941388834605</v>
      </c>
      <c r="K23" s="36"/>
      <c r="L23" s="26">
        <v>258</v>
      </c>
      <c r="M23" s="26" t="s">
        <v>206</v>
      </c>
      <c r="N23" s="26">
        <v>1138.7266281722934</v>
      </c>
      <c r="O23" s="93">
        <f>IF(N23="","-",L23*N23)</f>
        <v>293791.47006845172</v>
      </c>
      <c r="P23" s="95">
        <f>IF(O23="-","-",IF(OR(E23&lt;$E$15,E23&gt;$E$16),0,O23*J23))*Q23</f>
        <v>208759.23269193529</v>
      </c>
      <c r="Q23" s="196">
        <v>1</v>
      </c>
    </row>
    <row r="24" spans="1:17" x14ac:dyDescent="0.25">
      <c r="A24" s="243">
        <v>1999</v>
      </c>
      <c r="B24" s="243" t="s">
        <v>183</v>
      </c>
      <c r="C24" s="198" t="s">
        <v>557</v>
      </c>
      <c r="D24" s="111" t="s">
        <v>558</v>
      </c>
      <c r="E24" s="33">
        <f t="shared" ref="E24:E37" si="0">DATEVALUE("30 Jun "&amp;A24)</f>
        <v>36341</v>
      </c>
      <c r="F24" s="104" t="str">
        <f t="shared" ref="F24:F87" si="1">IF(E24="","-",IF(OR(E24&lt;$E$15,E24&gt;$E$16),"ERROR - date outside of range",IF(MONTH(E24)&gt;=7,YEAR(E24)&amp;"-"&amp;IF(YEAR(E24)=1999,"00",IF(AND(YEAR(E24)&gt;=2000,YEAR(E24)&lt;2009),"0","")&amp;RIGHT(YEAR(E24),2)+1),RIGHT(YEAR(E24),4)-1&amp;"-"&amp;RIGHT(YEAR(E24),2))))</f>
        <v>1998-99</v>
      </c>
      <c r="H24" s="115"/>
      <c r="I24" s="26"/>
      <c r="J24" s="98">
        <f t="shared" ref="J24:J87" si="2">J23</f>
        <v>0.71056941388834605</v>
      </c>
      <c r="K24" s="36"/>
      <c r="L24" s="26">
        <v>101.8</v>
      </c>
      <c r="M24" s="26" t="s">
        <v>206</v>
      </c>
      <c r="N24" s="26">
        <v>1916.6685820721768</v>
      </c>
      <c r="O24" s="93">
        <f t="shared" ref="O24:O87" si="3">IF(N24="","-",L24*N24)</f>
        <v>195116.8616549476</v>
      </c>
      <c r="P24" s="95">
        <f t="shared" ref="P24:P87" si="4">IF(O24="-","-",IF(OR(E24&lt;$E$15,E24&gt;$E$16),0,O24*J24))*Q24</f>
        <v>54764.409240226407</v>
      </c>
      <c r="Q24" s="196">
        <v>0.39500000000000002</v>
      </c>
    </row>
    <row r="25" spans="1:17" x14ac:dyDescent="0.25">
      <c r="A25" s="243">
        <v>2001</v>
      </c>
      <c r="B25" s="243" t="s">
        <v>183</v>
      </c>
      <c r="C25" s="198">
        <v>350568</v>
      </c>
      <c r="D25" s="111" t="s">
        <v>556</v>
      </c>
      <c r="E25" s="33">
        <f t="shared" si="0"/>
        <v>37072</v>
      </c>
      <c r="F25" s="104" t="str">
        <f t="shared" si="1"/>
        <v>2000-01</v>
      </c>
      <c r="H25" s="115"/>
      <c r="I25" s="26"/>
      <c r="J25" s="98">
        <f t="shared" si="2"/>
        <v>0.71056941388834605</v>
      </c>
      <c r="K25" s="36"/>
      <c r="L25" s="26">
        <v>529</v>
      </c>
      <c r="M25" s="26" t="s">
        <v>206</v>
      </c>
      <c r="N25" s="26">
        <v>2071.2905853317811</v>
      </c>
      <c r="O25" s="93">
        <f t="shared" si="3"/>
        <v>1095712.7196405123</v>
      </c>
      <c r="P25" s="95">
        <f t="shared" si="4"/>
        <v>778579.94498496444</v>
      </c>
      <c r="Q25" s="196">
        <v>1</v>
      </c>
    </row>
    <row r="26" spans="1:17" x14ac:dyDescent="0.25">
      <c r="A26" s="243">
        <v>2001</v>
      </c>
      <c r="B26" s="243" t="s">
        <v>183</v>
      </c>
      <c r="C26" s="198">
        <v>10003770</v>
      </c>
      <c r="D26" s="111" t="s">
        <v>559</v>
      </c>
      <c r="E26" s="33">
        <f t="shared" si="0"/>
        <v>37072</v>
      </c>
      <c r="F26" s="104" t="str">
        <f t="shared" si="1"/>
        <v>2000-01</v>
      </c>
      <c r="H26" s="115"/>
      <c r="I26" s="26"/>
      <c r="J26" s="98">
        <f t="shared" si="2"/>
        <v>0.71056941388834605</v>
      </c>
      <c r="K26" s="36"/>
      <c r="L26" s="26">
        <v>155.88999999999999</v>
      </c>
      <c r="M26" s="26" t="s">
        <v>206</v>
      </c>
      <c r="N26" s="26">
        <v>1153.2224409778812</v>
      </c>
      <c r="O26" s="93">
        <f t="shared" si="3"/>
        <v>179775.84632404189</v>
      </c>
      <c r="P26" s="95">
        <f t="shared" si="4"/>
        <v>127743.21775375582</v>
      </c>
      <c r="Q26" s="196">
        <v>1</v>
      </c>
    </row>
    <row r="27" spans="1:17" x14ac:dyDescent="0.25">
      <c r="A27" s="243">
        <v>2001</v>
      </c>
      <c r="B27" s="243" t="s">
        <v>183</v>
      </c>
      <c r="C27" s="198"/>
      <c r="D27" s="111" t="s">
        <v>559</v>
      </c>
      <c r="E27" s="33">
        <f t="shared" si="0"/>
        <v>37072</v>
      </c>
      <c r="F27" s="104" t="str">
        <f t="shared" si="1"/>
        <v>2000-01</v>
      </c>
      <c r="H27" s="115"/>
      <c r="I27" s="26"/>
      <c r="J27" s="98">
        <f t="shared" si="2"/>
        <v>0.71056941388834605</v>
      </c>
      <c r="K27" s="36"/>
      <c r="L27" s="26">
        <v>59.1</v>
      </c>
      <c r="M27" s="26" t="s">
        <v>206</v>
      </c>
      <c r="N27" s="26">
        <v>1066.2475641443541</v>
      </c>
      <c r="O27" s="93">
        <f t="shared" si="3"/>
        <v>63015.231040931329</v>
      </c>
      <c r="P27" s="95">
        <f t="shared" si="4"/>
        <v>44776.695786793287</v>
      </c>
      <c r="Q27" s="196">
        <v>1</v>
      </c>
    </row>
    <row r="28" spans="1:17" x14ac:dyDescent="0.25">
      <c r="A28" s="243">
        <v>2002</v>
      </c>
      <c r="B28" s="243" t="s">
        <v>183</v>
      </c>
      <c r="C28" s="198" t="s">
        <v>560</v>
      </c>
      <c r="D28" s="111" t="s">
        <v>561</v>
      </c>
      <c r="E28" s="33">
        <f t="shared" si="0"/>
        <v>37437</v>
      </c>
      <c r="F28" s="104" t="str">
        <f t="shared" si="1"/>
        <v>2001-02</v>
      </c>
      <c r="H28" s="115"/>
      <c r="I28" s="26"/>
      <c r="J28" s="98">
        <f t="shared" si="2"/>
        <v>0.71056941388834605</v>
      </c>
      <c r="K28" s="36"/>
      <c r="L28" s="26">
        <v>215</v>
      </c>
      <c r="M28" s="26" t="s">
        <v>206</v>
      </c>
      <c r="N28" s="26">
        <v>1309.455090104773</v>
      </c>
      <c r="O28" s="93">
        <f t="shared" si="3"/>
        <v>281532.84437252622</v>
      </c>
      <c r="P28" s="95">
        <f t="shared" si="4"/>
        <v>200048.6282161049</v>
      </c>
      <c r="Q28" s="196">
        <v>1</v>
      </c>
    </row>
    <row r="29" spans="1:17" x14ac:dyDescent="0.25">
      <c r="A29" s="243">
        <v>2002</v>
      </c>
      <c r="B29" s="243" t="s">
        <v>183</v>
      </c>
      <c r="C29" s="198"/>
      <c r="D29" s="111" t="s">
        <v>561</v>
      </c>
      <c r="E29" s="33">
        <f t="shared" si="0"/>
        <v>37437</v>
      </c>
      <c r="F29" s="104" t="str">
        <f t="shared" si="1"/>
        <v>2001-02</v>
      </c>
      <c r="H29" s="115"/>
      <c r="I29" s="26"/>
      <c r="J29" s="98">
        <f t="shared" si="2"/>
        <v>0.71056941388834605</v>
      </c>
      <c r="K29" s="36"/>
      <c r="L29" s="26">
        <v>61</v>
      </c>
      <c r="M29" s="26" t="s">
        <v>206</v>
      </c>
      <c r="N29" s="26">
        <v>971.21945797438889</v>
      </c>
      <c r="O29" s="93">
        <f t="shared" si="3"/>
        <v>59244.386936437724</v>
      </c>
      <c r="P29" s="95">
        <f t="shared" si="4"/>
        <v>42097.249301598938</v>
      </c>
      <c r="Q29" s="196">
        <v>1</v>
      </c>
    </row>
    <row r="30" spans="1:17" x14ac:dyDescent="0.25">
      <c r="A30" s="243">
        <v>2002</v>
      </c>
      <c r="B30" s="243" t="s">
        <v>183</v>
      </c>
      <c r="C30" s="198" t="s">
        <v>562</v>
      </c>
      <c r="D30" s="111" t="s">
        <v>561</v>
      </c>
      <c r="E30" s="33">
        <f t="shared" si="0"/>
        <v>37437</v>
      </c>
      <c r="F30" s="104" t="str">
        <f t="shared" si="1"/>
        <v>2001-02</v>
      </c>
      <c r="H30" s="115"/>
      <c r="I30" s="26"/>
      <c r="J30" s="98">
        <f t="shared" si="2"/>
        <v>0.71056941388834605</v>
      </c>
      <c r="K30" s="36"/>
      <c r="L30" s="26">
        <v>683</v>
      </c>
      <c r="M30" s="26" t="s">
        <v>206</v>
      </c>
      <c r="N30" s="26">
        <v>1153.2224409778812</v>
      </c>
      <c r="O30" s="93">
        <f t="shared" si="3"/>
        <v>787650.92718789284</v>
      </c>
      <c r="P30" s="95">
        <f t="shared" si="4"/>
        <v>559680.65768051334</v>
      </c>
      <c r="Q30" s="196">
        <v>1</v>
      </c>
    </row>
    <row r="31" spans="1:17" x14ac:dyDescent="0.25">
      <c r="A31" s="243">
        <v>2003</v>
      </c>
      <c r="B31" s="243" t="s">
        <v>183</v>
      </c>
      <c r="C31" s="198" t="s">
        <v>563</v>
      </c>
      <c r="D31" s="111" t="s">
        <v>561</v>
      </c>
      <c r="E31" s="33">
        <f t="shared" si="0"/>
        <v>37802</v>
      </c>
      <c r="F31" s="104" t="str">
        <f t="shared" si="1"/>
        <v>2002-03</v>
      </c>
      <c r="H31" s="115"/>
      <c r="I31" s="26"/>
      <c r="J31" s="98">
        <f t="shared" si="2"/>
        <v>0.71056941388834605</v>
      </c>
      <c r="K31" s="36"/>
      <c r="L31" s="26">
        <v>2</v>
      </c>
      <c r="M31" s="26" t="s">
        <v>206</v>
      </c>
      <c r="N31" s="26">
        <v>1916.6685820721768</v>
      </c>
      <c r="O31" s="93">
        <f t="shared" si="3"/>
        <v>3833.3371641443537</v>
      </c>
      <c r="P31" s="95">
        <f t="shared" si="4"/>
        <v>2723.8521419624681</v>
      </c>
      <c r="Q31" s="196">
        <v>1</v>
      </c>
    </row>
    <row r="32" spans="1:17" x14ac:dyDescent="0.25">
      <c r="A32" s="243">
        <v>2003</v>
      </c>
      <c r="B32" s="243" t="s">
        <v>183</v>
      </c>
      <c r="C32" s="198"/>
      <c r="D32" s="111" t="s">
        <v>561</v>
      </c>
      <c r="E32" s="33">
        <f t="shared" si="0"/>
        <v>37802</v>
      </c>
      <c r="F32" s="104" t="str">
        <f t="shared" si="1"/>
        <v>2002-03</v>
      </c>
      <c r="H32" s="115"/>
      <c r="I32" s="26"/>
      <c r="J32" s="98">
        <f t="shared" si="2"/>
        <v>0.71056941388834605</v>
      </c>
      <c r="K32" s="36"/>
      <c r="L32" s="26">
        <v>295</v>
      </c>
      <c r="M32" s="26" t="s">
        <v>206</v>
      </c>
      <c r="N32" s="26">
        <v>1646.0800763678699</v>
      </c>
      <c r="O32" s="93">
        <f t="shared" si="3"/>
        <v>485593.62252852164</v>
      </c>
      <c r="P32" s="95">
        <f t="shared" si="4"/>
        <v>345047.97574801039</v>
      </c>
      <c r="Q32" s="196">
        <v>1</v>
      </c>
    </row>
    <row r="33" spans="1:17" x14ac:dyDescent="0.25">
      <c r="A33" s="243">
        <v>2003</v>
      </c>
      <c r="B33" s="243" t="s">
        <v>183</v>
      </c>
      <c r="C33" s="198"/>
      <c r="D33" s="111" t="s">
        <v>561</v>
      </c>
      <c r="E33" s="33">
        <f t="shared" si="0"/>
        <v>37802</v>
      </c>
      <c r="F33" s="104" t="str">
        <f t="shared" si="1"/>
        <v>2002-03</v>
      </c>
      <c r="H33" s="115"/>
      <c r="I33" s="26"/>
      <c r="J33" s="98">
        <f t="shared" si="2"/>
        <v>0.71056941388834605</v>
      </c>
      <c r="K33" s="36"/>
      <c r="L33" s="26">
        <v>19</v>
      </c>
      <c r="M33" s="26" t="s">
        <v>206</v>
      </c>
      <c r="N33" s="26">
        <v>1803.923371362049</v>
      </c>
      <c r="O33" s="93">
        <f t="shared" si="3"/>
        <v>34274.544055878934</v>
      </c>
      <c r="P33" s="95">
        <f t="shared" si="4"/>
        <v>24354.442681076191</v>
      </c>
      <c r="Q33" s="196">
        <v>1</v>
      </c>
    </row>
    <row r="34" spans="1:17" x14ac:dyDescent="0.25">
      <c r="A34" s="243">
        <v>2003</v>
      </c>
      <c r="B34" s="243" t="s">
        <v>183</v>
      </c>
      <c r="C34" s="198"/>
      <c r="D34" s="111" t="s">
        <v>561</v>
      </c>
      <c r="E34" s="33">
        <f t="shared" si="0"/>
        <v>37802</v>
      </c>
      <c r="F34" s="104" t="str">
        <f t="shared" si="1"/>
        <v>2002-03</v>
      </c>
      <c r="H34" s="115"/>
      <c r="I34" s="26"/>
      <c r="J34" s="98">
        <f t="shared" si="2"/>
        <v>0.71056941388834605</v>
      </c>
      <c r="K34" s="36"/>
      <c r="L34" s="26">
        <v>29</v>
      </c>
      <c r="M34" s="26" t="s">
        <v>206</v>
      </c>
      <c r="N34" s="26">
        <v>864.91683073341096</v>
      </c>
      <c r="O34" s="93">
        <f t="shared" si="3"/>
        <v>25082.588091268917</v>
      </c>
      <c r="P34" s="95">
        <f t="shared" si="4"/>
        <v>17822.919918815762</v>
      </c>
      <c r="Q34" s="196">
        <v>1</v>
      </c>
    </row>
    <row r="35" spans="1:17" x14ac:dyDescent="0.25">
      <c r="A35" s="243">
        <v>2003</v>
      </c>
      <c r="B35" s="243" t="s">
        <v>183</v>
      </c>
      <c r="C35" s="198"/>
      <c r="D35" s="111" t="s">
        <v>561</v>
      </c>
      <c r="E35" s="33">
        <f t="shared" si="0"/>
        <v>37802</v>
      </c>
      <c r="F35" s="104" t="str">
        <f t="shared" si="1"/>
        <v>2002-03</v>
      </c>
      <c r="H35" s="115"/>
      <c r="I35" s="26"/>
      <c r="J35" s="98">
        <f t="shared" si="2"/>
        <v>0.71056941388834605</v>
      </c>
      <c r="K35" s="36"/>
      <c r="L35" s="26">
        <v>760</v>
      </c>
      <c r="M35" s="26" t="s">
        <v>206</v>
      </c>
      <c r="N35" s="26">
        <v>737.67580721769491</v>
      </c>
      <c r="O35" s="93">
        <f t="shared" si="3"/>
        <v>560633.61348544818</v>
      </c>
      <c r="P35" s="95">
        <f t="shared" si="4"/>
        <v>398369.09814046044</v>
      </c>
      <c r="Q35" s="196">
        <v>1</v>
      </c>
    </row>
    <row r="36" spans="1:17" x14ac:dyDescent="0.25">
      <c r="A36" s="243">
        <v>2003</v>
      </c>
      <c r="B36" s="243" t="s">
        <v>183</v>
      </c>
      <c r="C36" s="198"/>
      <c r="D36" s="111" t="s">
        <v>561</v>
      </c>
      <c r="E36" s="33">
        <f t="shared" si="0"/>
        <v>37802</v>
      </c>
      <c r="F36" s="104" t="str">
        <f t="shared" si="1"/>
        <v>2002-03</v>
      </c>
      <c r="H36" s="115"/>
      <c r="I36" s="26"/>
      <c r="J36" s="98">
        <f t="shared" si="2"/>
        <v>0.71056941388834605</v>
      </c>
      <c r="K36" s="36"/>
      <c r="L36" s="26">
        <v>2122</v>
      </c>
      <c r="M36" s="26" t="s">
        <v>206</v>
      </c>
      <c r="N36" s="26">
        <v>2641.459222351572</v>
      </c>
      <c r="O36" s="93">
        <f t="shared" si="3"/>
        <v>5605176.4698300352</v>
      </c>
      <c r="P36" s="95">
        <f t="shared" si="4"/>
        <v>3982866.9589078766</v>
      </c>
      <c r="Q36" s="196">
        <v>1</v>
      </c>
    </row>
    <row r="37" spans="1:17" x14ac:dyDescent="0.25">
      <c r="A37" s="243">
        <v>2005</v>
      </c>
      <c r="B37" s="243" t="s">
        <v>183</v>
      </c>
      <c r="C37" s="198" t="s">
        <v>564</v>
      </c>
      <c r="D37" s="111" t="s">
        <v>558</v>
      </c>
      <c r="E37" s="33">
        <f t="shared" si="0"/>
        <v>38533</v>
      </c>
      <c r="F37" s="104" t="str">
        <f t="shared" si="1"/>
        <v>2004-05</v>
      </c>
      <c r="H37" s="115"/>
      <c r="I37" s="26"/>
      <c r="J37" s="98">
        <f t="shared" si="2"/>
        <v>0.71056941388834605</v>
      </c>
      <c r="K37" s="36"/>
      <c r="L37" s="26">
        <v>111.7</v>
      </c>
      <c r="M37" s="26" t="s">
        <v>206</v>
      </c>
      <c r="N37" s="26">
        <v>827.87197578579753</v>
      </c>
      <c r="O37" s="93">
        <f t="shared" si="3"/>
        <v>92473.299695273585</v>
      </c>
      <c r="P37" s="95">
        <f t="shared" si="4"/>
        <v>65708.698364791926</v>
      </c>
      <c r="Q37" s="196">
        <v>1</v>
      </c>
    </row>
    <row r="38" spans="1:17" x14ac:dyDescent="0.25">
      <c r="A38" s="243">
        <v>38555</v>
      </c>
      <c r="B38" s="243" t="s">
        <v>183</v>
      </c>
      <c r="C38" s="198" t="s">
        <v>565</v>
      </c>
      <c r="D38" s="111" t="s">
        <v>566</v>
      </c>
      <c r="E38" s="33">
        <f>A38</f>
        <v>38555</v>
      </c>
      <c r="F38" s="104" t="str">
        <f t="shared" si="1"/>
        <v>2005-06</v>
      </c>
      <c r="H38" s="115"/>
      <c r="I38" s="26"/>
      <c r="J38" s="98">
        <f t="shared" si="2"/>
        <v>0.71056941388834605</v>
      </c>
      <c r="K38" s="36"/>
      <c r="L38" s="26">
        <v>13.994904868900001</v>
      </c>
      <c r="M38" s="26" t="s">
        <v>206</v>
      </c>
      <c r="N38" s="26">
        <v>3336.4019512195118</v>
      </c>
      <c r="O38" s="93">
        <f t="shared" si="3"/>
        <v>46692.627911729411</v>
      </c>
      <c r="P38" s="95">
        <f t="shared" si="4"/>
        <v>33178.353248144194</v>
      </c>
      <c r="Q38" s="196">
        <v>1</v>
      </c>
    </row>
    <row r="39" spans="1:17" x14ac:dyDescent="0.25">
      <c r="A39" s="243">
        <v>38565</v>
      </c>
      <c r="B39" s="243" t="s">
        <v>183</v>
      </c>
      <c r="C39" s="198" t="s">
        <v>567</v>
      </c>
      <c r="D39" s="111" t="s">
        <v>568</v>
      </c>
      <c r="E39" s="33">
        <f t="shared" ref="E39:E102" si="5">A39</f>
        <v>38565</v>
      </c>
      <c r="F39" s="104" t="str">
        <f t="shared" si="1"/>
        <v>2005-06</v>
      </c>
      <c r="H39" s="115"/>
      <c r="I39" s="26"/>
      <c r="J39" s="98">
        <f t="shared" si="2"/>
        <v>0.71056941388834605</v>
      </c>
      <c r="K39" s="36"/>
      <c r="L39" s="26">
        <v>12.3974555857</v>
      </c>
      <c r="M39" s="26" t="s">
        <v>206</v>
      </c>
      <c r="N39" s="26">
        <v>3592.3639024390236</v>
      </c>
      <c r="O39" s="93">
        <f t="shared" si="3"/>
        <v>44536.171928159718</v>
      </c>
      <c r="P39" s="95">
        <f t="shared" si="4"/>
        <v>31646.041583823062</v>
      </c>
      <c r="Q39" s="196">
        <v>1</v>
      </c>
    </row>
    <row r="40" spans="1:17" x14ac:dyDescent="0.25">
      <c r="A40" s="243">
        <v>38596</v>
      </c>
      <c r="B40" s="243" t="s">
        <v>183</v>
      </c>
      <c r="C40" s="198" t="s">
        <v>569</v>
      </c>
      <c r="D40" s="111" t="s">
        <v>570</v>
      </c>
      <c r="E40" s="33">
        <f t="shared" si="5"/>
        <v>38596</v>
      </c>
      <c r="F40" s="104" t="str">
        <f t="shared" si="1"/>
        <v>2005-06</v>
      </c>
      <c r="H40" s="115"/>
      <c r="I40" s="26"/>
      <c r="J40" s="98">
        <f t="shared" si="2"/>
        <v>0.71056941388834605</v>
      </c>
      <c r="K40" s="36"/>
      <c r="L40" s="26">
        <v>17.3312988809</v>
      </c>
      <c r="M40" s="26" t="s">
        <v>206</v>
      </c>
      <c r="N40" s="26">
        <v>3336.4019512195118</v>
      </c>
      <c r="O40" s="93">
        <f t="shared" si="3"/>
        <v>57824.179403403301</v>
      </c>
      <c r="P40" s="95">
        <f t="shared" si="4"/>
        <v>41088.093267250857</v>
      </c>
      <c r="Q40" s="196">
        <v>1</v>
      </c>
    </row>
    <row r="41" spans="1:17" x14ac:dyDescent="0.25">
      <c r="A41" s="243">
        <v>38596</v>
      </c>
      <c r="B41" s="243" t="s">
        <v>183</v>
      </c>
      <c r="C41" s="198" t="s">
        <v>569</v>
      </c>
      <c r="D41" s="111" t="s">
        <v>570</v>
      </c>
      <c r="E41" s="33">
        <f t="shared" si="5"/>
        <v>38596</v>
      </c>
      <c r="F41" s="104" t="str">
        <f t="shared" si="1"/>
        <v>2005-06</v>
      </c>
      <c r="H41" s="115"/>
      <c r="I41" s="26"/>
      <c r="J41" s="98">
        <f t="shared" si="2"/>
        <v>0.71056941388834605</v>
      </c>
      <c r="K41" s="36"/>
      <c r="L41" s="26">
        <v>8.63754924733</v>
      </c>
      <c r="M41" s="26" t="s">
        <v>206</v>
      </c>
      <c r="N41" s="26">
        <v>3336.4019512195118</v>
      </c>
      <c r="O41" s="93">
        <f t="shared" si="3"/>
        <v>28818.336162546439</v>
      </c>
      <c r="P41" s="95">
        <f t="shared" si="4"/>
        <v>20477.428236257951</v>
      </c>
      <c r="Q41" s="196">
        <v>1</v>
      </c>
    </row>
    <row r="42" spans="1:17" x14ac:dyDescent="0.25">
      <c r="A42" s="243">
        <v>38616</v>
      </c>
      <c r="B42" s="243" t="s">
        <v>183</v>
      </c>
      <c r="C42" s="198" t="s">
        <v>571</v>
      </c>
      <c r="D42" s="111" t="s">
        <v>572</v>
      </c>
      <c r="E42" s="33">
        <f t="shared" si="5"/>
        <v>38616</v>
      </c>
      <c r="F42" s="104" t="str">
        <f t="shared" si="1"/>
        <v>2005-06</v>
      </c>
      <c r="H42" s="115"/>
      <c r="I42" s="26"/>
      <c r="J42" s="98">
        <f t="shared" si="2"/>
        <v>0.71056941388834605</v>
      </c>
      <c r="K42" s="36"/>
      <c r="L42" s="26">
        <v>11.497946003899999</v>
      </c>
      <c r="M42" s="26" t="s">
        <v>206</v>
      </c>
      <c r="N42" s="26">
        <v>3336.4019512195118</v>
      </c>
      <c r="O42" s="93">
        <f t="shared" si="3"/>
        <v>38361.769482428543</v>
      </c>
      <c r="P42" s="95">
        <f t="shared" si="4"/>
        <v>27258.700056849091</v>
      </c>
      <c r="Q42" s="196">
        <v>1</v>
      </c>
    </row>
    <row r="43" spans="1:17" x14ac:dyDescent="0.25">
      <c r="A43" s="243">
        <v>38624</v>
      </c>
      <c r="B43" s="243" t="s">
        <v>183</v>
      </c>
      <c r="C43" s="198" t="s">
        <v>573</v>
      </c>
      <c r="D43" s="111" t="s">
        <v>574</v>
      </c>
      <c r="E43" s="33">
        <f t="shared" si="5"/>
        <v>38624</v>
      </c>
      <c r="F43" s="104" t="str">
        <f t="shared" si="1"/>
        <v>2005-06</v>
      </c>
      <c r="H43" s="115"/>
      <c r="I43" s="26"/>
      <c r="J43" s="98">
        <f t="shared" si="2"/>
        <v>0.71056941388834605</v>
      </c>
      <c r="K43" s="36"/>
      <c r="L43" s="26">
        <v>4.9996412871300002</v>
      </c>
      <c r="M43" s="26" t="s">
        <v>206</v>
      </c>
      <c r="N43" s="26">
        <v>3336.4019512195118</v>
      </c>
      <c r="O43" s="93">
        <f t="shared" si="3"/>
        <v>16680.812945778165</v>
      </c>
      <c r="P43" s="95">
        <f t="shared" si="4"/>
        <v>11852.875478062726</v>
      </c>
      <c r="Q43" s="196">
        <v>1</v>
      </c>
    </row>
    <row r="44" spans="1:17" x14ac:dyDescent="0.25">
      <c r="A44" s="243">
        <v>38678</v>
      </c>
      <c r="B44" s="243" t="s">
        <v>183</v>
      </c>
      <c r="C44" s="198" t="s">
        <v>575</v>
      </c>
      <c r="D44" s="111" t="s">
        <v>576</v>
      </c>
      <c r="E44" s="33">
        <f t="shared" si="5"/>
        <v>38678</v>
      </c>
      <c r="F44" s="104" t="str">
        <f t="shared" si="1"/>
        <v>2005-06</v>
      </c>
      <c r="H44" s="115"/>
      <c r="I44" s="26"/>
      <c r="J44" s="98">
        <f t="shared" si="2"/>
        <v>0.71056941388834605</v>
      </c>
      <c r="K44" s="36"/>
      <c r="L44" s="26">
        <v>8.7185299844700008</v>
      </c>
      <c r="M44" s="26" t="s">
        <v>206</v>
      </c>
      <c r="N44" s="26">
        <v>3592.3639024390236</v>
      </c>
      <c r="O44" s="93">
        <f t="shared" si="3"/>
        <v>31320.132398542293</v>
      </c>
      <c r="P44" s="95">
        <f t="shared" si="4"/>
        <v>22255.128121337595</v>
      </c>
      <c r="Q44" s="196">
        <v>1</v>
      </c>
    </row>
    <row r="45" spans="1:17" x14ac:dyDescent="0.25">
      <c r="A45" s="243">
        <v>38678</v>
      </c>
      <c r="B45" s="243" t="s">
        <v>183</v>
      </c>
      <c r="C45" s="198" t="s">
        <v>577</v>
      </c>
      <c r="D45" s="111" t="s">
        <v>576</v>
      </c>
      <c r="E45" s="33">
        <f t="shared" si="5"/>
        <v>38678</v>
      </c>
      <c r="F45" s="104" t="str">
        <f t="shared" si="1"/>
        <v>2005-06</v>
      </c>
      <c r="H45" s="115"/>
      <c r="I45" s="26"/>
      <c r="J45" s="98">
        <f t="shared" si="2"/>
        <v>0.71056941388834605</v>
      </c>
      <c r="K45" s="36"/>
      <c r="L45" s="26">
        <v>18.452947135900001</v>
      </c>
      <c r="M45" s="26" t="s">
        <v>206</v>
      </c>
      <c r="N45" s="26">
        <v>3592.3639024390236</v>
      </c>
      <c r="O45" s="93">
        <f t="shared" si="3"/>
        <v>66289.701184622725</v>
      </c>
      <c r="P45" s="95">
        <f t="shared" si="4"/>
        <v>47103.434117590965</v>
      </c>
      <c r="Q45" s="196">
        <v>1</v>
      </c>
    </row>
    <row r="46" spans="1:17" x14ac:dyDescent="0.25">
      <c r="A46" s="243">
        <v>38681</v>
      </c>
      <c r="B46" s="243" t="s">
        <v>183</v>
      </c>
      <c r="C46" s="198" t="s">
        <v>578</v>
      </c>
      <c r="D46" s="111" t="s">
        <v>579</v>
      </c>
      <c r="E46" s="33">
        <f t="shared" si="5"/>
        <v>38681</v>
      </c>
      <c r="F46" s="104" t="str">
        <f t="shared" si="1"/>
        <v>2005-06</v>
      </c>
      <c r="H46" s="115"/>
      <c r="I46" s="26"/>
      <c r="J46" s="98">
        <f t="shared" si="2"/>
        <v>0.71056941388834605</v>
      </c>
      <c r="K46" s="36"/>
      <c r="L46" s="26">
        <v>7.81463479633</v>
      </c>
      <c r="M46" s="26" t="s">
        <v>206</v>
      </c>
      <c r="N46" s="26">
        <v>3336.4019512195118</v>
      </c>
      <c r="O46" s="93">
        <f t="shared" si="3"/>
        <v>26072.762782543305</v>
      </c>
      <c r="P46" s="95">
        <f t="shared" si="4"/>
        <v>18526.507768841679</v>
      </c>
      <c r="Q46" s="196">
        <v>1</v>
      </c>
    </row>
    <row r="47" spans="1:17" x14ac:dyDescent="0.25">
      <c r="A47" s="243">
        <v>38705</v>
      </c>
      <c r="B47" s="243" t="s">
        <v>183</v>
      </c>
      <c r="C47" s="198" t="s">
        <v>580</v>
      </c>
      <c r="D47" s="111" t="s">
        <v>581</v>
      </c>
      <c r="E47" s="33">
        <f t="shared" si="5"/>
        <v>38705</v>
      </c>
      <c r="F47" s="104" t="str">
        <f t="shared" si="1"/>
        <v>2005-06</v>
      </c>
      <c r="H47" s="115"/>
      <c r="I47" s="26"/>
      <c r="J47" s="98">
        <f t="shared" si="2"/>
        <v>0.71056941388834605</v>
      </c>
      <c r="K47" s="36"/>
      <c r="L47" s="26">
        <v>12.4982840822</v>
      </c>
      <c r="M47" s="26" t="s">
        <v>206</v>
      </c>
      <c r="N47" s="26">
        <v>3336.4019512195118</v>
      </c>
      <c r="O47" s="93">
        <f t="shared" si="3"/>
        <v>41699.299398747848</v>
      </c>
      <c r="P47" s="95">
        <f t="shared" si="4"/>
        <v>29630.246733322918</v>
      </c>
      <c r="Q47" s="196">
        <v>1</v>
      </c>
    </row>
    <row r="48" spans="1:17" x14ac:dyDescent="0.25">
      <c r="A48" s="243">
        <v>38708</v>
      </c>
      <c r="B48" s="243" t="s">
        <v>183</v>
      </c>
      <c r="C48" s="198" t="s">
        <v>582</v>
      </c>
      <c r="D48" s="111" t="s">
        <v>583</v>
      </c>
      <c r="E48" s="33">
        <f t="shared" si="5"/>
        <v>38708</v>
      </c>
      <c r="F48" s="104" t="str">
        <f t="shared" si="1"/>
        <v>2005-06</v>
      </c>
      <c r="H48" s="115"/>
      <c r="I48" s="26"/>
      <c r="J48" s="98">
        <f t="shared" si="2"/>
        <v>0.71056941388834605</v>
      </c>
      <c r="K48" s="36"/>
      <c r="L48" s="26">
        <v>9.0744469803999994</v>
      </c>
      <c r="M48" s="26" t="s">
        <v>206</v>
      </c>
      <c r="N48" s="26">
        <v>3592.3639024390236</v>
      </c>
      <c r="O48" s="93">
        <f t="shared" si="3"/>
        <v>32598.715766985755</v>
      </c>
      <c r="P48" s="95">
        <f t="shared" si="4"/>
        <v>23163.650356059854</v>
      </c>
      <c r="Q48" s="196">
        <v>1</v>
      </c>
    </row>
    <row r="49" spans="1:17" x14ac:dyDescent="0.25">
      <c r="A49" s="243">
        <v>38709</v>
      </c>
      <c r="B49" s="243" t="s">
        <v>183</v>
      </c>
      <c r="C49" s="198" t="s">
        <v>584</v>
      </c>
      <c r="D49" s="111" t="s">
        <v>585</v>
      </c>
      <c r="E49" s="33">
        <f t="shared" si="5"/>
        <v>38709</v>
      </c>
      <c r="F49" s="104" t="str">
        <f t="shared" si="1"/>
        <v>2005-06</v>
      </c>
      <c r="H49" s="115"/>
      <c r="I49" s="26"/>
      <c r="J49" s="98">
        <f t="shared" si="2"/>
        <v>0.71056941388834605</v>
      </c>
      <c r="K49" s="36"/>
      <c r="L49" s="26">
        <v>18.193969577899999</v>
      </c>
      <c r="M49" s="26" t="s">
        <v>206</v>
      </c>
      <c r="N49" s="26">
        <v>3875.3912195121943</v>
      </c>
      <c r="O49" s="93">
        <f t="shared" si="3"/>
        <v>70508.749950265643</v>
      </c>
      <c r="P49" s="95">
        <f t="shared" si="4"/>
        <v>50101.361126160205</v>
      </c>
      <c r="Q49" s="196">
        <v>1</v>
      </c>
    </row>
    <row r="50" spans="1:17" x14ac:dyDescent="0.25">
      <c r="A50" s="243">
        <v>38741</v>
      </c>
      <c r="B50" s="243" t="s">
        <v>183</v>
      </c>
      <c r="C50" s="198" t="s">
        <v>586</v>
      </c>
      <c r="D50" s="111" t="s">
        <v>587</v>
      </c>
      <c r="E50" s="33">
        <f t="shared" si="5"/>
        <v>38741</v>
      </c>
      <c r="F50" s="104" t="str">
        <f t="shared" si="1"/>
        <v>2005-06</v>
      </c>
      <c r="H50" s="115"/>
      <c r="I50" s="26"/>
      <c r="J50" s="98">
        <f t="shared" si="2"/>
        <v>0.71056941388834605</v>
      </c>
      <c r="K50" s="36"/>
      <c r="L50" s="26">
        <v>8.9987086295799994</v>
      </c>
      <c r="M50" s="26" t="s">
        <v>206</v>
      </c>
      <c r="N50" s="26">
        <v>3336.4019512195118</v>
      </c>
      <c r="O50" s="93">
        <f t="shared" si="3"/>
        <v>30023.30903018657</v>
      </c>
      <c r="P50" s="95">
        <f t="shared" si="4"/>
        <v>21333.645100568359</v>
      </c>
      <c r="Q50" s="196">
        <v>1</v>
      </c>
    </row>
    <row r="51" spans="1:17" x14ac:dyDescent="0.25">
      <c r="A51" s="243">
        <v>38744</v>
      </c>
      <c r="B51" s="243" t="s">
        <v>183</v>
      </c>
      <c r="C51" s="198" t="s">
        <v>588</v>
      </c>
      <c r="D51" s="111" t="s">
        <v>589</v>
      </c>
      <c r="E51" s="33">
        <f t="shared" si="5"/>
        <v>38744</v>
      </c>
      <c r="F51" s="104" t="str">
        <f t="shared" si="1"/>
        <v>2005-06</v>
      </c>
      <c r="H51" s="115"/>
      <c r="I51" s="26"/>
      <c r="J51" s="98">
        <f t="shared" si="2"/>
        <v>0.71056941388834605</v>
      </c>
      <c r="K51" s="36"/>
      <c r="L51" s="26">
        <v>3.4003342482800001</v>
      </c>
      <c r="M51" s="26" t="s">
        <v>206</v>
      </c>
      <c r="N51" s="26">
        <v>3875.3912195121943</v>
      </c>
      <c r="O51" s="93">
        <f t="shared" si="3"/>
        <v>13177.62548919091</v>
      </c>
      <c r="P51" s="95">
        <f t="shared" si="4"/>
        <v>9363.6176202945153</v>
      </c>
      <c r="Q51" s="196">
        <v>1</v>
      </c>
    </row>
    <row r="52" spans="1:17" x14ac:dyDescent="0.25">
      <c r="A52" s="243">
        <v>38757</v>
      </c>
      <c r="B52" s="243" t="s">
        <v>183</v>
      </c>
      <c r="C52" s="198" t="s">
        <v>590</v>
      </c>
      <c r="D52" s="111" t="s">
        <v>581</v>
      </c>
      <c r="E52" s="33">
        <f t="shared" si="5"/>
        <v>38757</v>
      </c>
      <c r="F52" s="104" t="str">
        <f t="shared" si="1"/>
        <v>2005-06</v>
      </c>
      <c r="H52" s="115"/>
      <c r="I52" s="26"/>
      <c r="J52" s="98">
        <f t="shared" si="2"/>
        <v>0.71056941388834605</v>
      </c>
      <c r="K52" s="36"/>
      <c r="L52" s="26">
        <v>7.3983930023099997</v>
      </c>
      <c r="M52" s="26" t="s">
        <v>206</v>
      </c>
      <c r="N52" s="26">
        <v>3336.4019512195118</v>
      </c>
      <c r="O52" s="93">
        <f t="shared" si="3"/>
        <v>24684.012848795865</v>
      </c>
      <c r="P52" s="95">
        <f t="shared" si="4"/>
        <v>17539.704542381281</v>
      </c>
      <c r="Q52" s="196">
        <v>1</v>
      </c>
    </row>
    <row r="53" spans="1:17" x14ac:dyDescent="0.25">
      <c r="A53" s="243">
        <v>38818</v>
      </c>
      <c r="B53" s="243" t="s">
        <v>183</v>
      </c>
      <c r="C53" s="198" t="s">
        <v>591</v>
      </c>
      <c r="D53" s="111" t="s">
        <v>592</v>
      </c>
      <c r="E53" s="33">
        <f t="shared" si="5"/>
        <v>38818</v>
      </c>
      <c r="F53" s="104" t="str">
        <f t="shared" si="1"/>
        <v>2005-06</v>
      </c>
      <c r="H53" s="115"/>
      <c r="I53" s="26"/>
      <c r="J53" s="98">
        <f t="shared" si="2"/>
        <v>0.71056941388834605</v>
      </c>
      <c r="K53" s="36"/>
      <c r="L53" s="26">
        <v>8.3567137679800005</v>
      </c>
      <c r="M53" s="26" t="s">
        <v>206</v>
      </c>
      <c r="N53" s="26">
        <v>3592.3639024390236</v>
      </c>
      <c r="O53" s="93">
        <f t="shared" si="3"/>
        <v>30020.356883106553</v>
      </c>
      <c r="P53" s="95">
        <f t="shared" si="4"/>
        <v>21331.547395147998</v>
      </c>
      <c r="Q53" s="196">
        <v>1</v>
      </c>
    </row>
    <row r="54" spans="1:17" x14ac:dyDescent="0.25">
      <c r="A54" s="243">
        <v>38834</v>
      </c>
      <c r="B54" s="243" t="s">
        <v>183</v>
      </c>
      <c r="C54" s="198" t="s">
        <v>593</v>
      </c>
      <c r="D54" s="111" t="s">
        <v>594</v>
      </c>
      <c r="E54" s="33">
        <f t="shared" si="5"/>
        <v>38834</v>
      </c>
      <c r="F54" s="104" t="str">
        <f t="shared" si="1"/>
        <v>2005-06</v>
      </c>
      <c r="H54" s="115"/>
      <c r="I54" s="26"/>
      <c r="J54" s="98">
        <f t="shared" si="2"/>
        <v>0.71056941388834605</v>
      </c>
      <c r="K54" s="36"/>
      <c r="L54" s="26">
        <v>36.699404641800001</v>
      </c>
      <c r="M54" s="26" t="s">
        <v>206</v>
      </c>
      <c r="N54" s="26">
        <v>812.22926829268283</v>
      </c>
      <c r="O54" s="93">
        <f t="shared" si="3"/>
        <v>29808.330578986304</v>
      </c>
      <c r="P54" s="95">
        <f t="shared" si="4"/>
        <v>21180.887988500363</v>
      </c>
      <c r="Q54" s="196">
        <v>1</v>
      </c>
    </row>
    <row r="55" spans="1:17" x14ac:dyDescent="0.25">
      <c r="A55" s="243">
        <v>38888</v>
      </c>
      <c r="B55" s="243" t="s">
        <v>183</v>
      </c>
      <c r="C55" s="198" t="s">
        <v>595</v>
      </c>
      <c r="D55" s="111" t="s">
        <v>596</v>
      </c>
      <c r="E55" s="33">
        <f t="shared" si="5"/>
        <v>38888</v>
      </c>
      <c r="F55" s="104" t="str">
        <f t="shared" si="1"/>
        <v>2005-06</v>
      </c>
      <c r="H55" s="115"/>
      <c r="I55" s="26"/>
      <c r="J55" s="98">
        <f t="shared" si="2"/>
        <v>0.71056941388834605</v>
      </c>
      <c r="K55" s="36"/>
      <c r="L55" s="26">
        <v>2.3512843393399998</v>
      </c>
      <c r="M55" s="26" t="s">
        <v>206</v>
      </c>
      <c r="N55" s="26">
        <v>1361.4565853658535</v>
      </c>
      <c r="O55" s="93">
        <f t="shared" si="3"/>
        <v>3201.1715478620426</v>
      </c>
      <c r="P55" s="95">
        <f t="shared" si="4"/>
        <v>2274.6545905203811</v>
      </c>
      <c r="Q55" s="196">
        <v>1</v>
      </c>
    </row>
    <row r="56" spans="1:17" x14ac:dyDescent="0.25">
      <c r="A56" s="243">
        <v>38888</v>
      </c>
      <c r="B56" s="243" t="s">
        <v>183</v>
      </c>
      <c r="C56" s="198" t="s">
        <v>595</v>
      </c>
      <c r="D56" s="111" t="s">
        <v>596</v>
      </c>
      <c r="E56" s="33">
        <f t="shared" si="5"/>
        <v>38888</v>
      </c>
      <c r="F56" s="104" t="str">
        <f t="shared" si="1"/>
        <v>2005-06</v>
      </c>
      <c r="H56" s="115"/>
      <c r="I56" s="26"/>
      <c r="J56" s="98">
        <f t="shared" si="2"/>
        <v>0.71056941388834605</v>
      </c>
      <c r="K56" s="36"/>
      <c r="L56" s="26">
        <v>2.01380288446</v>
      </c>
      <c r="M56" s="26" t="s">
        <v>206</v>
      </c>
      <c r="N56" s="26">
        <v>1361.4565853658535</v>
      </c>
      <c r="O56" s="93">
        <f t="shared" si="3"/>
        <v>2741.7051986768179</v>
      </c>
      <c r="P56" s="95">
        <f t="shared" si="4"/>
        <v>1948.1718560784179</v>
      </c>
      <c r="Q56" s="196">
        <v>1</v>
      </c>
    </row>
    <row r="57" spans="1:17" x14ac:dyDescent="0.25">
      <c r="A57" s="243">
        <v>38905</v>
      </c>
      <c r="B57" s="243" t="s">
        <v>183</v>
      </c>
      <c r="C57" s="198" t="s">
        <v>597</v>
      </c>
      <c r="D57" s="111" t="s">
        <v>598</v>
      </c>
      <c r="E57" s="33">
        <f t="shared" si="5"/>
        <v>38905</v>
      </c>
      <c r="F57" s="104" t="str">
        <f t="shared" si="1"/>
        <v>2006-07</v>
      </c>
      <c r="H57" s="115"/>
      <c r="I57" s="26"/>
      <c r="J57" s="98">
        <f t="shared" si="2"/>
        <v>0.71056941388834605</v>
      </c>
      <c r="K57" s="36"/>
      <c r="L57" s="26">
        <v>17.9664698359</v>
      </c>
      <c r="M57" s="26" t="s">
        <v>206</v>
      </c>
      <c r="N57" s="26">
        <v>3336.4019512195118</v>
      </c>
      <c r="O57" s="93">
        <f t="shared" si="3"/>
        <v>59943.365017023265</v>
      </c>
      <c r="P57" s="95">
        <f t="shared" si="4"/>
        <v>42593.921746641405</v>
      </c>
      <c r="Q57" s="196">
        <v>1</v>
      </c>
    </row>
    <row r="58" spans="1:17" x14ac:dyDescent="0.25">
      <c r="A58" s="243">
        <v>38909</v>
      </c>
      <c r="B58" s="243" t="s">
        <v>183</v>
      </c>
      <c r="C58" s="198" t="s">
        <v>599</v>
      </c>
      <c r="D58" s="111" t="s">
        <v>600</v>
      </c>
      <c r="E58" s="33">
        <f t="shared" si="5"/>
        <v>38909</v>
      </c>
      <c r="F58" s="104" t="str">
        <f t="shared" si="1"/>
        <v>2006-07</v>
      </c>
      <c r="H58" s="115"/>
      <c r="I58" s="26"/>
      <c r="J58" s="98">
        <f t="shared" si="2"/>
        <v>0.71056941388834605</v>
      </c>
      <c r="K58" s="36"/>
      <c r="L58" s="26">
        <v>19.198817760299999</v>
      </c>
      <c r="M58" s="26" t="s">
        <v>206</v>
      </c>
      <c r="N58" s="26">
        <v>3592.3639024390236</v>
      </c>
      <c r="O58" s="93">
        <f t="shared" si="3"/>
        <v>68969.139891606945</v>
      </c>
      <c r="P58" s="95">
        <f t="shared" si="4"/>
        <v>49007.361309162494</v>
      </c>
      <c r="Q58" s="196">
        <v>1</v>
      </c>
    </row>
    <row r="59" spans="1:17" x14ac:dyDescent="0.25">
      <c r="A59" s="243">
        <v>38933</v>
      </c>
      <c r="B59" s="243" t="s">
        <v>183</v>
      </c>
      <c r="C59" s="198" t="s">
        <v>601</v>
      </c>
      <c r="D59" s="111" t="s">
        <v>602</v>
      </c>
      <c r="E59" s="33">
        <f t="shared" si="5"/>
        <v>38933</v>
      </c>
      <c r="F59" s="104" t="str">
        <f t="shared" si="1"/>
        <v>2006-07</v>
      </c>
      <c r="H59" s="115"/>
      <c r="I59" s="26"/>
      <c r="J59" s="98">
        <f t="shared" si="2"/>
        <v>0.71056941388834605</v>
      </c>
      <c r="K59" s="36"/>
      <c r="L59" s="26">
        <v>8.0197127227100005</v>
      </c>
      <c r="M59" s="26" t="s">
        <v>206</v>
      </c>
      <c r="N59" s="26">
        <v>3875.3912195121943</v>
      </c>
      <c r="O59" s="93">
        <f t="shared" si="3"/>
        <v>31079.524268600569</v>
      </c>
      <c r="P59" s="95">
        <f t="shared" si="4"/>
        <v>22084.159343468134</v>
      </c>
      <c r="Q59" s="196">
        <v>1</v>
      </c>
    </row>
    <row r="60" spans="1:17" x14ac:dyDescent="0.25">
      <c r="A60" s="243">
        <v>38951</v>
      </c>
      <c r="B60" s="243" t="s">
        <v>183</v>
      </c>
      <c r="C60" s="198" t="s">
        <v>603</v>
      </c>
      <c r="D60" s="111" t="s">
        <v>585</v>
      </c>
      <c r="E60" s="33">
        <f t="shared" si="5"/>
        <v>38951</v>
      </c>
      <c r="F60" s="104" t="str">
        <f t="shared" si="1"/>
        <v>2006-07</v>
      </c>
      <c r="H60" s="115"/>
      <c r="I60" s="26"/>
      <c r="J60" s="98">
        <f t="shared" si="2"/>
        <v>0.71056941388834605</v>
      </c>
      <c r="K60" s="36"/>
      <c r="L60" s="26">
        <v>7.5059764586600002</v>
      </c>
      <c r="M60" s="26" t="s">
        <v>206</v>
      </c>
      <c r="N60" s="26">
        <v>3336.4019512195118</v>
      </c>
      <c r="O60" s="93">
        <f t="shared" si="3"/>
        <v>25042.954502480945</v>
      </c>
      <c r="P60" s="95">
        <f t="shared" si="4"/>
        <v>17794.757502860401</v>
      </c>
      <c r="Q60" s="196">
        <v>1</v>
      </c>
    </row>
    <row r="61" spans="1:17" x14ac:dyDescent="0.25">
      <c r="A61" s="243">
        <v>38952</v>
      </c>
      <c r="B61" s="243" t="s">
        <v>183</v>
      </c>
      <c r="C61" s="198" t="s">
        <v>604</v>
      </c>
      <c r="D61" s="111" t="s">
        <v>605</v>
      </c>
      <c r="E61" s="33">
        <f t="shared" si="5"/>
        <v>38952</v>
      </c>
      <c r="F61" s="104" t="str">
        <f t="shared" si="1"/>
        <v>2006-07</v>
      </c>
      <c r="H61" s="115"/>
      <c r="I61" s="26"/>
      <c r="J61" s="98">
        <f t="shared" si="2"/>
        <v>0.71056941388834605</v>
      </c>
      <c r="K61" s="36"/>
      <c r="L61" s="26">
        <v>22.5917684124</v>
      </c>
      <c r="M61" s="26" t="s">
        <v>206</v>
      </c>
      <c r="N61" s="26">
        <v>3336.4019512195118</v>
      </c>
      <c r="O61" s="93">
        <f t="shared" si="3"/>
        <v>75375.220212630695</v>
      </c>
      <c r="P61" s="95">
        <f t="shared" si="4"/>
        <v>53559.326048194009</v>
      </c>
      <c r="Q61" s="196">
        <v>1</v>
      </c>
    </row>
    <row r="62" spans="1:17" x14ac:dyDescent="0.25">
      <c r="A62" s="243">
        <v>38954</v>
      </c>
      <c r="B62" s="243" t="s">
        <v>183</v>
      </c>
      <c r="C62" s="198" t="s">
        <v>606</v>
      </c>
      <c r="D62" s="111" t="s">
        <v>607</v>
      </c>
      <c r="E62" s="33">
        <f t="shared" si="5"/>
        <v>38954</v>
      </c>
      <c r="F62" s="104" t="str">
        <f t="shared" si="1"/>
        <v>2006-07</v>
      </c>
      <c r="H62" s="115"/>
      <c r="I62" s="26"/>
      <c r="J62" s="98">
        <f t="shared" si="2"/>
        <v>0.71056941388834605</v>
      </c>
      <c r="K62" s="36"/>
      <c r="L62" s="26">
        <v>7.49890925402</v>
      </c>
      <c r="M62" s="26" t="s">
        <v>206</v>
      </c>
      <c r="N62" s="26">
        <v>3592.3639024390236</v>
      </c>
      <c r="O62" s="93">
        <f t="shared" si="3"/>
        <v>26938.810911807395</v>
      </c>
      <c r="P62" s="95">
        <f t="shared" si="4"/>
        <v>19141.895080451963</v>
      </c>
      <c r="Q62" s="196">
        <v>1</v>
      </c>
    </row>
    <row r="63" spans="1:17" x14ac:dyDescent="0.25">
      <c r="A63" s="243">
        <v>38958</v>
      </c>
      <c r="B63" s="243" t="s">
        <v>183</v>
      </c>
      <c r="C63" s="198" t="s">
        <v>608</v>
      </c>
      <c r="D63" s="111" t="s">
        <v>609</v>
      </c>
      <c r="E63" s="33">
        <f t="shared" si="5"/>
        <v>38958</v>
      </c>
      <c r="F63" s="104" t="str">
        <f t="shared" si="1"/>
        <v>2006-07</v>
      </c>
      <c r="H63" s="115"/>
      <c r="I63" s="26"/>
      <c r="J63" s="98">
        <f t="shared" si="2"/>
        <v>0.71056941388834605</v>
      </c>
      <c r="K63" s="36"/>
      <c r="L63" s="26">
        <v>6.4980700194000001</v>
      </c>
      <c r="M63" s="26" t="s">
        <v>206</v>
      </c>
      <c r="N63" s="26">
        <v>3592.3639024390236</v>
      </c>
      <c r="O63" s="93">
        <f t="shared" si="3"/>
        <v>23343.432173213805</v>
      </c>
      <c r="P63" s="95">
        <f t="shared" si="4"/>
        <v>16587.128917462895</v>
      </c>
      <c r="Q63" s="196">
        <v>1</v>
      </c>
    </row>
    <row r="64" spans="1:17" x14ac:dyDescent="0.25">
      <c r="A64" s="243">
        <v>38959</v>
      </c>
      <c r="B64" s="243" t="s">
        <v>183</v>
      </c>
      <c r="C64" s="198" t="s">
        <v>610</v>
      </c>
      <c r="D64" s="111" t="s">
        <v>568</v>
      </c>
      <c r="E64" s="33">
        <f t="shared" si="5"/>
        <v>38959</v>
      </c>
      <c r="F64" s="104" t="str">
        <f t="shared" si="1"/>
        <v>2006-07</v>
      </c>
      <c r="H64" s="115"/>
      <c r="I64" s="26"/>
      <c r="J64" s="98">
        <f t="shared" si="2"/>
        <v>0.71056941388834605</v>
      </c>
      <c r="K64" s="36"/>
      <c r="L64" s="26">
        <v>8.4988025627100008</v>
      </c>
      <c r="M64" s="26" t="s">
        <v>206</v>
      </c>
      <c r="N64" s="26">
        <v>3336.4019512195118</v>
      </c>
      <c r="O64" s="93">
        <f t="shared" si="3"/>
        <v>28355.421453255036</v>
      </c>
      <c r="P64" s="95">
        <f t="shared" si="4"/>
        <v>20148.495202596463</v>
      </c>
      <c r="Q64" s="196">
        <v>1</v>
      </c>
    </row>
    <row r="65" spans="1:17" x14ac:dyDescent="0.25">
      <c r="A65" s="243">
        <v>38959</v>
      </c>
      <c r="B65" s="243" t="s">
        <v>183</v>
      </c>
      <c r="C65" s="198" t="s">
        <v>611</v>
      </c>
      <c r="D65" s="111" t="s">
        <v>612</v>
      </c>
      <c r="E65" s="33">
        <f t="shared" si="5"/>
        <v>38959</v>
      </c>
      <c r="F65" s="104" t="str">
        <f t="shared" si="1"/>
        <v>2006-07</v>
      </c>
      <c r="H65" s="115"/>
      <c r="I65" s="26"/>
      <c r="J65" s="98">
        <f t="shared" si="2"/>
        <v>0.71056941388834605</v>
      </c>
      <c r="K65" s="36"/>
      <c r="L65" s="26">
        <v>9.5008785285999995</v>
      </c>
      <c r="M65" s="26" t="s">
        <v>206</v>
      </c>
      <c r="N65" s="26">
        <v>3592.3639024390236</v>
      </c>
      <c r="O65" s="93">
        <f t="shared" si="3"/>
        <v>34130.613067600621</v>
      </c>
      <c r="P65" s="95">
        <f t="shared" si="4"/>
        <v>24252.169723094899</v>
      </c>
      <c r="Q65" s="196">
        <v>1</v>
      </c>
    </row>
    <row r="66" spans="1:17" x14ac:dyDescent="0.25">
      <c r="A66" s="243">
        <v>38966</v>
      </c>
      <c r="B66" s="243" t="s">
        <v>183</v>
      </c>
      <c r="C66" s="198" t="s">
        <v>613</v>
      </c>
      <c r="D66" s="111" t="s">
        <v>614</v>
      </c>
      <c r="E66" s="33">
        <f t="shared" si="5"/>
        <v>38966</v>
      </c>
      <c r="F66" s="104" t="str">
        <f t="shared" si="1"/>
        <v>2006-07</v>
      </c>
      <c r="H66" s="115"/>
      <c r="I66" s="26"/>
      <c r="J66" s="98">
        <f t="shared" si="2"/>
        <v>0.71056941388834605</v>
      </c>
      <c r="K66" s="36"/>
      <c r="L66" s="26">
        <v>22.997396243899999</v>
      </c>
      <c r="M66" s="26" t="s">
        <v>206</v>
      </c>
      <c r="N66" s="26">
        <v>3592.3639024390236</v>
      </c>
      <c r="O66" s="93">
        <f t="shared" si="3"/>
        <v>82615.016116673141</v>
      </c>
      <c r="P66" s="95">
        <f t="shared" si="4"/>
        <v>58703.703580400696</v>
      </c>
      <c r="Q66" s="196">
        <v>1</v>
      </c>
    </row>
    <row r="67" spans="1:17" x14ac:dyDescent="0.25">
      <c r="A67" s="243">
        <v>38966</v>
      </c>
      <c r="B67" s="243" t="s">
        <v>183</v>
      </c>
      <c r="C67" s="198" t="s">
        <v>615</v>
      </c>
      <c r="D67" s="111" t="s">
        <v>616</v>
      </c>
      <c r="E67" s="33">
        <f t="shared" si="5"/>
        <v>38966</v>
      </c>
      <c r="F67" s="104" t="str">
        <f t="shared" si="1"/>
        <v>2006-07</v>
      </c>
      <c r="H67" s="115"/>
      <c r="I67" s="26"/>
      <c r="J67" s="98">
        <f t="shared" si="2"/>
        <v>0.71056941388834605</v>
      </c>
      <c r="K67" s="36"/>
      <c r="L67" s="26">
        <v>2.9998221614</v>
      </c>
      <c r="M67" s="26" t="s">
        <v>206</v>
      </c>
      <c r="N67" s="26">
        <v>3592.3639024390236</v>
      </c>
      <c r="O67" s="93">
        <f t="shared" si="3"/>
        <v>10776.45284634997</v>
      </c>
      <c r="P67" s="95">
        <f t="shared" si="4"/>
        <v>7657.4177828262964</v>
      </c>
      <c r="Q67" s="196">
        <v>1</v>
      </c>
    </row>
    <row r="68" spans="1:17" x14ac:dyDescent="0.25">
      <c r="A68" s="243">
        <v>39016</v>
      </c>
      <c r="B68" s="243" t="s">
        <v>183</v>
      </c>
      <c r="C68" s="198" t="s">
        <v>617</v>
      </c>
      <c r="D68" s="111" t="s">
        <v>618</v>
      </c>
      <c r="E68" s="33">
        <f t="shared" si="5"/>
        <v>39016</v>
      </c>
      <c r="F68" s="104" t="str">
        <f t="shared" si="1"/>
        <v>2006-07</v>
      </c>
      <c r="H68" s="115"/>
      <c r="I68" s="26"/>
      <c r="J68" s="98">
        <f t="shared" si="2"/>
        <v>0.71056941388834605</v>
      </c>
      <c r="K68" s="36"/>
      <c r="L68" s="26">
        <v>14.293739304400001</v>
      </c>
      <c r="M68" s="26" t="s">
        <v>206</v>
      </c>
      <c r="N68" s="26">
        <v>3336.4019512195118</v>
      </c>
      <c r="O68" s="93">
        <f t="shared" si="3"/>
        <v>47689.65970542319</v>
      </c>
      <c r="P68" s="95">
        <f t="shared" si="4"/>
        <v>33886.81354541723</v>
      </c>
      <c r="Q68" s="196">
        <v>1</v>
      </c>
    </row>
    <row r="69" spans="1:17" x14ac:dyDescent="0.25">
      <c r="A69" s="243">
        <v>39022</v>
      </c>
      <c r="B69" s="243" t="s">
        <v>183</v>
      </c>
      <c r="C69" s="198" t="s">
        <v>619</v>
      </c>
      <c r="D69" s="111" t="s">
        <v>576</v>
      </c>
      <c r="E69" s="33">
        <f t="shared" si="5"/>
        <v>39022</v>
      </c>
      <c r="F69" s="104" t="str">
        <f t="shared" si="1"/>
        <v>2006-07</v>
      </c>
      <c r="H69" s="115"/>
      <c r="I69" s="26"/>
      <c r="J69" s="98">
        <f t="shared" si="2"/>
        <v>0.71056941388834605</v>
      </c>
      <c r="K69" s="36"/>
      <c r="L69" s="26">
        <v>24.4990682052</v>
      </c>
      <c r="M69" s="26" t="s">
        <v>206</v>
      </c>
      <c r="N69" s="26">
        <v>3592.3639024390236</v>
      </c>
      <c r="O69" s="93">
        <f t="shared" si="3"/>
        <v>88009.56826375208</v>
      </c>
      <c r="P69" s="95">
        <f t="shared" si="4"/>
        <v>62536.907337740697</v>
      </c>
      <c r="Q69" s="196">
        <v>1</v>
      </c>
    </row>
    <row r="70" spans="1:17" x14ac:dyDescent="0.25">
      <c r="A70" s="243">
        <v>39028</v>
      </c>
      <c r="B70" s="243" t="s">
        <v>183</v>
      </c>
      <c r="C70" s="198" t="s">
        <v>620</v>
      </c>
      <c r="D70" s="111" t="s">
        <v>621</v>
      </c>
      <c r="E70" s="33">
        <f t="shared" si="5"/>
        <v>39028</v>
      </c>
      <c r="F70" s="104" t="str">
        <f t="shared" si="1"/>
        <v>2006-07</v>
      </c>
      <c r="H70" s="115"/>
      <c r="I70" s="26"/>
      <c r="J70" s="98">
        <f t="shared" si="2"/>
        <v>0.71056941388834605</v>
      </c>
      <c r="K70" s="36"/>
      <c r="L70" s="26">
        <v>8.99771081998</v>
      </c>
      <c r="M70" s="26" t="s">
        <v>206</v>
      </c>
      <c r="N70" s="26">
        <v>3336.4019512195118</v>
      </c>
      <c r="O70" s="93">
        <f t="shared" si="3"/>
        <v>30019.979936290187</v>
      </c>
      <c r="P70" s="95">
        <f t="shared" si="4"/>
        <v>21331.279548269627</v>
      </c>
      <c r="Q70" s="196">
        <v>1</v>
      </c>
    </row>
    <row r="71" spans="1:17" x14ac:dyDescent="0.25">
      <c r="A71" s="243">
        <v>39029</v>
      </c>
      <c r="B71" s="243" t="s">
        <v>183</v>
      </c>
      <c r="C71" s="198" t="s">
        <v>622</v>
      </c>
      <c r="D71" s="111" t="s">
        <v>623</v>
      </c>
      <c r="E71" s="33">
        <f t="shared" si="5"/>
        <v>39029</v>
      </c>
      <c r="F71" s="104" t="str">
        <f t="shared" si="1"/>
        <v>2006-07</v>
      </c>
      <c r="H71" s="115"/>
      <c r="I71" s="26"/>
      <c r="J71" s="98">
        <f t="shared" si="2"/>
        <v>0.71056941388834605</v>
      </c>
      <c r="K71" s="36"/>
      <c r="L71" s="26">
        <v>2.2286787565699999</v>
      </c>
      <c r="M71" s="26" t="s">
        <v>206</v>
      </c>
      <c r="N71" s="26">
        <v>3336.4019512195118</v>
      </c>
      <c r="O71" s="93">
        <f t="shared" si="3"/>
        <v>7435.7681520616234</v>
      </c>
      <c r="P71" s="95">
        <f t="shared" si="4"/>
        <v>5283.6294176200581</v>
      </c>
      <c r="Q71" s="196">
        <v>1</v>
      </c>
    </row>
    <row r="72" spans="1:17" x14ac:dyDescent="0.25">
      <c r="A72" s="243">
        <v>39036</v>
      </c>
      <c r="B72" s="243" t="s">
        <v>183</v>
      </c>
      <c r="C72" s="198" t="s">
        <v>624</v>
      </c>
      <c r="D72" s="111" t="s">
        <v>625</v>
      </c>
      <c r="E72" s="33">
        <f t="shared" si="5"/>
        <v>39036</v>
      </c>
      <c r="F72" s="104" t="str">
        <f t="shared" si="1"/>
        <v>2006-07</v>
      </c>
      <c r="H72" s="115"/>
      <c r="I72" s="26"/>
      <c r="J72" s="98">
        <f t="shared" si="2"/>
        <v>0.71056941388834605</v>
      </c>
      <c r="K72" s="36"/>
      <c r="L72" s="26">
        <v>69.408184891999994</v>
      </c>
      <c r="M72" s="26" t="s">
        <v>206</v>
      </c>
      <c r="N72" s="26">
        <v>3336.4019512195118</v>
      </c>
      <c r="O72" s="93">
        <f t="shared" si="3"/>
        <v>231573.60350427343</v>
      </c>
      <c r="P72" s="95">
        <f t="shared" si="4"/>
        <v>164549.1197140438</v>
      </c>
      <c r="Q72" s="196">
        <v>1</v>
      </c>
    </row>
    <row r="73" spans="1:17" x14ac:dyDescent="0.25">
      <c r="A73" s="243">
        <v>39036</v>
      </c>
      <c r="B73" s="243" t="s">
        <v>183</v>
      </c>
      <c r="C73" s="198" t="s">
        <v>624</v>
      </c>
      <c r="D73" s="111" t="s">
        <v>625</v>
      </c>
      <c r="E73" s="33">
        <f t="shared" si="5"/>
        <v>39036</v>
      </c>
      <c r="F73" s="104" t="str">
        <f t="shared" si="1"/>
        <v>2006-07</v>
      </c>
      <c r="H73" s="115"/>
      <c r="I73" s="26"/>
      <c r="J73" s="98">
        <f t="shared" si="2"/>
        <v>0.71056941388834605</v>
      </c>
      <c r="K73" s="36"/>
      <c r="L73" s="26">
        <v>7.0885587392599998</v>
      </c>
      <c r="M73" s="26" t="s">
        <v>206</v>
      </c>
      <c r="N73" s="26">
        <v>3336.4019512195118</v>
      </c>
      <c r="O73" s="93">
        <f t="shared" si="3"/>
        <v>23650.281209001187</v>
      </c>
      <c r="P73" s="95">
        <f t="shared" si="4"/>
        <v>16805.166456974537</v>
      </c>
      <c r="Q73" s="196">
        <v>1</v>
      </c>
    </row>
    <row r="74" spans="1:17" x14ac:dyDescent="0.25">
      <c r="A74" s="243">
        <v>39038</v>
      </c>
      <c r="B74" s="243" t="s">
        <v>183</v>
      </c>
      <c r="C74" s="198" t="s">
        <v>626</v>
      </c>
      <c r="D74" s="111" t="s">
        <v>627</v>
      </c>
      <c r="E74" s="33">
        <f t="shared" si="5"/>
        <v>39038</v>
      </c>
      <c r="F74" s="104" t="str">
        <f t="shared" si="1"/>
        <v>2006-07</v>
      </c>
      <c r="H74" s="115"/>
      <c r="I74" s="26"/>
      <c r="J74" s="98">
        <f t="shared" si="2"/>
        <v>0.71056941388834605</v>
      </c>
      <c r="K74" s="36"/>
      <c r="L74" s="26">
        <v>10.000406686</v>
      </c>
      <c r="M74" s="26" t="s">
        <v>206</v>
      </c>
      <c r="N74" s="26">
        <v>3592.3639024390236</v>
      </c>
      <c r="O74" s="93">
        <f t="shared" si="3"/>
        <v>35925.099988496266</v>
      </c>
      <c r="P74" s="95">
        <f t="shared" si="4"/>
        <v>25527.277242706019</v>
      </c>
      <c r="Q74" s="196">
        <v>1</v>
      </c>
    </row>
    <row r="75" spans="1:17" x14ac:dyDescent="0.25">
      <c r="A75" s="243">
        <v>39043</v>
      </c>
      <c r="B75" s="243" t="s">
        <v>183</v>
      </c>
      <c r="C75" s="198" t="s">
        <v>628</v>
      </c>
      <c r="D75" s="111" t="s">
        <v>629</v>
      </c>
      <c r="E75" s="33">
        <f t="shared" si="5"/>
        <v>39043</v>
      </c>
      <c r="F75" s="104" t="str">
        <f t="shared" si="1"/>
        <v>2006-07</v>
      </c>
      <c r="H75" s="115"/>
      <c r="I75" s="26"/>
      <c r="J75" s="98">
        <f t="shared" si="2"/>
        <v>0.71056941388834605</v>
      </c>
      <c r="K75" s="36"/>
      <c r="L75" s="26">
        <v>9.4535898552600006</v>
      </c>
      <c r="M75" s="26" t="s">
        <v>206</v>
      </c>
      <c r="N75" s="26">
        <v>3592.3639024390236</v>
      </c>
      <c r="O75" s="93">
        <f t="shared" si="3"/>
        <v>33960.734944499782</v>
      </c>
      <c r="P75" s="95">
        <f t="shared" si="4"/>
        <v>24131.459524730682</v>
      </c>
      <c r="Q75" s="196">
        <v>1</v>
      </c>
    </row>
    <row r="76" spans="1:17" x14ac:dyDescent="0.25">
      <c r="A76" s="243">
        <v>39048</v>
      </c>
      <c r="B76" s="243" t="s">
        <v>183</v>
      </c>
      <c r="C76" s="198" t="s">
        <v>630</v>
      </c>
      <c r="D76" s="111" t="s">
        <v>585</v>
      </c>
      <c r="E76" s="33">
        <f t="shared" si="5"/>
        <v>39048</v>
      </c>
      <c r="F76" s="104" t="str">
        <f t="shared" si="1"/>
        <v>2006-07</v>
      </c>
      <c r="H76" s="115"/>
      <c r="I76" s="26"/>
      <c r="J76" s="98">
        <f t="shared" si="2"/>
        <v>0.71056941388834605</v>
      </c>
      <c r="K76" s="36"/>
      <c r="L76" s="26">
        <v>11.496390655900001</v>
      </c>
      <c r="M76" s="26" t="s">
        <v>206</v>
      </c>
      <c r="N76" s="26">
        <v>3592.3639024390236</v>
      </c>
      <c r="O76" s="93">
        <f t="shared" si="3"/>
        <v>41299.218800592454</v>
      </c>
      <c r="P76" s="95">
        <f t="shared" si="4"/>
        <v>29345.961697183542</v>
      </c>
      <c r="Q76" s="196">
        <v>1</v>
      </c>
    </row>
    <row r="77" spans="1:17" x14ac:dyDescent="0.25">
      <c r="A77" s="243">
        <v>39051</v>
      </c>
      <c r="B77" s="243" t="s">
        <v>183</v>
      </c>
      <c r="C77" s="198" t="s">
        <v>631</v>
      </c>
      <c r="D77" s="111" t="s">
        <v>632</v>
      </c>
      <c r="E77" s="33">
        <f t="shared" si="5"/>
        <v>39051</v>
      </c>
      <c r="F77" s="104" t="str">
        <f t="shared" si="1"/>
        <v>2006-07</v>
      </c>
      <c r="H77" s="115"/>
      <c r="I77" s="26"/>
      <c r="J77" s="98">
        <f t="shared" si="2"/>
        <v>0.71056941388834605</v>
      </c>
      <c r="K77" s="36"/>
      <c r="L77" s="26">
        <v>10.997753679700001</v>
      </c>
      <c r="M77" s="26" t="s">
        <v>206</v>
      </c>
      <c r="N77" s="26">
        <v>3592.3639024390236</v>
      </c>
      <c r="O77" s="93">
        <f t="shared" si="3"/>
        <v>39507.933326870225</v>
      </c>
      <c r="P77" s="95">
        <f t="shared" si="4"/>
        <v>28073.129028014027</v>
      </c>
      <c r="Q77" s="196">
        <v>1</v>
      </c>
    </row>
    <row r="78" spans="1:17" x14ac:dyDescent="0.25">
      <c r="A78" s="243">
        <v>39059</v>
      </c>
      <c r="B78" s="243" t="s">
        <v>183</v>
      </c>
      <c r="C78" s="198" t="s">
        <v>633</v>
      </c>
      <c r="D78" s="111" t="s">
        <v>634</v>
      </c>
      <c r="E78" s="33">
        <f t="shared" si="5"/>
        <v>39059</v>
      </c>
      <c r="F78" s="104" t="str">
        <f t="shared" si="1"/>
        <v>2006-07</v>
      </c>
      <c r="H78" s="115"/>
      <c r="I78" s="26"/>
      <c r="J78" s="98">
        <f t="shared" si="2"/>
        <v>0.71056941388834605</v>
      </c>
      <c r="K78" s="36"/>
      <c r="L78" s="26">
        <v>0.69988070412000003</v>
      </c>
      <c r="M78" s="26" t="s">
        <v>206</v>
      </c>
      <c r="N78" s="26">
        <v>4839.6029268292677</v>
      </c>
      <c r="O78" s="93">
        <f t="shared" si="3"/>
        <v>3387.1447040904809</v>
      </c>
      <c r="P78" s="95">
        <f t="shared" si="4"/>
        <v>2406.8014271405882</v>
      </c>
      <c r="Q78" s="196">
        <v>1</v>
      </c>
    </row>
    <row r="79" spans="1:17" x14ac:dyDescent="0.25">
      <c r="A79" s="243">
        <v>39070</v>
      </c>
      <c r="B79" s="243" t="s">
        <v>183</v>
      </c>
      <c r="C79" s="198" t="s">
        <v>635</v>
      </c>
      <c r="D79" s="111" t="s">
        <v>636</v>
      </c>
      <c r="E79" s="33">
        <f t="shared" si="5"/>
        <v>39070</v>
      </c>
      <c r="F79" s="104" t="str">
        <f t="shared" si="1"/>
        <v>2006-07</v>
      </c>
      <c r="H79" s="115"/>
      <c r="I79" s="26"/>
      <c r="J79" s="98">
        <f t="shared" si="2"/>
        <v>0.71056941388834605</v>
      </c>
      <c r="K79" s="36"/>
      <c r="L79" s="26">
        <v>8.99837340857</v>
      </c>
      <c r="M79" s="26" t="s">
        <v>206</v>
      </c>
      <c r="N79" s="26">
        <v>3592.3639024390236</v>
      </c>
      <c r="O79" s="93">
        <f t="shared" si="3"/>
        <v>32325.431813614065</v>
      </c>
      <c r="P79" s="95">
        <f t="shared" si="4"/>
        <v>22969.463137487441</v>
      </c>
      <c r="Q79" s="196">
        <v>1</v>
      </c>
    </row>
    <row r="80" spans="1:17" x14ac:dyDescent="0.25">
      <c r="A80" s="243">
        <v>39175</v>
      </c>
      <c r="B80" s="243" t="s">
        <v>183</v>
      </c>
      <c r="C80" s="198" t="s">
        <v>637</v>
      </c>
      <c r="D80" s="111" t="s">
        <v>638</v>
      </c>
      <c r="E80" s="33">
        <f t="shared" si="5"/>
        <v>39175</v>
      </c>
      <c r="F80" s="104" t="str">
        <f t="shared" si="1"/>
        <v>2006-07</v>
      </c>
      <c r="H80" s="115"/>
      <c r="I80" s="26"/>
      <c r="J80" s="98">
        <f t="shared" si="2"/>
        <v>0.71056941388834605</v>
      </c>
      <c r="K80" s="36"/>
      <c r="L80" s="26">
        <v>5.9981667199200004</v>
      </c>
      <c r="M80" s="26" t="s">
        <v>206</v>
      </c>
      <c r="N80" s="26">
        <v>3336.4019512195118</v>
      </c>
      <c r="O80" s="93">
        <f t="shared" si="3"/>
        <v>20012.29514808103</v>
      </c>
      <c r="P80" s="95">
        <f t="shared" si="4"/>
        <v>14220.124833932528</v>
      </c>
      <c r="Q80" s="196">
        <v>1</v>
      </c>
    </row>
    <row r="81" spans="1:17" x14ac:dyDescent="0.25">
      <c r="A81" s="243">
        <v>39177</v>
      </c>
      <c r="B81" s="243" t="s">
        <v>183</v>
      </c>
      <c r="C81" s="198" t="s">
        <v>639</v>
      </c>
      <c r="D81" s="111" t="s">
        <v>640</v>
      </c>
      <c r="E81" s="33">
        <f t="shared" si="5"/>
        <v>39177</v>
      </c>
      <c r="F81" s="104" t="str">
        <f t="shared" si="1"/>
        <v>2006-07</v>
      </c>
      <c r="H81" s="115"/>
      <c r="I81" s="26"/>
      <c r="J81" s="98">
        <f t="shared" si="2"/>
        <v>0.71056941388834605</v>
      </c>
      <c r="K81" s="36"/>
      <c r="L81" s="26">
        <v>6.90002681026</v>
      </c>
      <c r="M81" s="26" t="s">
        <v>206</v>
      </c>
      <c r="N81" s="26">
        <v>3592.3639024390236</v>
      </c>
      <c r="O81" s="93">
        <f t="shared" si="3"/>
        <v>24787.407239039501</v>
      </c>
      <c r="P81" s="95">
        <f t="shared" si="4"/>
        <v>17613.173433656044</v>
      </c>
      <c r="Q81" s="196">
        <v>1</v>
      </c>
    </row>
    <row r="82" spans="1:17" x14ac:dyDescent="0.25">
      <c r="A82" s="243">
        <v>39177</v>
      </c>
      <c r="B82" s="243" t="s">
        <v>183</v>
      </c>
      <c r="C82" s="198" t="s">
        <v>639</v>
      </c>
      <c r="D82" s="111" t="s">
        <v>640</v>
      </c>
      <c r="E82" s="33">
        <f t="shared" si="5"/>
        <v>39177</v>
      </c>
      <c r="F82" s="104" t="str">
        <f t="shared" si="1"/>
        <v>2006-07</v>
      </c>
      <c r="H82" s="115"/>
      <c r="I82" s="26"/>
      <c r="J82" s="98">
        <f t="shared" si="2"/>
        <v>0.71056941388834605</v>
      </c>
      <c r="K82" s="36"/>
      <c r="L82" s="26">
        <v>4.8000204166199998</v>
      </c>
      <c r="M82" s="26" t="s">
        <v>206</v>
      </c>
      <c r="N82" s="26">
        <v>3592.3639024390236</v>
      </c>
      <c r="O82" s="93">
        <f t="shared" si="3"/>
        <v>17243.420075636011</v>
      </c>
      <c r="P82" s="95">
        <f t="shared" si="4"/>
        <v>12252.646896575221</v>
      </c>
      <c r="Q82" s="196">
        <v>1</v>
      </c>
    </row>
    <row r="83" spans="1:17" x14ac:dyDescent="0.25">
      <c r="A83" s="243">
        <v>39373</v>
      </c>
      <c r="B83" s="243" t="s">
        <v>183</v>
      </c>
      <c r="C83" s="198" t="s">
        <v>641</v>
      </c>
      <c r="D83" s="111" t="s">
        <v>576</v>
      </c>
      <c r="E83" s="33">
        <f t="shared" si="5"/>
        <v>39373</v>
      </c>
      <c r="F83" s="104" t="str">
        <f t="shared" si="1"/>
        <v>2007-08</v>
      </c>
      <c r="H83" s="115"/>
      <c r="I83" s="26"/>
      <c r="J83" s="98">
        <f t="shared" si="2"/>
        <v>0.71056941388834605</v>
      </c>
      <c r="K83" s="36"/>
      <c r="L83" s="26">
        <v>10.000267621400001</v>
      </c>
      <c r="M83" s="26" t="s">
        <v>206</v>
      </c>
      <c r="N83" s="26">
        <v>3592.3639024390236</v>
      </c>
      <c r="O83" s="93">
        <f t="shared" si="3"/>
        <v>35924.600417847119</v>
      </c>
      <c r="P83" s="95">
        <f t="shared" si="4"/>
        <v>25526.922263082659</v>
      </c>
      <c r="Q83" s="196">
        <v>1</v>
      </c>
    </row>
    <row r="84" spans="1:17" x14ac:dyDescent="0.25">
      <c r="A84" s="243">
        <v>39374</v>
      </c>
      <c r="B84" s="243" t="s">
        <v>183</v>
      </c>
      <c r="C84" s="198" t="s">
        <v>642</v>
      </c>
      <c r="D84" s="111" t="s">
        <v>609</v>
      </c>
      <c r="E84" s="33">
        <f t="shared" si="5"/>
        <v>39374</v>
      </c>
      <c r="F84" s="104" t="str">
        <f t="shared" si="1"/>
        <v>2007-08</v>
      </c>
      <c r="H84" s="115"/>
      <c r="I84" s="26"/>
      <c r="J84" s="98">
        <f t="shared" si="2"/>
        <v>0.71056941388834605</v>
      </c>
      <c r="K84" s="36"/>
      <c r="L84" s="26">
        <v>12.8656367507</v>
      </c>
      <c r="M84" s="26" t="s">
        <v>206</v>
      </c>
      <c r="N84" s="26">
        <v>3336.4019512195118</v>
      </c>
      <c r="O84" s="93">
        <f t="shared" si="3"/>
        <v>42924.935558716941</v>
      </c>
      <c r="P84" s="95">
        <f t="shared" si="4"/>
        <v>30501.146301152519</v>
      </c>
      <c r="Q84" s="196">
        <v>1</v>
      </c>
    </row>
    <row r="85" spans="1:17" x14ac:dyDescent="0.25">
      <c r="A85" s="243">
        <v>39381</v>
      </c>
      <c r="B85" s="243" t="s">
        <v>183</v>
      </c>
      <c r="C85" s="198" t="s">
        <v>643</v>
      </c>
      <c r="D85" s="111" t="s">
        <v>585</v>
      </c>
      <c r="E85" s="33">
        <f t="shared" si="5"/>
        <v>39381</v>
      </c>
      <c r="F85" s="104" t="str">
        <f t="shared" si="1"/>
        <v>2007-08</v>
      </c>
      <c r="H85" s="115"/>
      <c r="I85" s="26"/>
      <c r="J85" s="98">
        <f t="shared" si="2"/>
        <v>0.71056941388834605</v>
      </c>
      <c r="K85" s="36"/>
      <c r="L85" s="26">
        <v>12.158954132</v>
      </c>
      <c r="M85" s="26" t="s">
        <v>206</v>
      </c>
      <c r="N85" s="26">
        <v>3336.4019512195118</v>
      </c>
      <c r="O85" s="93">
        <f t="shared" si="3"/>
        <v>40567.158290793348</v>
      </c>
      <c r="P85" s="95">
        <f t="shared" si="4"/>
        <v>28825.781889804788</v>
      </c>
      <c r="Q85" s="196">
        <v>1</v>
      </c>
    </row>
    <row r="86" spans="1:17" x14ac:dyDescent="0.25">
      <c r="A86" s="243">
        <v>39408</v>
      </c>
      <c r="B86" s="243" t="s">
        <v>183</v>
      </c>
      <c r="C86" s="198" t="s">
        <v>644</v>
      </c>
      <c r="D86" s="111" t="s">
        <v>645</v>
      </c>
      <c r="E86" s="33">
        <f t="shared" si="5"/>
        <v>39408</v>
      </c>
      <c r="F86" s="104" t="str">
        <f t="shared" si="1"/>
        <v>2007-08</v>
      </c>
      <c r="H86" s="115"/>
      <c r="I86" s="26"/>
      <c r="J86" s="98">
        <f t="shared" si="2"/>
        <v>0.71056941388834605</v>
      </c>
      <c r="K86" s="36"/>
      <c r="L86" s="26">
        <v>15.0011907861</v>
      </c>
      <c r="M86" s="26" t="s">
        <v>206</v>
      </c>
      <c r="N86" s="26">
        <v>3336.4019512195118</v>
      </c>
      <c r="O86" s="93">
        <f t="shared" si="3"/>
        <v>50050.002209360202</v>
      </c>
      <c r="P86" s="95">
        <f t="shared" si="4"/>
        <v>35564.000735015507</v>
      </c>
      <c r="Q86" s="196">
        <v>1</v>
      </c>
    </row>
    <row r="87" spans="1:17" x14ac:dyDescent="0.25">
      <c r="A87" s="243">
        <v>39493</v>
      </c>
      <c r="B87" s="243" t="s">
        <v>183</v>
      </c>
      <c r="C87" s="198" t="s">
        <v>646</v>
      </c>
      <c r="D87" s="111" t="s">
        <v>647</v>
      </c>
      <c r="E87" s="33">
        <f t="shared" si="5"/>
        <v>39493</v>
      </c>
      <c r="F87" s="104" t="str">
        <f t="shared" si="1"/>
        <v>2007-08</v>
      </c>
      <c r="H87" s="115"/>
      <c r="I87" s="26"/>
      <c r="J87" s="98">
        <f t="shared" si="2"/>
        <v>0.71056941388834605</v>
      </c>
      <c r="K87" s="36"/>
      <c r="L87" s="26">
        <v>9.7644040948900006</v>
      </c>
      <c r="M87" s="26" t="s">
        <v>206</v>
      </c>
      <c r="N87" s="26">
        <v>1162.6195121951216</v>
      </c>
      <c r="O87" s="93">
        <f t="shared" si="3"/>
        <v>11352.286725677061</v>
      </c>
      <c r="P87" s="95">
        <f t="shared" si="4"/>
        <v>8066.5877249568002</v>
      </c>
      <c r="Q87" s="196">
        <v>1</v>
      </c>
    </row>
    <row r="88" spans="1:17" x14ac:dyDescent="0.25">
      <c r="A88" s="243">
        <v>39728</v>
      </c>
      <c r="B88" s="243" t="s">
        <v>183</v>
      </c>
      <c r="C88" s="198" t="s">
        <v>648</v>
      </c>
      <c r="D88" s="111" t="s">
        <v>583</v>
      </c>
      <c r="E88" s="33">
        <f t="shared" si="5"/>
        <v>39728</v>
      </c>
      <c r="F88" s="104" t="str">
        <f t="shared" ref="F88:F151" si="6">IF(E88="","-",IF(OR(E88&lt;$E$15,E88&gt;$E$16),"ERROR - date outside of range",IF(MONTH(E88)&gt;=7,YEAR(E88)&amp;"-"&amp;IF(YEAR(E88)=1999,"00",IF(AND(YEAR(E88)&gt;=2000,YEAR(E88)&lt;2009),"0","")&amp;RIGHT(YEAR(E88),2)+1),RIGHT(YEAR(E88),4)-1&amp;"-"&amp;RIGHT(YEAR(E88),2))))</f>
        <v>2008-09</v>
      </c>
      <c r="H88" s="115"/>
      <c r="I88" s="26"/>
      <c r="J88" s="98">
        <f t="shared" ref="J88:J151" si="7">J87</f>
        <v>0.71056941388834605</v>
      </c>
      <c r="K88" s="36"/>
      <c r="L88" s="26">
        <v>73.795008054099995</v>
      </c>
      <c r="M88" s="26" t="s">
        <v>206</v>
      </c>
      <c r="N88" s="26">
        <v>1162.6195121951216</v>
      </c>
      <c r="O88" s="93">
        <f t="shared" ref="O88:O151" si="8">IF(N88="","-",L88*N88)</f>
        <v>85795.516266292805</v>
      </c>
      <c r="P88" s="95">
        <f t="shared" ref="P88:P151" si="9">IF(O88="-","-",IF(OR(E88&lt;$E$15,E88&gt;$E$16),0,O88*J88))*Q88</f>
        <v>57864.476805764913</v>
      </c>
      <c r="Q88" s="196">
        <v>0.94916328172683662</v>
      </c>
    </row>
    <row r="89" spans="1:17" x14ac:dyDescent="0.25">
      <c r="A89" s="243">
        <v>39728</v>
      </c>
      <c r="B89" s="243" t="s">
        <v>183</v>
      </c>
      <c r="C89" s="198" t="s">
        <v>648</v>
      </c>
      <c r="D89" s="111" t="s">
        <v>649</v>
      </c>
      <c r="E89" s="33">
        <f t="shared" si="5"/>
        <v>39728</v>
      </c>
      <c r="F89" s="104" t="str">
        <f t="shared" si="6"/>
        <v>2008-09</v>
      </c>
      <c r="H89" s="115"/>
      <c r="I89" s="26"/>
      <c r="J89" s="98">
        <f t="shared" si="7"/>
        <v>0.71056941388834605</v>
      </c>
      <c r="K89" s="36"/>
      <c r="L89" s="26">
        <v>63.694989464400003</v>
      </c>
      <c r="M89" s="26" t="s">
        <v>206</v>
      </c>
      <c r="N89" s="26">
        <v>1361.4565853658535</v>
      </c>
      <c r="O89" s="93">
        <f t="shared" si="8"/>
        <v>86717.962861116044</v>
      </c>
      <c r="P89" s="95">
        <f t="shared" si="9"/>
        <v>58486.617587866327</v>
      </c>
      <c r="Q89" s="196">
        <v>0.94916328172683662</v>
      </c>
    </row>
    <row r="90" spans="1:17" x14ac:dyDescent="0.25">
      <c r="A90" s="243">
        <v>39728</v>
      </c>
      <c r="B90" s="243" t="s">
        <v>183</v>
      </c>
      <c r="C90" s="198" t="s">
        <v>648</v>
      </c>
      <c r="D90" s="111" t="s">
        <v>649</v>
      </c>
      <c r="E90" s="33">
        <f t="shared" si="5"/>
        <v>39728</v>
      </c>
      <c r="F90" s="104" t="str">
        <f t="shared" si="6"/>
        <v>2008-09</v>
      </c>
      <c r="H90" s="115"/>
      <c r="I90" s="26"/>
      <c r="J90" s="98">
        <f t="shared" si="7"/>
        <v>0.71056941388834605</v>
      </c>
      <c r="K90" s="36"/>
      <c r="L90" s="26">
        <v>26.687386084100002</v>
      </c>
      <c r="M90" s="26" t="s">
        <v>206</v>
      </c>
      <c r="N90" s="26">
        <v>1361.4565853658535</v>
      </c>
      <c r="O90" s="93">
        <f t="shared" si="8"/>
        <v>36333.717530398986</v>
      </c>
      <c r="P90" s="95">
        <f t="shared" si="9"/>
        <v>24505.144870035427</v>
      </c>
      <c r="Q90" s="196">
        <v>0.94916328172683662</v>
      </c>
    </row>
    <row r="91" spans="1:17" x14ac:dyDescent="0.25">
      <c r="A91" s="243">
        <v>39728</v>
      </c>
      <c r="B91" s="243" t="s">
        <v>183</v>
      </c>
      <c r="C91" s="198" t="s">
        <v>648</v>
      </c>
      <c r="D91" s="111" t="s">
        <v>583</v>
      </c>
      <c r="E91" s="33">
        <f t="shared" si="5"/>
        <v>39728</v>
      </c>
      <c r="F91" s="104" t="str">
        <f t="shared" si="6"/>
        <v>2008-09</v>
      </c>
      <c r="H91" s="115"/>
      <c r="I91" s="26"/>
      <c r="J91" s="98">
        <f t="shared" si="7"/>
        <v>0.71056941388834605</v>
      </c>
      <c r="K91" s="36"/>
      <c r="L91" s="26">
        <v>3.2864243487399998</v>
      </c>
      <c r="M91" s="26" t="s">
        <v>206</v>
      </c>
      <c r="N91" s="26">
        <v>950.87219512195099</v>
      </c>
      <c r="O91" s="93">
        <f t="shared" si="8"/>
        <v>3124.9695345886316</v>
      </c>
      <c r="P91" s="95">
        <f t="shared" si="9"/>
        <v>2107.6244426536305</v>
      </c>
      <c r="Q91" s="196">
        <v>0.94916328172683662</v>
      </c>
    </row>
    <row r="92" spans="1:17" x14ac:dyDescent="0.25">
      <c r="A92" s="243">
        <v>39728</v>
      </c>
      <c r="B92" s="243" t="s">
        <v>183</v>
      </c>
      <c r="C92" s="198" t="s">
        <v>648</v>
      </c>
      <c r="D92" s="111" t="s">
        <v>583</v>
      </c>
      <c r="E92" s="33">
        <f t="shared" si="5"/>
        <v>39728</v>
      </c>
      <c r="F92" s="104" t="str">
        <f t="shared" si="6"/>
        <v>2008-09</v>
      </c>
      <c r="H92" s="115"/>
      <c r="I92" s="26"/>
      <c r="J92" s="98">
        <f t="shared" si="7"/>
        <v>0.71056941388834605</v>
      </c>
      <c r="K92" s="36"/>
      <c r="L92" s="26">
        <v>70.131603784299998</v>
      </c>
      <c r="M92" s="26" t="s">
        <v>206</v>
      </c>
      <c r="N92" s="26">
        <v>1162.6195121951216</v>
      </c>
      <c r="O92" s="93">
        <f t="shared" si="8"/>
        <v>81536.370981164408</v>
      </c>
      <c r="P92" s="95">
        <f t="shared" si="9"/>
        <v>54991.911614843382</v>
      </c>
      <c r="Q92" s="196">
        <v>0.94916328172683662</v>
      </c>
    </row>
    <row r="93" spans="1:17" x14ac:dyDescent="0.25">
      <c r="A93" s="243">
        <v>39728</v>
      </c>
      <c r="B93" s="243" t="s">
        <v>183</v>
      </c>
      <c r="C93" s="198" t="s">
        <v>648</v>
      </c>
      <c r="D93" s="111" t="s">
        <v>583</v>
      </c>
      <c r="E93" s="33">
        <f t="shared" si="5"/>
        <v>39728</v>
      </c>
      <c r="F93" s="104" t="str">
        <f t="shared" si="6"/>
        <v>2008-09</v>
      </c>
      <c r="H93" s="115"/>
      <c r="I93" s="26"/>
      <c r="J93" s="98">
        <f t="shared" si="7"/>
        <v>0.71056941388834605</v>
      </c>
      <c r="K93" s="36"/>
      <c r="L93" s="26">
        <v>0.369329121516</v>
      </c>
      <c r="M93" s="26" t="s">
        <v>206</v>
      </c>
      <c r="N93" s="26">
        <v>1162.6195121951216</v>
      </c>
      <c r="O93" s="93">
        <f t="shared" si="8"/>
        <v>429.38924309638475</v>
      </c>
      <c r="P93" s="95">
        <f t="shared" si="9"/>
        <v>289.60002782286784</v>
      </c>
      <c r="Q93" s="196">
        <v>0.94916328172683662</v>
      </c>
    </row>
    <row r="94" spans="1:17" x14ac:dyDescent="0.25">
      <c r="A94" s="243">
        <v>39728</v>
      </c>
      <c r="B94" s="243" t="s">
        <v>183</v>
      </c>
      <c r="C94" s="198" t="s">
        <v>648</v>
      </c>
      <c r="D94" s="111" t="s">
        <v>583</v>
      </c>
      <c r="E94" s="33">
        <f t="shared" si="5"/>
        <v>39728</v>
      </c>
      <c r="F94" s="104" t="str">
        <f t="shared" si="6"/>
        <v>2008-09</v>
      </c>
      <c r="H94" s="115"/>
      <c r="I94" s="26"/>
      <c r="J94" s="98">
        <f t="shared" si="7"/>
        <v>0.71056941388834605</v>
      </c>
      <c r="K94" s="36"/>
      <c r="L94" s="26">
        <v>51.580009975199999</v>
      </c>
      <c r="M94" s="26" t="s">
        <v>206</v>
      </c>
      <c r="N94" s="26">
        <v>1162.6195121951216</v>
      </c>
      <c r="O94" s="93">
        <f t="shared" si="8"/>
        <v>59967.926036386532</v>
      </c>
      <c r="P94" s="95">
        <f t="shared" si="9"/>
        <v>40445.151637669056</v>
      </c>
      <c r="Q94" s="196">
        <v>0.94916328172683662</v>
      </c>
    </row>
    <row r="95" spans="1:17" x14ac:dyDescent="0.25">
      <c r="A95" s="243">
        <v>39728</v>
      </c>
      <c r="B95" s="243" t="s">
        <v>183</v>
      </c>
      <c r="C95" s="198" t="s">
        <v>648</v>
      </c>
      <c r="D95" s="111" t="s">
        <v>583</v>
      </c>
      <c r="E95" s="33">
        <f t="shared" si="5"/>
        <v>39728</v>
      </c>
      <c r="F95" s="104" t="str">
        <f t="shared" si="6"/>
        <v>2008-09</v>
      </c>
      <c r="H95" s="115"/>
      <c r="I95" s="26"/>
      <c r="J95" s="98">
        <f t="shared" si="7"/>
        <v>0.71056941388834605</v>
      </c>
      <c r="K95" s="36"/>
      <c r="L95" s="26">
        <v>51.580009975199999</v>
      </c>
      <c r="M95" s="26" t="s">
        <v>206</v>
      </c>
      <c r="N95" s="26">
        <v>1162.6195121951216</v>
      </c>
      <c r="O95" s="93">
        <f t="shared" si="8"/>
        <v>59967.926036386532</v>
      </c>
      <c r="P95" s="95">
        <f t="shared" si="9"/>
        <v>40445.151637669056</v>
      </c>
      <c r="Q95" s="196">
        <v>0.94916328172683662</v>
      </c>
    </row>
    <row r="96" spans="1:17" x14ac:dyDescent="0.25">
      <c r="A96" s="243">
        <v>39728</v>
      </c>
      <c r="B96" s="243" t="s">
        <v>183</v>
      </c>
      <c r="C96" s="198" t="s">
        <v>648</v>
      </c>
      <c r="D96" s="111" t="s">
        <v>583</v>
      </c>
      <c r="E96" s="33">
        <f t="shared" si="5"/>
        <v>39728</v>
      </c>
      <c r="F96" s="104" t="str">
        <f t="shared" si="6"/>
        <v>2008-09</v>
      </c>
      <c r="H96" s="115"/>
      <c r="I96" s="26"/>
      <c r="J96" s="98">
        <f t="shared" si="7"/>
        <v>0.71056941388834605</v>
      </c>
      <c r="K96" s="36"/>
      <c r="L96" s="26">
        <v>51.717214040400002</v>
      </c>
      <c r="M96" s="26" t="s">
        <v>206</v>
      </c>
      <c r="N96" s="26">
        <v>1162.6195121951216</v>
      </c>
      <c r="O96" s="93">
        <f t="shared" si="8"/>
        <v>60127.442159740545</v>
      </c>
      <c r="P96" s="95">
        <f t="shared" si="9"/>
        <v>40552.736712293634</v>
      </c>
      <c r="Q96" s="196">
        <v>0.94916328172683662</v>
      </c>
    </row>
    <row r="97" spans="1:17" x14ac:dyDescent="0.25">
      <c r="A97" s="243">
        <v>39728</v>
      </c>
      <c r="B97" s="243" t="s">
        <v>183</v>
      </c>
      <c r="C97" s="198" t="s">
        <v>648</v>
      </c>
      <c r="D97" s="111" t="s">
        <v>583</v>
      </c>
      <c r="E97" s="33">
        <f t="shared" si="5"/>
        <v>39728</v>
      </c>
      <c r="F97" s="104" t="str">
        <f t="shared" si="6"/>
        <v>2008-09</v>
      </c>
      <c r="H97" s="115"/>
      <c r="I97" s="26"/>
      <c r="J97" s="98">
        <f t="shared" si="7"/>
        <v>0.71056941388834605</v>
      </c>
      <c r="K97" s="36"/>
      <c r="L97" s="26">
        <v>51.717214040400002</v>
      </c>
      <c r="M97" s="26" t="s">
        <v>206</v>
      </c>
      <c r="N97" s="26">
        <v>1162.6195121951216</v>
      </c>
      <c r="O97" s="93">
        <f t="shared" si="8"/>
        <v>60127.442159740545</v>
      </c>
      <c r="P97" s="95">
        <f t="shared" si="9"/>
        <v>40552.736712293634</v>
      </c>
      <c r="Q97" s="196">
        <v>0.94916328172683662</v>
      </c>
    </row>
    <row r="98" spans="1:17" x14ac:dyDescent="0.25">
      <c r="A98" s="243">
        <v>39728</v>
      </c>
      <c r="B98" s="243" t="s">
        <v>183</v>
      </c>
      <c r="C98" s="198" t="s">
        <v>648</v>
      </c>
      <c r="D98" s="111" t="s">
        <v>583</v>
      </c>
      <c r="E98" s="33">
        <f t="shared" si="5"/>
        <v>39728</v>
      </c>
      <c r="F98" s="104" t="str">
        <f t="shared" si="6"/>
        <v>2008-09</v>
      </c>
      <c r="H98" s="115"/>
      <c r="I98" s="26"/>
      <c r="J98" s="98">
        <f t="shared" si="7"/>
        <v>0.71056941388834605</v>
      </c>
      <c r="K98" s="36"/>
      <c r="L98" s="26">
        <v>28.0533622548</v>
      </c>
      <c r="M98" s="26" t="s">
        <v>206</v>
      </c>
      <c r="N98" s="26">
        <v>1162.6195121951216</v>
      </c>
      <c r="O98" s="93">
        <f t="shared" si="8"/>
        <v>32615.386340108613</v>
      </c>
      <c r="P98" s="95">
        <f t="shared" si="9"/>
        <v>21997.329796705762</v>
      </c>
      <c r="Q98" s="196">
        <v>0.94916328172683662</v>
      </c>
    </row>
    <row r="99" spans="1:17" x14ac:dyDescent="0.25">
      <c r="A99" s="243">
        <v>39728</v>
      </c>
      <c r="B99" s="243" t="s">
        <v>183</v>
      </c>
      <c r="C99" s="198" t="s">
        <v>648</v>
      </c>
      <c r="D99" s="111" t="s">
        <v>583</v>
      </c>
      <c r="E99" s="33">
        <f t="shared" si="5"/>
        <v>39728</v>
      </c>
      <c r="F99" s="104" t="str">
        <f t="shared" si="6"/>
        <v>2008-09</v>
      </c>
      <c r="H99" s="115"/>
      <c r="I99" s="26"/>
      <c r="J99" s="98">
        <f t="shared" si="7"/>
        <v>0.71056941388834605</v>
      </c>
      <c r="K99" s="36"/>
      <c r="L99" s="26">
        <v>28.0533622548</v>
      </c>
      <c r="M99" s="26" t="s">
        <v>206</v>
      </c>
      <c r="N99" s="26">
        <v>1162.6195121951216</v>
      </c>
      <c r="O99" s="93">
        <f t="shared" si="8"/>
        <v>32615.386340108613</v>
      </c>
      <c r="P99" s="95">
        <f t="shared" si="9"/>
        <v>21997.329796705762</v>
      </c>
      <c r="Q99" s="196">
        <v>0.94916328172683662</v>
      </c>
    </row>
    <row r="100" spans="1:17" x14ac:dyDescent="0.25">
      <c r="A100" s="243">
        <v>39728</v>
      </c>
      <c r="B100" s="243" t="s">
        <v>183</v>
      </c>
      <c r="C100" s="198" t="s">
        <v>648</v>
      </c>
      <c r="D100" s="111" t="s">
        <v>583</v>
      </c>
      <c r="E100" s="33">
        <f t="shared" si="5"/>
        <v>39728</v>
      </c>
      <c r="F100" s="104" t="str">
        <f t="shared" si="6"/>
        <v>2008-09</v>
      </c>
      <c r="H100" s="115"/>
      <c r="I100" s="26"/>
      <c r="J100" s="98">
        <f t="shared" si="7"/>
        <v>0.71056941388834605</v>
      </c>
      <c r="K100" s="36"/>
      <c r="L100" s="26">
        <v>12.8882570051</v>
      </c>
      <c r="M100" s="26" t="s">
        <v>206</v>
      </c>
      <c r="N100" s="26">
        <v>3592.3639024390236</v>
      </c>
      <c r="O100" s="93">
        <f t="shared" si="8"/>
        <v>46299.309230478117</v>
      </c>
      <c r="P100" s="95">
        <f t="shared" si="9"/>
        <v>31226.402283944215</v>
      </c>
      <c r="Q100" s="196">
        <v>0.94916328172683662</v>
      </c>
    </row>
    <row r="101" spans="1:17" x14ac:dyDescent="0.25">
      <c r="A101" s="243">
        <v>39728</v>
      </c>
      <c r="B101" s="243" t="s">
        <v>183</v>
      </c>
      <c r="C101" s="198" t="s">
        <v>648</v>
      </c>
      <c r="D101" s="111" t="s">
        <v>583</v>
      </c>
      <c r="E101" s="33">
        <f t="shared" si="5"/>
        <v>39728</v>
      </c>
      <c r="F101" s="104" t="str">
        <f t="shared" si="6"/>
        <v>2008-09</v>
      </c>
      <c r="H101" s="115"/>
      <c r="I101" s="26"/>
      <c r="J101" s="98">
        <f t="shared" si="7"/>
        <v>0.71056941388834605</v>
      </c>
      <c r="K101" s="36"/>
      <c r="L101" s="26">
        <v>74.939915841599998</v>
      </c>
      <c r="M101" s="26" t="s">
        <v>206</v>
      </c>
      <c r="N101" s="26">
        <v>1162.6195121951216</v>
      </c>
      <c r="O101" s="93">
        <f t="shared" si="8"/>
        <v>87126.608399704462</v>
      </c>
      <c r="P101" s="95">
        <f t="shared" si="9"/>
        <v>58762.227098927906</v>
      </c>
      <c r="Q101" s="196">
        <v>0.94916328172683662</v>
      </c>
    </row>
    <row r="102" spans="1:17" x14ac:dyDescent="0.25">
      <c r="A102" s="243">
        <v>39728</v>
      </c>
      <c r="B102" s="243" t="s">
        <v>183</v>
      </c>
      <c r="C102" s="198" t="s">
        <v>648</v>
      </c>
      <c r="D102" s="111" t="s">
        <v>583</v>
      </c>
      <c r="E102" s="33">
        <f t="shared" si="5"/>
        <v>39728</v>
      </c>
      <c r="F102" s="104" t="str">
        <f t="shared" si="6"/>
        <v>2008-09</v>
      </c>
      <c r="H102" s="115"/>
      <c r="I102" s="26"/>
      <c r="J102" s="98">
        <f t="shared" si="7"/>
        <v>0.71056941388834605</v>
      </c>
      <c r="K102" s="36"/>
      <c r="L102" s="26">
        <v>74.939915841599998</v>
      </c>
      <c r="M102" s="26" t="s">
        <v>206</v>
      </c>
      <c r="N102" s="26">
        <v>1162.6195121951216</v>
      </c>
      <c r="O102" s="93">
        <f t="shared" si="8"/>
        <v>87126.608399704462</v>
      </c>
      <c r="P102" s="95">
        <f t="shared" si="9"/>
        <v>58762.227098927906</v>
      </c>
      <c r="Q102" s="196">
        <v>0.94916328172683662</v>
      </c>
    </row>
    <row r="103" spans="1:17" x14ac:dyDescent="0.25">
      <c r="A103" s="243">
        <v>39728</v>
      </c>
      <c r="B103" s="243" t="s">
        <v>183</v>
      </c>
      <c r="C103" s="198" t="s">
        <v>648</v>
      </c>
      <c r="D103" s="111" t="s">
        <v>583</v>
      </c>
      <c r="E103" s="33">
        <f t="shared" ref="E103:E166" si="10">A103</f>
        <v>39728</v>
      </c>
      <c r="F103" s="104" t="str">
        <f t="shared" si="6"/>
        <v>2008-09</v>
      </c>
      <c r="H103" s="115"/>
      <c r="I103" s="26"/>
      <c r="J103" s="98">
        <f t="shared" si="7"/>
        <v>0.71056941388834605</v>
      </c>
      <c r="K103" s="36"/>
      <c r="L103" s="26">
        <v>4.3800960035100003</v>
      </c>
      <c r="M103" s="26" t="s">
        <v>206</v>
      </c>
      <c r="N103" s="26">
        <v>1162.6195121951216</v>
      </c>
      <c r="O103" s="93">
        <f t="shared" si="8"/>
        <v>5092.3850789685985</v>
      </c>
      <c r="P103" s="95">
        <f t="shared" si="9"/>
        <v>3434.5407675315842</v>
      </c>
      <c r="Q103" s="196">
        <v>0.94916328172683662</v>
      </c>
    </row>
    <row r="104" spans="1:17" x14ac:dyDescent="0.25">
      <c r="A104" s="243">
        <v>39728</v>
      </c>
      <c r="B104" s="243" t="s">
        <v>183</v>
      </c>
      <c r="C104" s="198" t="s">
        <v>648</v>
      </c>
      <c r="D104" s="111" t="s">
        <v>583</v>
      </c>
      <c r="E104" s="33">
        <f t="shared" si="10"/>
        <v>39728</v>
      </c>
      <c r="F104" s="104" t="str">
        <f t="shared" si="6"/>
        <v>2008-09</v>
      </c>
      <c r="H104" s="115"/>
      <c r="I104" s="26"/>
      <c r="J104" s="98">
        <f t="shared" si="7"/>
        <v>0.71056941388834605</v>
      </c>
      <c r="K104" s="36"/>
      <c r="L104" s="26">
        <v>4.3800960035100003</v>
      </c>
      <c r="M104" s="26" t="s">
        <v>206</v>
      </c>
      <c r="N104" s="26">
        <v>1162.6195121951216</v>
      </c>
      <c r="O104" s="93">
        <f t="shared" si="8"/>
        <v>5092.3850789685985</v>
      </c>
      <c r="P104" s="95">
        <f t="shared" si="9"/>
        <v>3434.5407675315842</v>
      </c>
      <c r="Q104" s="196">
        <v>0.94916328172683662</v>
      </c>
    </row>
    <row r="105" spans="1:17" x14ac:dyDescent="0.25">
      <c r="A105" s="243">
        <v>39728</v>
      </c>
      <c r="B105" s="243" t="s">
        <v>183</v>
      </c>
      <c r="C105" s="198" t="s">
        <v>648</v>
      </c>
      <c r="D105" s="111" t="s">
        <v>583</v>
      </c>
      <c r="E105" s="33">
        <f t="shared" si="10"/>
        <v>39728</v>
      </c>
      <c r="F105" s="104" t="str">
        <f t="shared" si="6"/>
        <v>2008-09</v>
      </c>
      <c r="H105" s="115"/>
      <c r="I105" s="26"/>
      <c r="J105" s="98">
        <f t="shared" si="7"/>
        <v>0.71056941388834605</v>
      </c>
      <c r="K105" s="36"/>
      <c r="L105" s="26">
        <v>14.9248640867</v>
      </c>
      <c r="M105" s="26" t="s">
        <v>206</v>
      </c>
      <c r="N105" s="26">
        <v>3592.3639024390236</v>
      </c>
      <c r="O105" s="93">
        <f t="shared" si="8"/>
        <v>53615.542993869647</v>
      </c>
      <c r="P105" s="95">
        <f t="shared" si="9"/>
        <v>36160.809783670957</v>
      </c>
      <c r="Q105" s="196">
        <v>0.94916328172683662</v>
      </c>
    </row>
    <row r="106" spans="1:17" x14ac:dyDescent="0.25">
      <c r="A106" s="243">
        <v>39912</v>
      </c>
      <c r="B106" s="243" t="s">
        <v>183</v>
      </c>
      <c r="C106" s="198" t="s">
        <v>650</v>
      </c>
      <c r="D106" s="111" t="s">
        <v>568</v>
      </c>
      <c r="E106" s="33">
        <f t="shared" si="10"/>
        <v>39912</v>
      </c>
      <c r="F106" s="104" t="str">
        <f t="shared" si="6"/>
        <v>2008-09</v>
      </c>
      <c r="H106" s="115"/>
      <c r="I106" s="26"/>
      <c r="J106" s="98">
        <f t="shared" si="7"/>
        <v>0.71056941388834605</v>
      </c>
      <c r="K106" s="36"/>
      <c r="L106" s="26">
        <v>157.774352757</v>
      </c>
      <c r="M106" s="26" t="s">
        <v>206</v>
      </c>
      <c r="N106" s="26">
        <v>3336.4019512195118</v>
      </c>
      <c r="O106" s="93">
        <f t="shared" si="8"/>
        <v>526398.65839085041</v>
      </c>
      <c r="P106" s="95">
        <f t="shared" si="9"/>
        <v>374042.78616439825</v>
      </c>
      <c r="Q106" s="196">
        <v>1</v>
      </c>
    </row>
    <row r="107" spans="1:17" x14ac:dyDescent="0.25">
      <c r="A107" s="243">
        <v>39912</v>
      </c>
      <c r="B107" s="243" t="s">
        <v>183</v>
      </c>
      <c r="C107" s="198" t="s">
        <v>650</v>
      </c>
      <c r="D107" s="111" t="s">
        <v>568</v>
      </c>
      <c r="E107" s="33">
        <f t="shared" si="10"/>
        <v>39912</v>
      </c>
      <c r="F107" s="104" t="str">
        <f t="shared" si="6"/>
        <v>2008-09</v>
      </c>
      <c r="H107" s="115"/>
      <c r="I107" s="26"/>
      <c r="J107" s="98">
        <f t="shared" si="7"/>
        <v>0.71056941388834605</v>
      </c>
      <c r="K107" s="36"/>
      <c r="L107" s="26">
        <v>25.145677183899998</v>
      </c>
      <c r="M107" s="26" t="s">
        <v>206</v>
      </c>
      <c r="N107" s="26">
        <v>3336.4019512195118</v>
      </c>
      <c r="O107" s="93">
        <f t="shared" si="8"/>
        <v>83896.086421099913</v>
      </c>
      <c r="P107" s="95">
        <f t="shared" si="9"/>
        <v>59613.992955766997</v>
      </c>
      <c r="Q107" s="196">
        <v>1</v>
      </c>
    </row>
    <row r="108" spans="1:17" x14ac:dyDescent="0.25">
      <c r="A108" s="243">
        <v>39912</v>
      </c>
      <c r="B108" s="243" t="s">
        <v>183</v>
      </c>
      <c r="C108" s="198" t="s">
        <v>650</v>
      </c>
      <c r="D108" s="111" t="s">
        <v>568</v>
      </c>
      <c r="E108" s="33">
        <f t="shared" si="10"/>
        <v>39912</v>
      </c>
      <c r="F108" s="104" t="str">
        <f t="shared" si="6"/>
        <v>2008-09</v>
      </c>
      <c r="H108" s="115"/>
      <c r="I108" s="26"/>
      <c r="J108" s="98">
        <f t="shared" si="7"/>
        <v>0.71056941388834605</v>
      </c>
      <c r="K108" s="36"/>
      <c r="L108" s="26">
        <v>36.952785551300003</v>
      </c>
      <c r="M108" s="26" t="s">
        <v>206</v>
      </c>
      <c r="N108" s="26">
        <v>3336.4019512195118</v>
      </c>
      <c r="O108" s="93">
        <f t="shared" si="8"/>
        <v>123289.34581635351</v>
      </c>
      <c r="P108" s="95">
        <f t="shared" si="9"/>
        <v>87605.638195403924</v>
      </c>
      <c r="Q108" s="196">
        <v>1</v>
      </c>
    </row>
    <row r="109" spans="1:17" x14ac:dyDescent="0.25">
      <c r="A109" s="243">
        <v>39912</v>
      </c>
      <c r="B109" s="243" t="s">
        <v>183</v>
      </c>
      <c r="C109" s="198" t="s">
        <v>650</v>
      </c>
      <c r="D109" s="111" t="s">
        <v>568</v>
      </c>
      <c r="E109" s="33">
        <f t="shared" si="10"/>
        <v>39912</v>
      </c>
      <c r="F109" s="104" t="str">
        <f t="shared" si="6"/>
        <v>2008-09</v>
      </c>
      <c r="H109" s="115"/>
      <c r="I109" s="26"/>
      <c r="J109" s="98">
        <f t="shared" si="7"/>
        <v>0.71056941388834605</v>
      </c>
      <c r="K109" s="36"/>
      <c r="L109" s="26">
        <v>1.62658169177</v>
      </c>
      <c r="M109" s="26" t="s">
        <v>206</v>
      </c>
      <c r="N109" s="26">
        <v>812.22926829268283</v>
      </c>
      <c r="O109" s="93">
        <f t="shared" si="8"/>
        <v>1321.1572573246212</v>
      </c>
      <c r="P109" s="95">
        <f t="shared" si="9"/>
        <v>938.77393799149093</v>
      </c>
      <c r="Q109" s="196">
        <v>1</v>
      </c>
    </row>
    <row r="110" spans="1:17" x14ac:dyDescent="0.25">
      <c r="A110" s="243">
        <v>39912</v>
      </c>
      <c r="B110" s="243" t="s">
        <v>183</v>
      </c>
      <c r="C110" s="198" t="s">
        <v>650</v>
      </c>
      <c r="D110" s="111" t="s">
        <v>568</v>
      </c>
      <c r="E110" s="33">
        <f t="shared" si="10"/>
        <v>39912</v>
      </c>
      <c r="F110" s="104" t="str">
        <f t="shared" si="6"/>
        <v>2008-09</v>
      </c>
      <c r="H110" s="115"/>
      <c r="I110" s="26"/>
      <c r="J110" s="98">
        <f t="shared" si="7"/>
        <v>0.71056941388834605</v>
      </c>
      <c r="K110" s="36"/>
      <c r="L110" s="26">
        <v>23.0011928821</v>
      </c>
      <c r="M110" s="26" t="s">
        <v>206</v>
      </c>
      <c r="N110" s="26">
        <v>812.22926829268283</v>
      </c>
      <c r="O110" s="93">
        <f t="shared" si="8"/>
        <v>18682.242064486949</v>
      </c>
      <c r="P110" s="95">
        <f t="shared" si="9"/>
        <v>13275.029793882695</v>
      </c>
      <c r="Q110" s="196">
        <v>1</v>
      </c>
    </row>
    <row r="111" spans="1:17" x14ac:dyDescent="0.25">
      <c r="A111" s="243">
        <v>39912</v>
      </c>
      <c r="B111" s="243" t="s">
        <v>183</v>
      </c>
      <c r="C111" s="198" t="s">
        <v>650</v>
      </c>
      <c r="D111" s="111" t="s">
        <v>568</v>
      </c>
      <c r="E111" s="33">
        <f t="shared" si="10"/>
        <v>39912</v>
      </c>
      <c r="F111" s="104" t="str">
        <f t="shared" si="6"/>
        <v>2008-09</v>
      </c>
      <c r="H111" s="115"/>
      <c r="I111" s="26"/>
      <c r="J111" s="98">
        <f t="shared" si="7"/>
        <v>0.71056941388834605</v>
      </c>
      <c r="K111" s="36"/>
      <c r="L111" s="26">
        <v>14.139444578899999</v>
      </c>
      <c r="M111" s="26" t="s">
        <v>206</v>
      </c>
      <c r="N111" s="26">
        <v>812.22926829268283</v>
      </c>
      <c r="O111" s="93">
        <f t="shared" si="8"/>
        <v>11484.470724384888</v>
      </c>
      <c r="P111" s="95">
        <f t="shared" si="9"/>
        <v>8160.5136314440388</v>
      </c>
      <c r="Q111" s="196">
        <v>1</v>
      </c>
    </row>
    <row r="112" spans="1:17" x14ac:dyDescent="0.25">
      <c r="A112" s="243">
        <v>39912</v>
      </c>
      <c r="B112" s="243" t="s">
        <v>183</v>
      </c>
      <c r="C112" s="198" t="s">
        <v>650</v>
      </c>
      <c r="D112" s="111" t="s">
        <v>568</v>
      </c>
      <c r="E112" s="33">
        <f t="shared" si="10"/>
        <v>39912</v>
      </c>
      <c r="F112" s="104" t="str">
        <f t="shared" si="6"/>
        <v>2008-09</v>
      </c>
      <c r="H112" s="115"/>
      <c r="I112" s="26"/>
      <c r="J112" s="98">
        <f t="shared" si="7"/>
        <v>0.71056941388834605</v>
      </c>
      <c r="K112" s="36"/>
      <c r="L112" s="26">
        <v>21.846189599100001</v>
      </c>
      <c r="M112" s="26" t="s">
        <v>206</v>
      </c>
      <c r="N112" s="26">
        <v>812.22926829268283</v>
      </c>
      <c r="O112" s="93">
        <f t="shared" si="8"/>
        <v>17744.114593060211</v>
      </c>
      <c r="P112" s="95">
        <f t="shared" si="9"/>
        <v>12608.425106358442</v>
      </c>
      <c r="Q112" s="196">
        <v>1</v>
      </c>
    </row>
    <row r="113" spans="1:17" x14ac:dyDescent="0.25">
      <c r="A113" s="243">
        <v>39912</v>
      </c>
      <c r="B113" s="243" t="s">
        <v>183</v>
      </c>
      <c r="C113" s="198" t="s">
        <v>650</v>
      </c>
      <c r="D113" s="111" t="s">
        <v>568</v>
      </c>
      <c r="E113" s="33">
        <f t="shared" si="10"/>
        <v>39912</v>
      </c>
      <c r="F113" s="104" t="str">
        <f t="shared" si="6"/>
        <v>2008-09</v>
      </c>
      <c r="H113" s="115"/>
      <c r="I113" s="26"/>
      <c r="J113" s="98">
        <f t="shared" si="7"/>
        <v>0.71056941388834605</v>
      </c>
      <c r="K113" s="36"/>
      <c r="L113" s="26">
        <v>16.617712778800001</v>
      </c>
      <c r="M113" s="26" t="s">
        <v>206</v>
      </c>
      <c r="N113" s="26">
        <v>812.22926829268283</v>
      </c>
      <c r="O113" s="93">
        <f t="shared" si="8"/>
        <v>13497.392691022691</v>
      </c>
      <c r="P113" s="95">
        <f t="shared" si="9"/>
        <v>9590.8344134808394</v>
      </c>
      <c r="Q113" s="196">
        <v>1</v>
      </c>
    </row>
    <row r="114" spans="1:17" x14ac:dyDescent="0.25">
      <c r="A114" s="243">
        <v>39912</v>
      </c>
      <c r="B114" s="243" t="s">
        <v>183</v>
      </c>
      <c r="C114" s="198" t="s">
        <v>650</v>
      </c>
      <c r="D114" s="111" t="s">
        <v>568</v>
      </c>
      <c r="E114" s="33">
        <f t="shared" si="10"/>
        <v>39912</v>
      </c>
      <c r="F114" s="104" t="str">
        <f t="shared" si="6"/>
        <v>2008-09</v>
      </c>
      <c r="H114" s="115"/>
      <c r="I114" s="26"/>
      <c r="J114" s="98">
        <f t="shared" si="7"/>
        <v>0.71056941388834605</v>
      </c>
      <c r="K114" s="36"/>
      <c r="L114" s="26">
        <v>7.3210016430599998</v>
      </c>
      <c r="M114" s="26" t="s">
        <v>206</v>
      </c>
      <c r="N114" s="26">
        <v>812.22926829268283</v>
      </c>
      <c r="O114" s="93">
        <f t="shared" si="8"/>
        <v>5946.3318077121521</v>
      </c>
      <c r="P114" s="95">
        <f t="shared" si="9"/>
        <v>4225.2815073916536</v>
      </c>
      <c r="Q114" s="196">
        <v>1</v>
      </c>
    </row>
    <row r="115" spans="1:17" x14ac:dyDescent="0.25">
      <c r="A115" s="243">
        <v>39924</v>
      </c>
      <c r="B115" s="243" t="s">
        <v>183</v>
      </c>
      <c r="C115" s="198" t="s">
        <v>651</v>
      </c>
      <c r="D115" s="111" t="s">
        <v>652</v>
      </c>
      <c r="E115" s="33">
        <f t="shared" si="10"/>
        <v>39924</v>
      </c>
      <c r="F115" s="104" t="str">
        <f t="shared" si="6"/>
        <v>2008-09</v>
      </c>
      <c r="H115" s="115"/>
      <c r="I115" s="26"/>
      <c r="J115" s="98">
        <f t="shared" si="7"/>
        <v>0.71056941388834605</v>
      </c>
      <c r="K115" s="36"/>
      <c r="L115" s="26">
        <v>13.7549205999</v>
      </c>
      <c r="M115" s="26" t="s">
        <v>206</v>
      </c>
      <c r="N115" s="26">
        <v>812.22926829268283</v>
      </c>
      <c r="O115" s="93">
        <f t="shared" si="8"/>
        <v>11172.149094280727</v>
      </c>
      <c r="P115" s="95">
        <f t="shared" si="9"/>
        <v>7938.5874337962723</v>
      </c>
      <c r="Q115" s="196">
        <v>1</v>
      </c>
    </row>
    <row r="116" spans="1:17" x14ac:dyDescent="0.25">
      <c r="A116" s="243">
        <v>39934</v>
      </c>
      <c r="B116" s="243" t="s">
        <v>183</v>
      </c>
      <c r="C116" s="198" t="s">
        <v>653</v>
      </c>
      <c r="D116" s="111" t="s">
        <v>654</v>
      </c>
      <c r="E116" s="33">
        <f t="shared" si="10"/>
        <v>39934</v>
      </c>
      <c r="F116" s="104" t="str">
        <f t="shared" si="6"/>
        <v>2008-09</v>
      </c>
      <c r="H116" s="115"/>
      <c r="I116" s="26"/>
      <c r="J116" s="98">
        <f t="shared" si="7"/>
        <v>0.71056941388834605</v>
      </c>
      <c r="K116" s="36"/>
      <c r="L116" s="26">
        <v>14.883011792</v>
      </c>
      <c r="M116" s="26" t="s">
        <v>206</v>
      </c>
      <c r="N116" s="26">
        <v>3336.4019512195118</v>
      </c>
      <c r="O116" s="93">
        <f t="shared" si="8"/>
        <v>49655.709582851799</v>
      </c>
      <c r="P116" s="95">
        <f t="shared" si="9"/>
        <v>35283.828454496928</v>
      </c>
      <c r="Q116" s="196">
        <v>1</v>
      </c>
    </row>
    <row r="117" spans="1:17" x14ac:dyDescent="0.25">
      <c r="A117" s="243">
        <v>39934</v>
      </c>
      <c r="B117" s="243" t="s">
        <v>183</v>
      </c>
      <c r="C117" s="198" t="s">
        <v>653</v>
      </c>
      <c r="D117" s="111" t="s">
        <v>654</v>
      </c>
      <c r="E117" s="33">
        <f t="shared" si="10"/>
        <v>39934</v>
      </c>
      <c r="F117" s="104" t="str">
        <f t="shared" si="6"/>
        <v>2008-09</v>
      </c>
      <c r="H117" s="115"/>
      <c r="I117" s="26"/>
      <c r="J117" s="98">
        <f t="shared" si="7"/>
        <v>0.71056941388834605</v>
      </c>
      <c r="K117" s="36"/>
      <c r="L117" s="26">
        <v>19.1001036147</v>
      </c>
      <c r="M117" s="26" t="s">
        <v>206</v>
      </c>
      <c r="N117" s="26">
        <v>3336.4019512195118</v>
      </c>
      <c r="O117" s="93">
        <f t="shared" si="8"/>
        <v>63725.622968579934</v>
      </c>
      <c r="P117" s="95">
        <f t="shared" si="9"/>
        <v>45281.478562453565</v>
      </c>
      <c r="Q117" s="196">
        <v>1</v>
      </c>
    </row>
    <row r="118" spans="1:17" x14ac:dyDescent="0.25">
      <c r="A118" s="243">
        <v>39979</v>
      </c>
      <c r="B118" s="243" t="s">
        <v>183</v>
      </c>
      <c r="C118" s="198"/>
      <c r="D118" s="111" t="s">
        <v>655</v>
      </c>
      <c r="E118" s="33">
        <f t="shared" si="10"/>
        <v>39979</v>
      </c>
      <c r="F118" s="104" t="str">
        <f t="shared" si="6"/>
        <v>2008-09</v>
      </c>
      <c r="H118" s="115"/>
      <c r="I118" s="26"/>
      <c r="J118" s="98">
        <f t="shared" si="7"/>
        <v>0.71056941388834605</v>
      </c>
      <c r="K118" s="36"/>
      <c r="L118" s="26">
        <v>8.7942672993799995</v>
      </c>
      <c r="M118" s="26" t="s">
        <v>206</v>
      </c>
      <c r="N118" s="26">
        <v>3875.3912195121943</v>
      </c>
      <c r="O118" s="93">
        <f t="shared" si="8"/>
        <v>34081.226274060471</v>
      </c>
      <c r="P118" s="95">
        <f t="shared" si="9"/>
        <v>24217.076978155248</v>
      </c>
      <c r="Q118" s="196">
        <v>1</v>
      </c>
    </row>
    <row r="119" spans="1:17" x14ac:dyDescent="0.25">
      <c r="A119" s="243">
        <v>40065</v>
      </c>
      <c r="B119" s="243" t="s">
        <v>183</v>
      </c>
      <c r="C119" s="198" t="s">
        <v>656</v>
      </c>
      <c r="D119" s="111" t="s">
        <v>657</v>
      </c>
      <c r="E119" s="33">
        <f t="shared" si="10"/>
        <v>40065</v>
      </c>
      <c r="F119" s="104" t="str">
        <f t="shared" si="6"/>
        <v>2009-10</v>
      </c>
      <c r="H119" s="115"/>
      <c r="I119" s="26"/>
      <c r="J119" s="98">
        <f t="shared" si="7"/>
        <v>0.71056941388834605</v>
      </c>
      <c r="K119" s="36"/>
      <c r="L119" s="26">
        <v>276.715001003</v>
      </c>
      <c r="M119" s="26" t="s">
        <v>206</v>
      </c>
      <c r="N119" s="26">
        <v>4137.5668292682922</v>
      </c>
      <c r="O119" s="93">
        <f t="shared" si="8"/>
        <v>1144926.809310955</v>
      </c>
      <c r="P119" s="95">
        <f t="shared" si="9"/>
        <v>813549.97183713946</v>
      </c>
      <c r="Q119" s="196">
        <v>1</v>
      </c>
    </row>
    <row r="120" spans="1:17" x14ac:dyDescent="0.25">
      <c r="A120" s="243">
        <v>40065</v>
      </c>
      <c r="B120" s="243" t="s">
        <v>183</v>
      </c>
      <c r="C120" s="198" t="s">
        <v>656</v>
      </c>
      <c r="D120" s="111" t="s">
        <v>657</v>
      </c>
      <c r="E120" s="33">
        <f t="shared" si="10"/>
        <v>40065</v>
      </c>
      <c r="F120" s="104" t="str">
        <f t="shared" si="6"/>
        <v>2009-10</v>
      </c>
      <c r="H120" s="115"/>
      <c r="I120" s="26"/>
      <c r="J120" s="98">
        <f t="shared" si="7"/>
        <v>0.71056941388834605</v>
      </c>
      <c r="K120" s="36"/>
      <c r="L120" s="26">
        <v>41.356105159899997</v>
      </c>
      <c r="M120" s="26" t="s">
        <v>206</v>
      </c>
      <c r="N120" s="26">
        <v>1361.4565853658535</v>
      </c>
      <c r="O120" s="93">
        <f t="shared" si="8"/>
        <v>56304.541715028601</v>
      </c>
      <c r="P120" s="95">
        <f t="shared" si="9"/>
        <v>40008.285205699802</v>
      </c>
      <c r="Q120" s="196">
        <v>1</v>
      </c>
    </row>
    <row r="121" spans="1:17" x14ac:dyDescent="0.25">
      <c r="A121" s="243">
        <v>40065</v>
      </c>
      <c r="B121" s="243" t="s">
        <v>183</v>
      </c>
      <c r="C121" s="198" t="s">
        <v>656</v>
      </c>
      <c r="D121" s="111" t="s">
        <v>657</v>
      </c>
      <c r="E121" s="33">
        <f t="shared" si="10"/>
        <v>40065</v>
      </c>
      <c r="F121" s="104" t="str">
        <f t="shared" si="6"/>
        <v>2009-10</v>
      </c>
      <c r="H121" s="115"/>
      <c r="I121" s="26"/>
      <c r="J121" s="98">
        <f t="shared" si="7"/>
        <v>0.71056941388834605</v>
      </c>
      <c r="K121" s="36"/>
      <c r="L121" s="26">
        <v>9.0681202572499995</v>
      </c>
      <c r="M121" s="26" t="s">
        <v>206</v>
      </c>
      <c r="N121" s="26">
        <v>1361.4565853658535</v>
      </c>
      <c r="O121" s="93">
        <f t="shared" si="8"/>
        <v>12345.852041122509</v>
      </c>
      <c r="P121" s="95">
        <f t="shared" si="9"/>
        <v>8772.5848488126612</v>
      </c>
      <c r="Q121" s="196">
        <v>1</v>
      </c>
    </row>
    <row r="122" spans="1:17" x14ac:dyDescent="0.25">
      <c r="A122" s="243">
        <v>40065</v>
      </c>
      <c r="B122" s="243" t="s">
        <v>183</v>
      </c>
      <c r="C122" s="198" t="s">
        <v>656</v>
      </c>
      <c r="D122" s="111" t="s">
        <v>658</v>
      </c>
      <c r="E122" s="33">
        <f t="shared" si="10"/>
        <v>40065</v>
      </c>
      <c r="F122" s="104" t="str">
        <f t="shared" si="6"/>
        <v>2009-10</v>
      </c>
      <c r="H122" s="115"/>
      <c r="I122" s="26"/>
      <c r="J122" s="98">
        <f t="shared" si="7"/>
        <v>0.71056941388834605</v>
      </c>
      <c r="K122" s="36"/>
      <c r="L122" s="26">
        <v>2.88653321478</v>
      </c>
      <c r="M122" s="26" t="s">
        <v>206</v>
      </c>
      <c r="N122" s="26">
        <v>950.87219512195099</v>
      </c>
      <c r="O122" s="93">
        <f t="shared" si="8"/>
        <v>2744.7241742302808</v>
      </c>
      <c r="P122" s="95">
        <f t="shared" si="9"/>
        <v>1950.3170477679853</v>
      </c>
      <c r="Q122" s="196">
        <v>1</v>
      </c>
    </row>
    <row r="123" spans="1:17" x14ac:dyDescent="0.25">
      <c r="A123" s="243">
        <v>40065</v>
      </c>
      <c r="B123" s="243" t="s">
        <v>183</v>
      </c>
      <c r="C123" s="198" t="s">
        <v>656</v>
      </c>
      <c r="D123" s="111" t="s">
        <v>657</v>
      </c>
      <c r="E123" s="33">
        <f t="shared" si="10"/>
        <v>40065</v>
      </c>
      <c r="F123" s="104" t="str">
        <f t="shared" si="6"/>
        <v>2009-10</v>
      </c>
      <c r="H123" s="115"/>
      <c r="I123" s="26"/>
      <c r="J123" s="98">
        <f t="shared" si="7"/>
        <v>0.71056941388834605</v>
      </c>
      <c r="K123" s="36"/>
      <c r="L123" s="26">
        <v>38.938080397</v>
      </c>
      <c r="M123" s="26" t="s">
        <v>206</v>
      </c>
      <c r="N123" s="26">
        <v>4137.5668292682922</v>
      </c>
      <c r="O123" s="93">
        <f t="shared" si="8"/>
        <v>161108.90984600913</v>
      </c>
      <c r="P123" s="95">
        <f t="shared" si="9"/>
        <v>114479.0636414691</v>
      </c>
      <c r="Q123" s="196">
        <v>1</v>
      </c>
    </row>
    <row r="124" spans="1:17" x14ac:dyDescent="0.25">
      <c r="A124" s="243">
        <v>40065</v>
      </c>
      <c r="B124" s="243" t="s">
        <v>183</v>
      </c>
      <c r="C124" s="198" t="s">
        <v>656</v>
      </c>
      <c r="D124" s="111" t="s">
        <v>657</v>
      </c>
      <c r="E124" s="33">
        <f t="shared" si="10"/>
        <v>40065</v>
      </c>
      <c r="F124" s="104" t="str">
        <f t="shared" si="6"/>
        <v>2009-10</v>
      </c>
      <c r="H124" s="115"/>
      <c r="I124" s="26"/>
      <c r="J124" s="98">
        <f t="shared" si="7"/>
        <v>0.71056941388834605</v>
      </c>
      <c r="K124" s="36"/>
      <c r="L124" s="26">
        <v>15.576982409999999</v>
      </c>
      <c r="M124" s="26" t="s">
        <v>206</v>
      </c>
      <c r="N124" s="26">
        <v>4137.5668292682922</v>
      </c>
      <c r="O124" s="93">
        <f t="shared" si="8"/>
        <v>64450.805719711658</v>
      </c>
      <c r="P124" s="95">
        <f t="shared" si="9"/>
        <v>45796.771244887175</v>
      </c>
      <c r="Q124" s="196">
        <v>1</v>
      </c>
    </row>
    <row r="125" spans="1:17" x14ac:dyDescent="0.25">
      <c r="A125" s="243">
        <v>40065</v>
      </c>
      <c r="B125" s="243" t="s">
        <v>183</v>
      </c>
      <c r="C125" s="198" t="s">
        <v>656</v>
      </c>
      <c r="D125" s="111" t="s">
        <v>658</v>
      </c>
      <c r="E125" s="33">
        <f t="shared" si="10"/>
        <v>40065</v>
      </c>
      <c r="F125" s="104" t="str">
        <f t="shared" si="6"/>
        <v>2009-10</v>
      </c>
      <c r="H125" s="115"/>
      <c r="I125" s="26"/>
      <c r="J125" s="98">
        <f t="shared" si="7"/>
        <v>0.71056941388834605</v>
      </c>
      <c r="K125" s="36"/>
      <c r="L125" s="26">
        <v>11.6811472895</v>
      </c>
      <c r="M125" s="26" t="s">
        <v>206</v>
      </c>
      <c r="N125" s="26">
        <v>950.87219512195099</v>
      </c>
      <c r="O125" s="93">
        <f t="shared" si="8"/>
        <v>11107.278164709693</v>
      </c>
      <c r="P125" s="95">
        <f t="shared" si="9"/>
        <v>7892.4921353925902</v>
      </c>
      <c r="Q125" s="196">
        <v>1</v>
      </c>
    </row>
    <row r="126" spans="1:17" x14ac:dyDescent="0.25">
      <c r="A126" s="243">
        <v>40065</v>
      </c>
      <c r="B126" s="243" t="s">
        <v>183</v>
      </c>
      <c r="C126" s="198" t="s">
        <v>656</v>
      </c>
      <c r="D126" s="111" t="s">
        <v>658</v>
      </c>
      <c r="E126" s="33">
        <f t="shared" si="10"/>
        <v>40065</v>
      </c>
      <c r="F126" s="104" t="str">
        <f t="shared" si="6"/>
        <v>2009-10</v>
      </c>
      <c r="H126" s="115"/>
      <c r="I126" s="26"/>
      <c r="J126" s="98">
        <f t="shared" si="7"/>
        <v>0.71056941388834605</v>
      </c>
      <c r="K126" s="36"/>
      <c r="L126" s="26">
        <v>5.9268849322400001</v>
      </c>
      <c r="M126" s="26" t="s">
        <v>206</v>
      </c>
      <c r="N126" s="26">
        <v>1162.6195121951216</v>
      </c>
      <c r="O126" s="93">
        <f t="shared" si="8"/>
        <v>6890.7120687574852</v>
      </c>
      <c r="P126" s="95">
        <f t="shared" si="9"/>
        <v>4896.3292359703592</v>
      </c>
      <c r="Q126" s="196">
        <v>1</v>
      </c>
    </row>
    <row r="127" spans="1:17" x14ac:dyDescent="0.25">
      <c r="A127" s="243">
        <v>40065</v>
      </c>
      <c r="B127" s="243" t="s">
        <v>183</v>
      </c>
      <c r="C127" s="198" t="s">
        <v>656</v>
      </c>
      <c r="D127" s="111" t="s">
        <v>659</v>
      </c>
      <c r="E127" s="33">
        <f t="shared" si="10"/>
        <v>40065</v>
      </c>
      <c r="F127" s="104" t="str">
        <f t="shared" si="6"/>
        <v>2009-10</v>
      </c>
      <c r="H127" s="115"/>
      <c r="I127" s="26"/>
      <c r="J127" s="98">
        <f t="shared" si="7"/>
        <v>0.71056941388834605</v>
      </c>
      <c r="K127" s="36"/>
      <c r="L127" s="26">
        <v>27.752930115600002</v>
      </c>
      <c r="M127" s="26" t="s">
        <v>206</v>
      </c>
      <c r="N127" s="26">
        <v>4137.5668292682922</v>
      </c>
      <c r="O127" s="93">
        <f t="shared" si="8"/>
        <v>114829.6030613076</v>
      </c>
      <c r="P127" s="95">
        <f t="shared" si="9"/>
        <v>81594.403744304771</v>
      </c>
      <c r="Q127" s="196">
        <v>1</v>
      </c>
    </row>
    <row r="128" spans="1:17" x14ac:dyDescent="0.25">
      <c r="A128" s="243">
        <v>40094</v>
      </c>
      <c r="B128" s="243" t="s">
        <v>183</v>
      </c>
      <c r="C128" s="198" t="s">
        <v>660</v>
      </c>
      <c r="D128" s="111" t="s">
        <v>661</v>
      </c>
      <c r="E128" s="33">
        <f t="shared" si="10"/>
        <v>40094</v>
      </c>
      <c r="F128" s="104" t="str">
        <f t="shared" si="6"/>
        <v>2009-10</v>
      </c>
      <c r="H128" s="115"/>
      <c r="I128" s="26"/>
      <c r="J128" s="98">
        <f t="shared" si="7"/>
        <v>0.71056941388834605</v>
      </c>
      <c r="K128" s="36"/>
      <c r="L128" s="26">
        <v>16.100973573899999</v>
      </c>
      <c r="M128" s="26" t="s">
        <v>206</v>
      </c>
      <c r="N128" s="26">
        <v>1162.6195121951216</v>
      </c>
      <c r="O128" s="93">
        <f t="shared" si="8"/>
        <v>18719.306042354161</v>
      </c>
      <c r="P128" s="95">
        <f t="shared" si="9"/>
        <v>13301.36632291217</v>
      </c>
      <c r="Q128" s="196">
        <v>1</v>
      </c>
    </row>
    <row r="129" spans="1:17" x14ac:dyDescent="0.25">
      <c r="A129" s="243">
        <v>40171</v>
      </c>
      <c r="B129" s="243" t="s">
        <v>183</v>
      </c>
      <c r="C129" s="198"/>
      <c r="D129" s="111" t="s">
        <v>662</v>
      </c>
      <c r="E129" s="33">
        <f t="shared" si="10"/>
        <v>40171</v>
      </c>
      <c r="F129" s="104" t="str">
        <f t="shared" si="6"/>
        <v>2009-10</v>
      </c>
      <c r="H129" s="115"/>
      <c r="I129" s="26"/>
      <c r="J129" s="98">
        <f t="shared" si="7"/>
        <v>0.71056941388834605</v>
      </c>
      <c r="K129" s="36"/>
      <c r="L129" s="26">
        <v>36.717491649099998</v>
      </c>
      <c r="M129" s="26" t="s">
        <v>206</v>
      </c>
      <c r="N129" s="26">
        <v>1162.6195121951216</v>
      </c>
      <c r="O129" s="93">
        <f t="shared" si="8"/>
        <v>42688.472230105093</v>
      </c>
      <c r="P129" s="95">
        <f t="shared" si="9"/>
        <v>30333.122692334713</v>
      </c>
      <c r="Q129" s="196">
        <v>1</v>
      </c>
    </row>
    <row r="130" spans="1:17" x14ac:dyDescent="0.25">
      <c r="A130" s="243">
        <v>40171</v>
      </c>
      <c r="B130" s="243" t="s">
        <v>183</v>
      </c>
      <c r="C130" s="198"/>
      <c r="D130" s="111" t="s">
        <v>663</v>
      </c>
      <c r="E130" s="33">
        <f t="shared" si="10"/>
        <v>40171</v>
      </c>
      <c r="F130" s="104" t="str">
        <f t="shared" si="6"/>
        <v>2009-10</v>
      </c>
      <c r="H130" s="115"/>
      <c r="I130" s="26"/>
      <c r="J130" s="98">
        <f t="shared" si="7"/>
        <v>0.71056941388834605</v>
      </c>
      <c r="K130" s="36"/>
      <c r="L130" s="26">
        <v>7.4464877627000003</v>
      </c>
      <c r="M130" s="26" t="s">
        <v>206</v>
      </c>
      <c r="N130" s="26">
        <v>2005.9707317073169</v>
      </c>
      <c r="O130" s="93">
        <f t="shared" si="8"/>
        <v>14937.4365059929</v>
      </c>
      <c r="P130" s="95">
        <f t="shared" si="9"/>
        <v>10614.085503057759</v>
      </c>
      <c r="Q130" s="196">
        <v>1</v>
      </c>
    </row>
    <row r="131" spans="1:17" x14ac:dyDescent="0.25">
      <c r="A131" s="243">
        <v>40171</v>
      </c>
      <c r="B131" s="243" t="s">
        <v>183</v>
      </c>
      <c r="C131" s="198"/>
      <c r="D131" s="111" t="s">
        <v>663</v>
      </c>
      <c r="E131" s="33">
        <f t="shared" si="10"/>
        <v>40171</v>
      </c>
      <c r="F131" s="104" t="str">
        <f t="shared" si="6"/>
        <v>2009-10</v>
      </c>
      <c r="H131" s="115"/>
      <c r="I131" s="26"/>
      <c r="J131" s="98">
        <f t="shared" si="7"/>
        <v>0.71056941388834605</v>
      </c>
      <c r="K131" s="36"/>
      <c r="L131" s="26">
        <v>7.5728641842600002</v>
      </c>
      <c r="M131" s="26" t="s">
        <v>206</v>
      </c>
      <c r="N131" s="26">
        <v>2005.9707317073169</v>
      </c>
      <c r="O131" s="93">
        <f t="shared" si="8"/>
        <v>15190.943908820165</v>
      </c>
      <c r="P131" s="95">
        <f t="shared" si="9"/>
        <v>10794.220109701086</v>
      </c>
      <c r="Q131" s="196">
        <v>1</v>
      </c>
    </row>
    <row r="132" spans="1:17" x14ac:dyDescent="0.25">
      <c r="A132" s="243">
        <v>40171</v>
      </c>
      <c r="B132" s="243" t="s">
        <v>183</v>
      </c>
      <c r="C132" s="198"/>
      <c r="D132" s="111" t="s">
        <v>663</v>
      </c>
      <c r="E132" s="33">
        <f t="shared" si="10"/>
        <v>40171</v>
      </c>
      <c r="F132" s="104" t="str">
        <f t="shared" si="6"/>
        <v>2009-10</v>
      </c>
      <c r="H132" s="115"/>
      <c r="I132" s="26"/>
      <c r="J132" s="98">
        <f t="shared" si="7"/>
        <v>0.71056941388834605</v>
      </c>
      <c r="K132" s="36"/>
      <c r="L132" s="26">
        <v>7.7950951358799996</v>
      </c>
      <c r="M132" s="26" t="s">
        <v>206</v>
      </c>
      <c r="N132" s="26">
        <v>2005.9707317073169</v>
      </c>
      <c r="O132" s="93">
        <f t="shared" si="8"/>
        <v>15636.732693449349</v>
      </c>
      <c r="P132" s="95">
        <f t="shared" si="9"/>
        <v>11110.983985113042</v>
      </c>
      <c r="Q132" s="196">
        <v>1</v>
      </c>
    </row>
    <row r="133" spans="1:17" x14ac:dyDescent="0.25">
      <c r="A133" s="243">
        <v>40369</v>
      </c>
      <c r="B133" s="243" t="s">
        <v>183</v>
      </c>
      <c r="C133" s="198" t="s">
        <v>664</v>
      </c>
      <c r="D133" s="111" t="s">
        <v>665</v>
      </c>
      <c r="E133" s="33">
        <f t="shared" si="10"/>
        <v>40369</v>
      </c>
      <c r="F133" s="104" t="str">
        <f t="shared" si="6"/>
        <v>2010-11</v>
      </c>
      <c r="H133" s="115"/>
      <c r="I133" s="26"/>
      <c r="J133" s="98">
        <f t="shared" si="7"/>
        <v>0.71056941388834605</v>
      </c>
      <c r="K133" s="36"/>
      <c r="L133" s="26">
        <v>66.609941727899994</v>
      </c>
      <c r="M133" s="26" t="s">
        <v>206</v>
      </c>
      <c r="N133" s="26">
        <v>812.22926829268283</v>
      </c>
      <c r="O133" s="93">
        <f t="shared" si="8"/>
        <v>54102.54423067045</v>
      </c>
      <c r="P133" s="95">
        <f t="shared" si="9"/>
        <v>38443.613143855822</v>
      </c>
      <c r="Q133" s="196">
        <v>1</v>
      </c>
    </row>
    <row r="134" spans="1:17" x14ac:dyDescent="0.25">
      <c r="A134" s="243">
        <v>40369</v>
      </c>
      <c r="B134" s="243" t="s">
        <v>183</v>
      </c>
      <c r="C134" s="198" t="s">
        <v>664</v>
      </c>
      <c r="D134" s="111" t="s">
        <v>665</v>
      </c>
      <c r="E134" s="33">
        <f t="shared" si="10"/>
        <v>40369</v>
      </c>
      <c r="F134" s="104" t="str">
        <f t="shared" si="6"/>
        <v>2010-11</v>
      </c>
      <c r="H134" s="115"/>
      <c r="I134" s="26"/>
      <c r="J134" s="98">
        <f t="shared" si="7"/>
        <v>0.71056941388834605</v>
      </c>
      <c r="K134" s="36"/>
      <c r="L134" s="26">
        <v>59.719751674000001</v>
      </c>
      <c r="M134" s="26" t="s">
        <v>206</v>
      </c>
      <c r="N134" s="26">
        <v>812.22926829268283</v>
      </c>
      <c r="O134" s="93">
        <f t="shared" si="8"/>
        <v>48506.130204793742</v>
      </c>
      <c r="P134" s="95">
        <f t="shared" si="9"/>
        <v>34466.972509612089</v>
      </c>
      <c r="Q134" s="196">
        <v>1</v>
      </c>
    </row>
    <row r="135" spans="1:17" x14ac:dyDescent="0.25">
      <c r="A135" s="243">
        <v>40369</v>
      </c>
      <c r="B135" s="243" t="s">
        <v>183</v>
      </c>
      <c r="C135" s="198" t="s">
        <v>664</v>
      </c>
      <c r="D135" s="111" t="s">
        <v>665</v>
      </c>
      <c r="E135" s="33">
        <f t="shared" si="10"/>
        <v>40369</v>
      </c>
      <c r="F135" s="104" t="str">
        <f t="shared" si="6"/>
        <v>2010-11</v>
      </c>
      <c r="H135" s="115"/>
      <c r="I135" s="26"/>
      <c r="J135" s="98">
        <f t="shared" si="7"/>
        <v>0.71056941388834605</v>
      </c>
      <c r="K135" s="36"/>
      <c r="L135" s="26">
        <v>107.079629739</v>
      </c>
      <c r="M135" s="26" t="s">
        <v>206</v>
      </c>
      <c r="N135" s="26">
        <v>3336.4019512195118</v>
      </c>
      <c r="O135" s="93">
        <f t="shared" si="8"/>
        <v>357260.68559706246</v>
      </c>
      <c r="P135" s="95">
        <f t="shared" si="9"/>
        <v>253858.51597005335</v>
      </c>
      <c r="Q135" s="196">
        <v>1</v>
      </c>
    </row>
    <row r="136" spans="1:17" x14ac:dyDescent="0.25">
      <c r="A136" s="243">
        <v>40369</v>
      </c>
      <c r="B136" s="243" t="s">
        <v>183</v>
      </c>
      <c r="C136" s="198" t="s">
        <v>664</v>
      </c>
      <c r="D136" s="111" t="s">
        <v>665</v>
      </c>
      <c r="E136" s="33">
        <f t="shared" si="10"/>
        <v>40369</v>
      </c>
      <c r="F136" s="104" t="str">
        <f t="shared" si="6"/>
        <v>2010-11</v>
      </c>
      <c r="H136" s="115"/>
      <c r="I136" s="26"/>
      <c r="J136" s="98">
        <f t="shared" si="7"/>
        <v>0.71056941388834605</v>
      </c>
      <c r="K136" s="36"/>
      <c r="L136" s="26">
        <v>38.3997714845</v>
      </c>
      <c r="M136" s="26" t="s">
        <v>206</v>
      </c>
      <c r="N136" s="26">
        <v>3336.4019512195118</v>
      </c>
      <c r="O136" s="93">
        <f t="shared" si="8"/>
        <v>128117.07250726917</v>
      </c>
      <c r="P136" s="95">
        <f t="shared" si="9"/>
        <v>91036.073120580986</v>
      </c>
      <c r="Q136" s="196">
        <v>1</v>
      </c>
    </row>
    <row r="137" spans="1:17" x14ac:dyDescent="0.25">
      <c r="A137" s="243">
        <v>40369</v>
      </c>
      <c r="B137" s="243" t="s">
        <v>183</v>
      </c>
      <c r="C137" s="198" t="s">
        <v>664</v>
      </c>
      <c r="D137" s="111" t="s">
        <v>665</v>
      </c>
      <c r="E137" s="33">
        <f t="shared" si="10"/>
        <v>40369</v>
      </c>
      <c r="F137" s="104" t="str">
        <f t="shared" si="6"/>
        <v>2010-11</v>
      </c>
      <c r="H137" s="115"/>
      <c r="I137" s="26"/>
      <c r="J137" s="98">
        <f t="shared" si="7"/>
        <v>0.71056941388834605</v>
      </c>
      <c r="K137" s="36"/>
      <c r="L137" s="26">
        <v>38.570179983999999</v>
      </c>
      <c r="M137" s="26" t="s">
        <v>206</v>
      </c>
      <c r="N137" s="26">
        <v>812.22926829268283</v>
      </c>
      <c r="O137" s="93">
        <f t="shared" si="8"/>
        <v>31327.829066321399</v>
      </c>
      <c r="P137" s="95">
        <f t="shared" si="9"/>
        <v>22260.597138050289</v>
      </c>
      <c r="Q137" s="196">
        <v>1</v>
      </c>
    </row>
    <row r="138" spans="1:17" x14ac:dyDescent="0.25">
      <c r="A138" s="243">
        <v>40369</v>
      </c>
      <c r="B138" s="243" t="s">
        <v>183</v>
      </c>
      <c r="C138" s="198" t="s">
        <v>664</v>
      </c>
      <c r="D138" s="111" t="s">
        <v>665</v>
      </c>
      <c r="E138" s="33">
        <f t="shared" si="10"/>
        <v>40369</v>
      </c>
      <c r="F138" s="104" t="str">
        <f t="shared" si="6"/>
        <v>2010-11</v>
      </c>
      <c r="H138" s="115"/>
      <c r="I138" s="26"/>
      <c r="J138" s="98">
        <f t="shared" si="7"/>
        <v>0.71056941388834605</v>
      </c>
      <c r="K138" s="36"/>
      <c r="L138" s="26">
        <v>32.679764321599997</v>
      </c>
      <c r="M138" s="26" t="s">
        <v>206</v>
      </c>
      <c r="N138" s="26">
        <v>3336.4019512195118</v>
      </c>
      <c r="O138" s="93">
        <f t="shared" si="8"/>
        <v>109032.82944798001</v>
      </c>
      <c r="P138" s="95">
        <f t="shared" si="9"/>
        <v>77475.393715439146</v>
      </c>
      <c r="Q138" s="196">
        <v>1</v>
      </c>
    </row>
    <row r="139" spans="1:17" x14ac:dyDescent="0.25">
      <c r="A139" s="243">
        <v>40369</v>
      </c>
      <c r="B139" s="243" t="s">
        <v>183</v>
      </c>
      <c r="C139" s="198" t="s">
        <v>664</v>
      </c>
      <c r="D139" s="111" t="s">
        <v>665</v>
      </c>
      <c r="E139" s="33">
        <f t="shared" si="10"/>
        <v>40369</v>
      </c>
      <c r="F139" s="104" t="str">
        <f t="shared" si="6"/>
        <v>2010-11</v>
      </c>
      <c r="H139" s="115"/>
      <c r="I139" s="26"/>
      <c r="J139" s="98">
        <f t="shared" si="7"/>
        <v>0.71056941388834605</v>
      </c>
      <c r="K139" s="36"/>
      <c r="L139" s="26">
        <v>13.7672204893</v>
      </c>
      <c r="M139" s="26" t="s">
        <v>206</v>
      </c>
      <c r="N139" s="26">
        <v>812.22926829268283</v>
      </c>
      <c r="O139" s="93">
        <f t="shared" si="8"/>
        <v>11182.139424448169</v>
      </c>
      <c r="P139" s="95">
        <f t="shared" si="9"/>
        <v>7945.6862568479028</v>
      </c>
      <c r="Q139" s="196">
        <v>1</v>
      </c>
    </row>
    <row r="140" spans="1:17" x14ac:dyDescent="0.25">
      <c r="A140" s="243">
        <v>40452</v>
      </c>
      <c r="B140" s="243" t="s">
        <v>183</v>
      </c>
      <c r="C140" s="198" t="s">
        <v>666</v>
      </c>
      <c r="D140" s="111" t="s">
        <v>645</v>
      </c>
      <c r="E140" s="33">
        <f t="shared" si="10"/>
        <v>40452</v>
      </c>
      <c r="F140" s="104" t="str">
        <f t="shared" si="6"/>
        <v>2010-11</v>
      </c>
      <c r="H140" s="115"/>
      <c r="I140" s="26"/>
      <c r="J140" s="98">
        <f t="shared" si="7"/>
        <v>0.71056941388834605</v>
      </c>
      <c r="K140" s="36"/>
      <c r="L140" s="26">
        <v>21.297497343500002</v>
      </c>
      <c r="M140" s="26" t="s">
        <v>206</v>
      </c>
      <c r="N140" s="26">
        <v>812.22926829268283</v>
      </c>
      <c r="O140" s="93">
        <f t="shared" si="8"/>
        <v>17298.450683776362</v>
      </c>
      <c r="P140" s="95">
        <f t="shared" si="9"/>
        <v>12291.749963547429</v>
      </c>
      <c r="Q140" s="196">
        <v>1</v>
      </c>
    </row>
    <row r="141" spans="1:17" x14ac:dyDescent="0.25">
      <c r="A141" s="243">
        <v>40675</v>
      </c>
      <c r="B141" s="243" t="s">
        <v>183</v>
      </c>
      <c r="C141" s="198" t="s">
        <v>667</v>
      </c>
      <c r="D141" s="111" t="s">
        <v>668</v>
      </c>
      <c r="E141" s="33">
        <f t="shared" si="10"/>
        <v>40675</v>
      </c>
      <c r="F141" s="104" t="str">
        <f t="shared" si="6"/>
        <v>2010-11</v>
      </c>
      <c r="H141" s="115"/>
      <c r="I141" s="26"/>
      <c r="J141" s="98">
        <f t="shared" si="7"/>
        <v>0.71056941388834605</v>
      </c>
      <c r="K141" s="36"/>
      <c r="L141" s="26">
        <v>0.99023431570499998</v>
      </c>
      <c r="M141" s="26" t="s">
        <v>206</v>
      </c>
      <c r="N141" s="26">
        <v>950.87219512195099</v>
      </c>
      <c r="O141" s="93">
        <f t="shared" si="8"/>
        <v>941.58627745949639</v>
      </c>
      <c r="P141" s="95">
        <f t="shared" si="9"/>
        <v>669.06240929970397</v>
      </c>
      <c r="Q141" s="196">
        <v>1</v>
      </c>
    </row>
    <row r="142" spans="1:17" x14ac:dyDescent="0.25">
      <c r="A142" s="243">
        <v>40675</v>
      </c>
      <c r="B142" s="243" t="s">
        <v>183</v>
      </c>
      <c r="C142" s="198" t="s">
        <v>669</v>
      </c>
      <c r="D142" s="111" t="s">
        <v>576</v>
      </c>
      <c r="E142" s="33">
        <f t="shared" si="10"/>
        <v>40675</v>
      </c>
      <c r="F142" s="104" t="str">
        <f t="shared" si="6"/>
        <v>2010-11</v>
      </c>
      <c r="H142" s="115"/>
      <c r="I142" s="26"/>
      <c r="J142" s="98">
        <f t="shared" si="7"/>
        <v>0.71056941388834605</v>
      </c>
      <c r="K142" s="36"/>
      <c r="L142" s="26">
        <v>6.8137466932699997</v>
      </c>
      <c r="M142" s="26" t="s">
        <v>206</v>
      </c>
      <c r="N142" s="26">
        <v>812.22926829268283</v>
      </c>
      <c r="O142" s="93">
        <f t="shared" si="8"/>
        <v>5534.3244910063795</v>
      </c>
      <c r="P142" s="95">
        <f t="shared" si="9"/>
        <v>3932.5217098423223</v>
      </c>
      <c r="Q142" s="196">
        <v>1</v>
      </c>
    </row>
    <row r="143" spans="1:17" x14ac:dyDescent="0.25">
      <c r="A143" s="243">
        <v>40681</v>
      </c>
      <c r="B143" s="243" t="s">
        <v>183</v>
      </c>
      <c r="C143" s="198" t="s">
        <v>670</v>
      </c>
      <c r="D143" s="111" t="s">
        <v>671</v>
      </c>
      <c r="E143" s="33">
        <f t="shared" si="10"/>
        <v>40681</v>
      </c>
      <c r="F143" s="104" t="str">
        <f t="shared" si="6"/>
        <v>2010-11</v>
      </c>
      <c r="H143" s="115"/>
      <c r="I143" s="26"/>
      <c r="J143" s="98">
        <f t="shared" si="7"/>
        <v>0.71056941388834605</v>
      </c>
      <c r="K143" s="36"/>
      <c r="L143" s="26">
        <v>20.10078889</v>
      </c>
      <c r="M143" s="26" t="s">
        <v>206</v>
      </c>
      <c r="N143" s="26">
        <v>1162.6195121951216</v>
      </c>
      <c r="O143" s="93">
        <f t="shared" si="8"/>
        <v>23369.569374028921</v>
      </c>
      <c r="P143" s="95">
        <f t="shared" si="9"/>
        <v>16605.701212926771</v>
      </c>
      <c r="Q143" s="196">
        <v>1</v>
      </c>
    </row>
    <row r="144" spans="1:17" x14ac:dyDescent="0.25">
      <c r="A144" s="243">
        <v>40681</v>
      </c>
      <c r="B144" s="243" t="s">
        <v>183</v>
      </c>
      <c r="C144" s="198" t="s">
        <v>670</v>
      </c>
      <c r="D144" s="111" t="s">
        <v>671</v>
      </c>
      <c r="E144" s="33">
        <f t="shared" si="10"/>
        <v>40681</v>
      </c>
      <c r="F144" s="104" t="str">
        <f t="shared" si="6"/>
        <v>2010-11</v>
      </c>
      <c r="H144" s="115"/>
      <c r="I144" s="26"/>
      <c r="J144" s="98">
        <f t="shared" si="7"/>
        <v>0.71056941388834605</v>
      </c>
      <c r="K144" s="36"/>
      <c r="L144" s="26">
        <v>8.5333689712799998</v>
      </c>
      <c r="M144" s="26" t="s">
        <v>206</v>
      </c>
      <c r="N144" s="26">
        <v>812.22926829268283</v>
      </c>
      <c r="O144" s="93">
        <f t="shared" si="8"/>
        <v>6931.0520356142379</v>
      </c>
      <c r="P144" s="95">
        <f t="shared" si="9"/>
        <v>4924.9935825760367</v>
      </c>
      <c r="Q144" s="196">
        <v>1</v>
      </c>
    </row>
    <row r="145" spans="1:17" x14ac:dyDescent="0.25">
      <c r="A145" s="243">
        <v>40681</v>
      </c>
      <c r="B145" s="243" t="s">
        <v>183</v>
      </c>
      <c r="C145" s="198" t="s">
        <v>670</v>
      </c>
      <c r="D145" s="111" t="s">
        <v>671</v>
      </c>
      <c r="E145" s="33">
        <f t="shared" si="10"/>
        <v>40681</v>
      </c>
      <c r="F145" s="104" t="str">
        <f t="shared" si="6"/>
        <v>2010-11</v>
      </c>
      <c r="H145" s="115"/>
      <c r="I145" s="26"/>
      <c r="J145" s="98">
        <f t="shared" si="7"/>
        <v>0.71056941388834605</v>
      </c>
      <c r="K145" s="36"/>
      <c r="L145" s="26">
        <v>8.3510604117099998</v>
      </c>
      <c r="M145" s="26" t="s">
        <v>206</v>
      </c>
      <c r="N145" s="26">
        <v>1162.6195121951216</v>
      </c>
      <c r="O145" s="93">
        <f t="shared" si="8"/>
        <v>9709.1057821742706</v>
      </c>
      <c r="P145" s="95">
        <f t="shared" si="9"/>
        <v>6898.9936050195229</v>
      </c>
      <c r="Q145" s="196">
        <v>1</v>
      </c>
    </row>
    <row r="146" spans="1:17" x14ac:dyDescent="0.25">
      <c r="A146" s="243">
        <v>40835</v>
      </c>
      <c r="B146" s="243" t="s">
        <v>183</v>
      </c>
      <c r="C146" s="198" t="s">
        <v>672</v>
      </c>
      <c r="D146" s="111" t="s">
        <v>673</v>
      </c>
      <c r="E146" s="33">
        <f t="shared" si="10"/>
        <v>40835</v>
      </c>
      <c r="F146" s="104" t="str">
        <f t="shared" si="6"/>
        <v>2011-12</v>
      </c>
      <c r="H146" s="115"/>
      <c r="I146" s="26"/>
      <c r="J146" s="98">
        <f t="shared" si="7"/>
        <v>0.71056941388834605</v>
      </c>
      <c r="K146" s="36"/>
      <c r="L146" s="26">
        <v>11.7267517242</v>
      </c>
      <c r="M146" s="26" t="s">
        <v>206</v>
      </c>
      <c r="N146" s="26">
        <v>1361.4565853658535</v>
      </c>
      <c r="O146" s="93">
        <f t="shared" si="8"/>
        <v>15965.463359862466</v>
      </c>
      <c r="P146" s="95">
        <f t="shared" si="9"/>
        <v>1319.3938760571316</v>
      </c>
      <c r="Q146" s="196">
        <v>0.11630179749378837</v>
      </c>
    </row>
    <row r="147" spans="1:17" x14ac:dyDescent="0.25">
      <c r="A147" s="243">
        <v>40835</v>
      </c>
      <c r="B147" s="243" t="s">
        <v>183</v>
      </c>
      <c r="C147" s="198" t="s">
        <v>672</v>
      </c>
      <c r="D147" s="111" t="s">
        <v>673</v>
      </c>
      <c r="E147" s="33">
        <f t="shared" si="10"/>
        <v>40835</v>
      </c>
      <c r="F147" s="104" t="str">
        <f t="shared" si="6"/>
        <v>2011-12</v>
      </c>
      <c r="H147" s="115"/>
      <c r="I147" s="26"/>
      <c r="J147" s="98">
        <f t="shared" si="7"/>
        <v>0.71056941388834605</v>
      </c>
      <c r="K147" s="36"/>
      <c r="L147" s="26">
        <v>38.792341976199999</v>
      </c>
      <c r="M147" s="26" t="s">
        <v>206</v>
      </c>
      <c r="N147" s="26">
        <v>4137.5668292682922</v>
      </c>
      <c r="O147" s="93">
        <f t="shared" si="8"/>
        <v>160505.90739035711</v>
      </c>
      <c r="P147" s="95">
        <f t="shared" si="9"/>
        <v>13264.288452424507</v>
      </c>
      <c r="Q147" s="196">
        <v>0.11630179749378837</v>
      </c>
    </row>
    <row r="148" spans="1:17" x14ac:dyDescent="0.25">
      <c r="A148" s="243">
        <v>40835</v>
      </c>
      <c r="B148" s="243" t="s">
        <v>183</v>
      </c>
      <c r="C148" s="198" t="s">
        <v>672</v>
      </c>
      <c r="D148" s="111" t="s">
        <v>673</v>
      </c>
      <c r="E148" s="33">
        <f t="shared" si="10"/>
        <v>40835</v>
      </c>
      <c r="F148" s="104" t="str">
        <f t="shared" si="6"/>
        <v>2011-12</v>
      </c>
      <c r="H148" s="115"/>
      <c r="I148" s="26"/>
      <c r="J148" s="98">
        <f t="shared" si="7"/>
        <v>0.71056941388834605</v>
      </c>
      <c r="K148" s="36"/>
      <c r="L148" s="26">
        <v>52.061905891000002</v>
      </c>
      <c r="M148" s="26" t="s">
        <v>206</v>
      </c>
      <c r="N148" s="26">
        <v>4137.5668292682922</v>
      </c>
      <c r="O148" s="93">
        <f t="shared" si="8"/>
        <v>215409.61488308909</v>
      </c>
      <c r="P148" s="95">
        <f t="shared" si="9"/>
        <v>17801.55829583271</v>
      </c>
      <c r="Q148" s="196">
        <v>0.11630179749378837</v>
      </c>
    </row>
    <row r="149" spans="1:17" x14ac:dyDescent="0.25">
      <c r="A149" s="243">
        <v>40835</v>
      </c>
      <c r="B149" s="243" t="s">
        <v>183</v>
      </c>
      <c r="C149" s="198" t="s">
        <v>672</v>
      </c>
      <c r="D149" s="111" t="s">
        <v>673</v>
      </c>
      <c r="E149" s="33">
        <f t="shared" si="10"/>
        <v>40835</v>
      </c>
      <c r="F149" s="104" t="str">
        <f t="shared" si="6"/>
        <v>2011-12</v>
      </c>
      <c r="H149" s="115"/>
      <c r="I149" s="26"/>
      <c r="J149" s="98">
        <f t="shared" si="7"/>
        <v>0.71056941388834605</v>
      </c>
      <c r="K149" s="36"/>
      <c r="L149" s="26">
        <v>36.541924689299996</v>
      </c>
      <c r="M149" s="26" t="s">
        <v>206</v>
      </c>
      <c r="N149" s="26">
        <v>4137.5668292682922</v>
      </c>
      <c r="O149" s="93">
        <f t="shared" si="8"/>
        <v>151194.65547206771</v>
      </c>
      <c r="P149" s="95">
        <f t="shared" si="9"/>
        <v>12494.80193753252</v>
      </c>
      <c r="Q149" s="196">
        <v>0.11630179749378837</v>
      </c>
    </row>
    <row r="150" spans="1:17" x14ac:dyDescent="0.25">
      <c r="A150" s="243">
        <v>40835</v>
      </c>
      <c r="B150" s="243" t="s">
        <v>183</v>
      </c>
      <c r="C150" s="198" t="s">
        <v>672</v>
      </c>
      <c r="D150" s="111" t="s">
        <v>673</v>
      </c>
      <c r="E150" s="33">
        <f t="shared" si="10"/>
        <v>40835</v>
      </c>
      <c r="F150" s="104" t="str">
        <f t="shared" si="6"/>
        <v>2011-12</v>
      </c>
      <c r="H150" s="115"/>
      <c r="I150" s="26"/>
      <c r="J150" s="98">
        <f t="shared" si="7"/>
        <v>0.71056941388834605</v>
      </c>
      <c r="K150" s="36"/>
      <c r="L150" s="26">
        <v>6.5663564478299996</v>
      </c>
      <c r="M150" s="26" t="s">
        <v>206</v>
      </c>
      <c r="N150" s="26">
        <v>4137.5668292682922</v>
      </c>
      <c r="O150" s="93">
        <f t="shared" si="8"/>
        <v>27168.738627693376</v>
      </c>
      <c r="P150" s="95">
        <f t="shared" si="9"/>
        <v>2245.2381467169816</v>
      </c>
      <c r="Q150" s="196">
        <v>0.11630179749378837</v>
      </c>
    </row>
    <row r="151" spans="1:17" x14ac:dyDescent="0.25">
      <c r="A151" s="243">
        <v>40835</v>
      </c>
      <c r="B151" s="243" t="s">
        <v>183</v>
      </c>
      <c r="C151" s="198" t="s">
        <v>672</v>
      </c>
      <c r="D151" s="111" t="s">
        <v>673</v>
      </c>
      <c r="E151" s="33">
        <f t="shared" si="10"/>
        <v>40835</v>
      </c>
      <c r="F151" s="104" t="str">
        <f t="shared" si="6"/>
        <v>2011-12</v>
      </c>
      <c r="H151" s="115"/>
      <c r="I151" s="26"/>
      <c r="J151" s="98">
        <f t="shared" si="7"/>
        <v>0.71056941388834605</v>
      </c>
      <c r="K151" s="36"/>
      <c r="L151" s="26">
        <v>8.7747379448</v>
      </c>
      <c r="M151" s="26" t="s">
        <v>206</v>
      </c>
      <c r="N151" s="26">
        <v>4137.5668292682922</v>
      </c>
      <c r="O151" s="93">
        <f t="shared" si="8"/>
        <v>36306.064655926304</v>
      </c>
      <c r="P151" s="95">
        <f t="shared" si="9"/>
        <v>3000.351339077959</v>
      </c>
      <c r="Q151" s="196">
        <v>0.11630179749378837</v>
      </c>
    </row>
    <row r="152" spans="1:17" x14ac:dyDescent="0.25">
      <c r="A152" s="243">
        <v>40835</v>
      </c>
      <c r="B152" s="243" t="s">
        <v>183</v>
      </c>
      <c r="C152" s="198" t="s">
        <v>672</v>
      </c>
      <c r="D152" s="111" t="s">
        <v>673</v>
      </c>
      <c r="E152" s="33">
        <f t="shared" si="10"/>
        <v>40835</v>
      </c>
      <c r="F152" s="104" t="str">
        <f t="shared" ref="F152:F215" si="11">IF(E152="","-",IF(OR(E152&lt;$E$15,E152&gt;$E$16),"ERROR - date outside of range",IF(MONTH(E152)&gt;=7,YEAR(E152)&amp;"-"&amp;IF(YEAR(E152)=1999,"00",IF(AND(YEAR(E152)&gt;=2000,YEAR(E152)&lt;2009),"0","")&amp;RIGHT(YEAR(E152),2)+1),RIGHT(YEAR(E152),4)-1&amp;"-"&amp;RIGHT(YEAR(E152),2))))</f>
        <v>2011-12</v>
      </c>
      <c r="H152" s="115"/>
      <c r="I152" s="26"/>
      <c r="J152" s="98">
        <f t="shared" ref="J152:J215" si="12">J151</f>
        <v>0.71056941388834605</v>
      </c>
      <c r="K152" s="36"/>
      <c r="L152" s="26">
        <v>10.5062671773</v>
      </c>
      <c r="M152" s="26" t="s">
        <v>206</v>
      </c>
      <c r="N152" s="26">
        <v>4137.5668292682922</v>
      </c>
      <c r="O152" s="93">
        <f t="shared" ref="O152:O215" si="13">IF(N152="","-",L152*N152)</f>
        <v>43470.382572226692</v>
      </c>
      <c r="P152" s="95">
        <f t="shared" ref="P152:P215" si="14">IF(O152="-","-",IF(OR(E152&lt;$E$15,E152&gt;$E$16),0,O152*J152))*Q152</f>
        <v>3592.4141544082713</v>
      </c>
      <c r="Q152" s="196">
        <v>0.11630179749378837</v>
      </c>
    </row>
    <row r="153" spans="1:17" x14ac:dyDescent="0.25">
      <c r="A153" s="243">
        <v>41078</v>
      </c>
      <c r="B153" s="243" t="s">
        <v>183</v>
      </c>
      <c r="C153" s="198"/>
      <c r="D153" s="111" t="s">
        <v>674</v>
      </c>
      <c r="E153" s="33">
        <f t="shared" si="10"/>
        <v>41078</v>
      </c>
      <c r="F153" s="104" t="str">
        <f t="shared" si="11"/>
        <v>2011-12</v>
      </c>
      <c r="H153" s="115"/>
      <c r="I153" s="26"/>
      <c r="J153" s="98">
        <f t="shared" si="12"/>
        <v>0.71056941388834605</v>
      </c>
      <c r="K153" s="36"/>
      <c r="L153" s="26">
        <v>1.83142840428</v>
      </c>
      <c r="M153" s="26" t="s">
        <v>206</v>
      </c>
      <c r="N153" s="26">
        <v>1162.6195121951216</v>
      </c>
      <c r="O153" s="93">
        <f t="shared" si="13"/>
        <v>2129.2543980043038</v>
      </c>
      <c r="P153" s="95">
        <f t="shared" si="14"/>
        <v>1512.9830496091013</v>
      </c>
      <c r="Q153" s="196">
        <v>1</v>
      </c>
    </row>
    <row r="154" spans="1:17" x14ac:dyDescent="0.25">
      <c r="A154" s="243">
        <v>41166</v>
      </c>
      <c r="B154" s="243" t="s">
        <v>183</v>
      </c>
      <c r="C154" s="198" t="s">
        <v>675</v>
      </c>
      <c r="D154" s="111" t="s">
        <v>676</v>
      </c>
      <c r="E154" s="33">
        <f t="shared" si="10"/>
        <v>41166</v>
      </c>
      <c r="F154" s="104" t="str">
        <f t="shared" si="11"/>
        <v>2012-13</v>
      </c>
      <c r="H154" s="115"/>
      <c r="I154" s="26"/>
      <c r="J154" s="98">
        <f t="shared" si="12"/>
        <v>0.71056941388834605</v>
      </c>
      <c r="K154" s="36"/>
      <c r="L154" s="26">
        <v>84.189351684200005</v>
      </c>
      <c r="M154" s="26" t="s">
        <v>206</v>
      </c>
      <c r="N154" s="26">
        <v>4137.5673744390242</v>
      </c>
      <c r="O154" s="93">
        <f t="shared" si="13"/>
        <v>348339.11480371904</v>
      </c>
      <c r="P154" s="95">
        <f t="shared" si="14"/>
        <v>239563.40282103835</v>
      </c>
      <c r="Q154" s="196">
        <v>0.96785816869888719</v>
      </c>
    </row>
    <row r="155" spans="1:17" x14ac:dyDescent="0.25">
      <c r="A155" s="243">
        <v>41166</v>
      </c>
      <c r="B155" s="243" t="s">
        <v>183</v>
      </c>
      <c r="C155" s="198" t="s">
        <v>675</v>
      </c>
      <c r="D155" s="111" t="s">
        <v>676</v>
      </c>
      <c r="E155" s="33">
        <f t="shared" si="10"/>
        <v>41166</v>
      </c>
      <c r="F155" s="104" t="str">
        <f t="shared" si="11"/>
        <v>2012-13</v>
      </c>
      <c r="H155" s="115"/>
      <c r="I155" s="26"/>
      <c r="J155" s="98">
        <f t="shared" si="12"/>
        <v>0.71056941388834605</v>
      </c>
      <c r="K155" s="36"/>
      <c r="L155" s="26">
        <v>7.9978097001600004</v>
      </c>
      <c r="M155" s="26" t="s">
        <v>206</v>
      </c>
      <c r="N155" s="26">
        <v>1361.4565853658535</v>
      </c>
      <c r="O155" s="93">
        <f t="shared" si="13"/>
        <v>10888.670684785735</v>
      </c>
      <c r="P155" s="95">
        <f t="shared" si="14"/>
        <v>7488.469972471511</v>
      </c>
      <c r="Q155" s="196">
        <v>0.96785816869888719</v>
      </c>
    </row>
    <row r="156" spans="1:17" x14ac:dyDescent="0.25">
      <c r="A156" s="243">
        <v>41166</v>
      </c>
      <c r="B156" s="243" t="s">
        <v>183</v>
      </c>
      <c r="C156" s="198" t="s">
        <v>675</v>
      </c>
      <c r="D156" s="111" t="s">
        <v>676</v>
      </c>
      <c r="E156" s="33">
        <f t="shared" si="10"/>
        <v>41166</v>
      </c>
      <c r="F156" s="104" t="str">
        <f t="shared" si="11"/>
        <v>2012-13</v>
      </c>
      <c r="H156" s="115"/>
      <c r="I156" s="26"/>
      <c r="J156" s="98">
        <f t="shared" si="12"/>
        <v>0.71056941388834605</v>
      </c>
      <c r="K156" s="36"/>
      <c r="L156" s="26">
        <v>154.5813158</v>
      </c>
      <c r="M156" s="26" t="s">
        <v>206</v>
      </c>
      <c r="N156" s="26">
        <v>4137.5673744390242</v>
      </c>
      <c r="O156" s="93">
        <f t="shared" si="13"/>
        <v>639590.60895193566</v>
      </c>
      <c r="P156" s="95">
        <f t="shared" si="14"/>
        <v>439865.91278801142</v>
      </c>
      <c r="Q156" s="196">
        <v>0.96785816869888719</v>
      </c>
    </row>
    <row r="157" spans="1:17" x14ac:dyDescent="0.25">
      <c r="A157" s="243">
        <v>41166</v>
      </c>
      <c r="B157" s="243" t="s">
        <v>183</v>
      </c>
      <c r="C157" s="198" t="s">
        <v>675</v>
      </c>
      <c r="D157" s="111" t="s">
        <v>676</v>
      </c>
      <c r="E157" s="33">
        <f t="shared" si="10"/>
        <v>41166</v>
      </c>
      <c r="F157" s="104" t="str">
        <f t="shared" si="11"/>
        <v>2012-13</v>
      </c>
      <c r="H157" s="115"/>
      <c r="I157" s="26"/>
      <c r="J157" s="98">
        <f t="shared" si="12"/>
        <v>0.71056941388834605</v>
      </c>
      <c r="K157" s="36"/>
      <c r="L157" s="26">
        <v>87.918913875200005</v>
      </c>
      <c r="M157" s="26" t="s">
        <v>206</v>
      </c>
      <c r="N157" s="26">
        <v>4137.5673744390242</v>
      </c>
      <c r="O157" s="93">
        <f t="shared" si="13"/>
        <v>363770.429646142</v>
      </c>
      <c r="P157" s="95">
        <f t="shared" si="14"/>
        <v>250175.98733006394</v>
      </c>
      <c r="Q157" s="196">
        <v>0.96785816869888719</v>
      </c>
    </row>
    <row r="158" spans="1:17" x14ac:dyDescent="0.25">
      <c r="A158" s="243">
        <v>41281</v>
      </c>
      <c r="B158" s="243" t="s">
        <v>183</v>
      </c>
      <c r="C158" s="198" t="s">
        <v>677</v>
      </c>
      <c r="D158" s="111" t="s">
        <v>678</v>
      </c>
      <c r="E158" s="33">
        <f t="shared" si="10"/>
        <v>41281</v>
      </c>
      <c r="F158" s="104" t="str">
        <f t="shared" si="11"/>
        <v>2012-13</v>
      </c>
      <c r="H158" s="115"/>
      <c r="I158" s="26"/>
      <c r="J158" s="98">
        <f t="shared" si="12"/>
        <v>0.71056941388834605</v>
      </c>
      <c r="K158" s="36"/>
      <c r="L158" s="26">
        <v>108.812095688</v>
      </c>
      <c r="M158" s="26" t="s">
        <v>206</v>
      </c>
      <c r="N158" s="26">
        <v>3875.3912195121943</v>
      </c>
      <c r="O158" s="93">
        <f t="shared" si="13"/>
        <v>421689.44020599592</v>
      </c>
      <c r="P158" s="95">
        <f t="shared" si="14"/>
        <v>205714.64762261944</v>
      </c>
      <c r="Q158" s="196">
        <v>0.68654021367943785</v>
      </c>
    </row>
    <row r="159" spans="1:17" x14ac:dyDescent="0.25">
      <c r="A159" s="243">
        <v>41281</v>
      </c>
      <c r="B159" s="243" t="s">
        <v>183</v>
      </c>
      <c r="C159" s="198" t="s">
        <v>677</v>
      </c>
      <c r="D159" s="111" t="s">
        <v>678</v>
      </c>
      <c r="E159" s="33">
        <f t="shared" si="10"/>
        <v>41281</v>
      </c>
      <c r="F159" s="104" t="str">
        <f t="shared" si="11"/>
        <v>2012-13</v>
      </c>
      <c r="H159" s="115"/>
      <c r="I159" s="26"/>
      <c r="J159" s="98">
        <f t="shared" si="12"/>
        <v>0.71056941388834605</v>
      </c>
      <c r="K159" s="36"/>
      <c r="L159" s="26">
        <v>24.0546052971</v>
      </c>
      <c r="M159" s="26" t="s">
        <v>206</v>
      </c>
      <c r="N159" s="26">
        <v>950.87219512195099</v>
      </c>
      <c r="O159" s="93">
        <f t="shared" si="13"/>
        <v>22872.855341645587</v>
      </c>
      <c r="P159" s="95">
        <f t="shared" si="14"/>
        <v>11158.167428691677</v>
      </c>
      <c r="Q159" s="196">
        <v>0.68654021367943785</v>
      </c>
    </row>
    <row r="160" spans="1:17" x14ac:dyDescent="0.25">
      <c r="A160" s="243">
        <v>41281</v>
      </c>
      <c r="B160" s="243" t="s">
        <v>183</v>
      </c>
      <c r="C160" s="198" t="s">
        <v>677</v>
      </c>
      <c r="D160" s="111" t="s">
        <v>678</v>
      </c>
      <c r="E160" s="33">
        <f t="shared" si="10"/>
        <v>41281</v>
      </c>
      <c r="F160" s="104" t="str">
        <f t="shared" si="11"/>
        <v>2012-13</v>
      </c>
      <c r="H160" s="115"/>
      <c r="I160" s="26"/>
      <c r="J160" s="98">
        <f t="shared" si="12"/>
        <v>0.71056941388834605</v>
      </c>
      <c r="K160" s="36"/>
      <c r="L160" s="26">
        <v>18.765271993799999</v>
      </c>
      <c r="M160" s="26" t="s">
        <v>206</v>
      </c>
      <c r="N160" s="26">
        <v>950.87219512195099</v>
      </c>
      <c r="O160" s="93">
        <f t="shared" si="13"/>
        <v>17843.375372805076</v>
      </c>
      <c r="P160" s="95">
        <f t="shared" si="14"/>
        <v>8704.6136972782788</v>
      </c>
      <c r="Q160" s="196">
        <v>0.68654021367943785</v>
      </c>
    </row>
    <row r="161" spans="1:17" x14ac:dyDescent="0.25">
      <c r="A161" s="243">
        <v>41281</v>
      </c>
      <c r="B161" s="243" t="s">
        <v>183</v>
      </c>
      <c r="C161" s="198" t="s">
        <v>677</v>
      </c>
      <c r="D161" s="111" t="s">
        <v>678</v>
      </c>
      <c r="E161" s="33">
        <f t="shared" si="10"/>
        <v>41281</v>
      </c>
      <c r="F161" s="104" t="str">
        <f t="shared" si="11"/>
        <v>2012-13</v>
      </c>
      <c r="H161" s="115"/>
      <c r="I161" s="26"/>
      <c r="J161" s="98">
        <f t="shared" si="12"/>
        <v>0.71056941388834605</v>
      </c>
      <c r="K161" s="36"/>
      <c r="L161" s="26">
        <v>4.4791145274500002</v>
      </c>
      <c r="M161" s="26" t="s">
        <v>206</v>
      </c>
      <c r="N161" s="26">
        <v>950.87219512195099</v>
      </c>
      <c r="O161" s="93">
        <f t="shared" si="13"/>
        <v>4259.0654629190021</v>
      </c>
      <c r="P161" s="95">
        <f t="shared" si="14"/>
        <v>2077.7189736552318</v>
      </c>
      <c r="Q161" s="196">
        <v>0.68654021367943785</v>
      </c>
    </row>
    <row r="162" spans="1:17" x14ac:dyDescent="0.25">
      <c r="A162" s="243">
        <v>41281</v>
      </c>
      <c r="B162" s="243" t="s">
        <v>183</v>
      </c>
      <c r="C162" s="198" t="s">
        <v>677</v>
      </c>
      <c r="D162" s="111" t="s">
        <v>678</v>
      </c>
      <c r="E162" s="33">
        <f t="shared" si="10"/>
        <v>41281</v>
      </c>
      <c r="F162" s="104" t="str">
        <f t="shared" si="11"/>
        <v>2012-13</v>
      </c>
      <c r="H162" s="115"/>
      <c r="I162" s="26"/>
      <c r="J162" s="98">
        <f t="shared" si="12"/>
        <v>0.71056941388834605</v>
      </c>
      <c r="K162" s="36"/>
      <c r="L162" s="26">
        <v>59.978766251099998</v>
      </c>
      <c r="M162" s="26" t="s">
        <v>206</v>
      </c>
      <c r="N162" s="26">
        <v>950.87219512195099</v>
      </c>
      <c r="O162" s="93">
        <f t="shared" si="13"/>
        <v>57032.141125889844</v>
      </c>
      <c r="P162" s="95">
        <f t="shared" si="14"/>
        <v>27822.244752310282</v>
      </c>
      <c r="Q162" s="196">
        <v>0.68654021367943785</v>
      </c>
    </row>
    <row r="163" spans="1:17" x14ac:dyDescent="0.25">
      <c r="A163" s="243">
        <v>41281</v>
      </c>
      <c r="B163" s="243" t="s">
        <v>183</v>
      </c>
      <c r="C163" s="198" t="s">
        <v>677</v>
      </c>
      <c r="D163" s="111" t="s">
        <v>678</v>
      </c>
      <c r="E163" s="33">
        <f t="shared" si="10"/>
        <v>41281</v>
      </c>
      <c r="F163" s="104" t="str">
        <f t="shared" si="11"/>
        <v>2012-13</v>
      </c>
      <c r="H163" s="115"/>
      <c r="I163" s="26"/>
      <c r="J163" s="98">
        <f t="shared" si="12"/>
        <v>0.71056941388834605</v>
      </c>
      <c r="K163" s="36"/>
      <c r="L163" s="26">
        <v>1.9888735505299999</v>
      </c>
      <c r="M163" s="26" t="s">
        <v>206</v>
      </c>
      <c r="N163" s="26">
        <v>950.87219512195099</v>
      </c>
      <c r="O163" s="93">
        <f t="shared" si="13"/>
        <v>1891.1645588124495</v>
      </c>
      <c r="P163" s="95">
        <f t="shared" si="14"/>
        <v>922.57527393250075</v>
      </c>
      <c r="Q163" s="196">
        <v>0.68654021367943785</v>
      </c>
    </row>
    <row r="164" spans="1:17" x14ac:dyDescent="0.25">
      <c r="A164" s="243">
        <v>41281</v>
      </c>
      <c r="B164" s="243" t="s">
        <v>183</v>
      </c>
      <c r="C164" s="198" t="s">
        <v>677</v>
      </c>
      <c r="D164" s="111" t="s">
        <v>678</v>
      </c>
      <c r="E164" s="33">
        <f t="shared" si="10"/>
        <v>41281</v>
      </c>
      <c r="F164" s="104" t="str">
        <f t="shared" si="11"/>
        <v>2012-13</v>
      </c>
      <c r="H164" s="115"/>
      <c r="I164" s="26"/>
      <c r="J164" s="98">
        <f t="shared" si="12"/>
        <v>0.71056941388834605</v>
      </c>
      <c r="K164" s="36"/>
      <c r="L164" s="26">
        <v>51.495682323899999</v>
      </c>
      <c r="M164" s="26" t="s">
        <v>206</v>
      </c>
      <c r="N164" s="26">
        <v>950.87219512195099</v>
      </c>
      <c r="O164" s="93">
        <f t="shared" si="13"/>
        <v>48965.81249062944</v>
      </c>
      <c r="P164" s="95">
        <f t="shared" si="14"/>
        <v>23887.211539241827</v>
      </c>
      <c r="Q164" s="196">
        <v>0.68654021367943785</v>
      </c>
    </row>
    <row r="165" spans="1:17" x14ac:dyDescent="0.25">
      <c r="A165" s="243">
        <v>41281</v>
      </c>
      <c r="B165" s="243" t="s">
        <v>183</v>
      </c>
      <c r="C165" s="198" t="s">
        <v>677</v>
      </c>
      <c r="D165" s="111" t="s">
        <v>678</v>
      </c>
      <c r="E165" s="33">
        <f t="shared" si="10"/>
        <v>41281</v>
      </c>
      <c r="F165" s="104" t="str">
        <f t="shared" si="11"/>
        <v>2012-13</v>
      </c>
      <c r="H165" s="115"/>
      <c r="I165" s="26"/>
      <c r="J165" s="98">
        <f t="shared" si="12"/>
        <v>0.71056941388834605</v>
      </c>
      <c r="K165" s="36"/>
      <c r="L165" s="26">
        <v>23.5242348441</v>
      </c>
      <c r="M165" s="26" t="s">
        <v>206</v>
      </c>
      <c r="N165" s="26">
        <v>950.87219512195099</v>
      </c>
      <c r="O165" s="93">
        <f t="shared" si="13"/>
        <v>22368.540824773652</v>
      </c>
      <c r="P165" s="95">
        <f t="shared" si="14"/>
        <v>10912.145419986404</v>
      </c>
      <c r="Q165" s="196">
        <v>0.68654021367943785</v>
      </c>
    </row>
    <row r="166" spans="1:17" x14ac:dyDescent="0.25">
      <c r="A166" s="243">
        <v>41281</v>
      </c>
      <c r="B166" s="243" t="s">
        <v>183</v>
      </c>
      <c r="C166" s="198" t="s">
        <v>677</v>
      </c>
      <c r="D166" s="111" t="s">
        <v>678</v>
      </c>
      <c r="E166" s="33">
        <f t="shared" si="10"/>
        <v>41281</v>
      </c>
      <c r="F166" s="104" t="str">
        <f t="shared" si="11"/>
        <v>2012-13</v>
      </c>
      <c r="H166" s="115"/>
      <c r="I166" s="26"/>
      <c r="J166" s="98">
        <f t="shared" si="12"/>
        <v>0.71056941388834605</v>
      </c>
      <c r="K166" s="36"/>
      <c r="L166" s="26">
        <v>17.345438881700002</v>
      </c>
      <c r="M166" s="26" t="s">
        <v>206</v>
      </c>
      <c r="N166" s="26">
        <v>950.87219512195099</v>
      </c>
      <c r="O166" s="93">
        <f t="shared" si="13"/>
        <v>16493.295544795721</v>
      </c>
      <c r="P166" s="95">
        <f t="shared" si="14"/>
        <v>8045.9982101423457</v>
      </c>
      <c r="Q166" s="196">
        <v>0.68654021367943785</v>
      </c>
    </row>
    <row r="167" spans="1:17" x14ac:dyDescent="0.25">
      <c r="A167" s="243">
        <v>41281</v>
      </c>
      <c r="B167" s="243" t="s">
        <v>183</v>
      </c>
      <c r="C167" s="198" t="s">
        <v>677</v>
      </c>
      <c r="D167" s="111" t="s">
        <v>678</v>
      </c>
      <c r="E167" s="33">
        <f t="shared" ref="E167:E230" si="15">A167</f>
        <v>41281</v>
      </c>
      <c r="F167" s="104" t="str">
        <f t="shared" si="11"/>
        <v>2012-13</v>
      </c>
      <c r="H167" s="115"/>
      <c r="I167" s="26"/>
      <c r="J167" s="98">
        <f t="shared" si="12"/>
        <v>0.71056941388834605</v>
      </c>
      <c r="K167" s="36"/>
      <c r="L167" s="26">
        <v>18.2260171458</v>
      </c>
      <c r="M167" s="26" t="s">
        <v>206</v>
      </c>
      <c r="N167" s="26">
        <v>950.87219512195099</v>
      </c>
      <c r="O167" s="93">
        <f t="shared" si="13"/>
        <v>17330.612931757161</v>
      </c>
      <c r="P167" s="95">
        <f t="shared" si="14"/>
        <v>8454.4704998988109</v>
      </c>
      <c r="Q167" s="196">
        <v>0.68654021367943785</v>
      </c>
    </row>
    <row r="168" spans="1:17" x14ac:dyDescent="0.25">
      <c r="A168" s="243">
        <v>41281</v>
      </c>
      <c r="B168" s="243" t="s">
        <v>183</v>
      </c>
      <c r="C168" s="198" t="s">
        <v>677</v>
      </c>
      <c r="D168" s="111" t="s">
        <v>678</v>
      </c>
      <c r="E168" s="33">
        <f t="shared" si="15"/>
        <v>41281</v>
      </c>
      <c r="F168" s="104" t="str">
        <f t="shared" si="11"/>
        <v>2012-13</v>
      </c>
      <c r="H168" s="115"/>
      <c r="I168" s="26"/>
      <c r="J168" s="98">
        <f t="shared" si="12"/>
        <v>0.71056941388834605</v>
      </c>
      <c r="K168" s="36"/>
      <c r="L168" s="26">
        <v>12.1468634142</v>
      </c>
      <c r="M168" s="26" t="s">
        <v>206</v>
      </c>
      <c r="N168" s="26">
        <v>3592.3639024390236</v>
      </c>
      <c r="O168" s="93">
        <f t="shared" si="13"/>
        <v>43635.953657029313</v>
      </c>
      <c r="P168" s="95">
        <f t="shared" si="14"/>
        <v>21287.122641362981</v>
      </c>
      <c r="Q168" s="196">
        <v>0.68654021367943785</v>
      </c>
    </row>
    <row r="169" spans="1:17" x14ac:dyDescent="0.25">
      <c r="A169" s="243">
        <v>41281</v>
      </c>
      <c r="B169" s="243" t="s">
        <v>183</v>
      </c>
      <c r="C169" s="198" t="s">
        <v>677</v>
      </c>
      <c r="D169" s="111" t="s">
        <v>678</v>
      </c>
      <c r="E169" s="33">
        <f t="shared" si="15"/>
        <v>41281</v>
      </c>
      <c r="F169" s="104" t="str">
        <f t="shared" si="11"/>
        <v>2012-13</v>
      </c>
      <c r="H169" s="115"/>
      <c r="I169" s="26"/>
      <c r="J169" s="98">
        <f t="shared" si="12"/>
        <v>0.71056941388834605</v>
      </c>
      <c r="K169" s="36"/>
      <c r="L169" s="26">
        <v>28.173649479600002</v>
      </c>
      <c r="M169" s="26" t="s">
        <v>206</v>
      </c>
      <c r="N169" s="26">
        <v>950.87219512195099</v>
      </c>
      <c r="O169" s="93">
        <f t="shared" si="13"/>
        <v>26789.539925263667</v>
      </c>
      <c r="P169" s="95">
        <f t="shared" si="14"/>
        <v>13068.861205074469</v>
      </c>
      <c r="Q169" s="196">
        <v>0.68654021367943785</v>
      </c>
    </row>
    <row r="170" spans="1:17" x14ac:dyDescent="0.25">
      <c r="A170" s="243">
        <v>41281</v>
      </c>
      <c r="B170" s="243" t="s">
        <v>183</v>
      </c>
      <c r="C170" s="198" t="s">
        <v>677</v>
      </c>
      <c r="D170" s="111" t="s">
        <v>678</v>
      </c>
      <c r="E170" s="33">
        <f t="shared" si="15"/>
        <v>41281</v>
      </c>
      <c r="F170" s="104" t="str">
        <f t="shared" si="11"/>
        <v>2012-13</v>
      </c>
      <c r="H170" s="115"/>
      <c r="I170" s="26"/>
      <c r="J170" s="98">
        <f t="shared" si="12"/>
        <v>0.71056941388834605</v>
      </c>
      <c r="K170" s="36"/>
      <c r="L170" s="26">
        <v>18.4363863415</v>
      </c>
      <c r="M170" s="26" t="s">
        <v>206</v>
      </c>
      <c r="N170" s="26">
        <v>3592.3639024390236</v>
      </c>
      <c r="O170" s="93">
        <f t="shared" si="13"/>
        <v>66230.208784624454</v>
      </c>
      <c r="P170" s="95">
        <f t="shared" si="14"/>
        <v>32309.37928027302</v>
      </c>
      <c r="Q170" s="196">
        <v>0.68654021367943785</v>
      </c>
    </row>
    <row r="171" spans="1:17" x14ac:dyDescent="0.25">
      <c r="A171" s="243">
        <v>41281</v>
      </c>
      <c r="B171" s="243" t="s">
        <v>183</v>
      </c>
      <c r="C171" s="198" t="s">
        <v>677</v>
      </c>
      <c r="D171" s="111" t="s">
        <v>678</v>
      </c>
      <c r="E171" s="33">
        <f t="shared" si="15"/>
        <v>41281</v>
      </c>
      <c r="F171" s="104" t="str">
        <f t="shared" si="11"/>
        <v>2012-13</v>
      </c>
      <c r="H171" s="115"/>
      <c r="I171" s="26"/>
      <c r="J171" s="98">
        <f t="shared" si="12"/>
        <v>0.71056941388834605</v>
      </c>
      <c r="K171" s="36"/>
      <c r="L171" s="26">
        <v>34.321750101100001</v>
      </c>
      <c r="M171" s="26" t="s">
        <v>206</v>
      </c>
      <c r="N171" s="26">
        <v>950.87219512195099</v>
      </c>
      <c r="O171" s="93">
        <f t="shared" si="13"/>
        <v>32635.597859060003</v>
      </c>
      <c r="P171" s="95">
        <f t="shared" si="14"/>
        <v>15920.769821151858</v>
      </c>
      <c r="Q171" s="196">
        <v>0.68654021367943785</v>
      </c>
    </row>
    <row r="172" spans="1:17" x14ac:dyDescent="0.25">
      <c r="A172" s="243">
        <v>41281</v>
      </c>
      <c r="B172" s="243" t="s">
        <v>183</v>
      </c>
      <c r="C172" s="198" t="s">
        <v>677</v>
      </c>
      <c r="D172" s="111" t="s">
        <v>678</v>
      </c>
      <c r="E172" s="33">
        <f t="shared" si="15"/>
        <v>41281</v>
      </c>
      <c r="F172" s="104" t="str">
        <f t="shared" si="11"/>
        <v>2012-13</v>
      </c>
      <c r="H172" s="115"/>
      <c r="I172" s="26"/>
      <c r="J172" s="98">
        <f t="shared" si="12"/>
        <v>0.71056941388834605</v>
      </c>
      <c r="K172" s="36"/>
      <c r="L172" s="26">
        <v>55.646548199100003</v>
      </c>
      <c r="M172" s="26" t="s">
        <v>206</v>
      </c>
      <c r="N172" s="26">
        <v>812.22926829268283</v>
      </c>
      <c r="O172" s="93">
        <f t="shared" si="13"/>
        <v>45197.755126768505</v>
      </c>
      <c r="P172" s="95">
        <f t="shared" si="14"/>
        <v>22049.023244913638</v>
      </c>
      <c r="Q172" s="196">
        <v>0.68654021367943785</v>
      </c>
    </row>
    <row r="173" spans="1:17" x14ac:dyDescent="0.25">
      <c r="A173" s="243">
        <v>41281</v>
      </c>
      <c r="B173" s="243" t="s">
        <v>183</v>
      </c>
      <c r="C173" s="198" t="s">
        <v>677</v>
      </c>
      <c r="D173" s="111" t="s">
        <v>678</v>
      </c>
      <c r="E173" s="33">
        <f t="shared" si="15"/>
        <v>41281</v>
      </c>
      <c r="F173" s="104" t="str">
        <f t="shared" si="11"/>
        <v>2012-13</v>
      </c>
      <c r="H173" s="115"/>
      <c r="I173" s="26"/>
      <c r="J173" s="98">
        <f t="shared" si="12"/>
        <v>0.71056941388834605</v>
      </c>
      <c r="K173" s="36"/>
      <c r="L173" s="26">
        <v>12.342794924</v>
      </c>
      <c r="M173" s="26" t="s">
        <v>206</v>
      </c>
      <c r="N173" s="26">
        <v>3336.4019512195118</v>
      </c>
      <c r="O173" s="93">
        <f t="shared" si="13"/>
        <v>41180.525067935887</v>
      </c>
      <c r="P173" s="95">
        <f t="shared" si="14"/>
        <v>20089.279919190216</v>
      </c>
      <c r="Q173" s="196">
        <v>0.68654021367943785</v>
      </c>
    </row>
    <row r="174" spans="1:17" x14ac:dyDescent="0.25">
      <c r="A174" s="243">
        <v>41281</v>
      </c>
      <c r="B174" s="243" t="s">
        <v>183</v>
      </c>
      <c r="C174" s="198" t="s">
        <v>677</v>
      </c>
      <c r="D174" s="111" t="s">
        <v>678</v>
      </c>
      <c r="E174" s="33">
        <f t="shared" si="15"/>
        <v>41281</v>
      </c>
      <c r="F174" s="104" t="str">
        <f t="shared" si="11"/>
        <v>2012-13</v>
      </c>
      <c r="H174" s="115"/>
      <c r="I174" s="26"/>
      <c r="J174" s="98">
        <f t="shared" si="12"/>
        <v>0.71056941388834605</v>
      </c>
      <c r="K174" s="36"/>
      <c r="L174" s="26">
        <v>86.868713827199997</v>
      </c>
      <c r="M174" s="26" t="s">
        <v>206</v>
      </c>
      <c r="N174" s="26">
        <v>1162.6195121951216</v>
      </c>
      <c r="O174" s="93">
        <f t="shared" si="13"/>
        <v>100995.26169479688</v>
      </c>
      <c r="P174" s="95">
        <f t="shared" si="14"/>
        <v>49268.970693100986</v>
      </c>
      <c r="Q174" s="196">
        <v>0.68654021367943785</v>
      </c>
    </row>
    <row r="175" spans="1:17" x14ac:dyDescent="0.25">
      <c r="A175" s="243">
        <v>41281</v>
      </c>
      <c r="B175" s="243" t="s">
        <v>183</v>
      </c>
      <c r="C175" s="198" t="s">
        <v>677</v>
      </c>
      <c r="D175" s="111" t="s">
        <v>678</v>
      </c>
      <c r="E175" s="33">
        <f t="shared" si="15"/>
        <v>41281</v>
      </c>
      <c r="F175" s="104" t="str">
        <f t="shared" si="11"/>
        <v>2012-13</v>
      </c>
      <c r="H175" s="115"/>
      <c r="I175" s="26"/>
      <c r="J175" s="98">
        <f t="shared" si="12"/>
        <v>0.71056941388834605</v>
      </c>
      <c r="K175" s="36"/>
      <c r="L175" s="26">
        <v>63.893281587300002</v>
      </c>
      <c r="M175" s="26" t="s">
        <v>206</v>
      </c>
      <c r="N175" s="26">
        <v>3875.3912195121943</v>
      </c>
      <c r="O175" s="93">
        <f t="shared" si="13"/>
        <v>247611.46244924259</v>
      </c>
      <c r="P175" s="95">
        <f t="shared" si="14"/>
        <v>120793.40834379077</v>
      </c>
      <c r="Q175" s="196">
        <v>0.68654021367943785</v>
      </c>
    </row>
    <row r="176" spans="1:17" x14ac:dyDescent="0.25">
      <c r="A176" s="243">
        <v>41281</v>
      </c>
      <c r="B176" s="243" t="s">
        <v>183</v>
      </c>
      <c r="C176" s="198" t="s">
        <v>677</v>
      </c>
      <c r="D176" s="111" t="s">
        <v>678</v>
      </c>
      <c r="E176" s="33">
        <f t="shared" si="15"/>
        <v>41281</v>
      </c>
      <c r="F176" s="104" t="str">
        <f t="shared" si="11"/>
        <v>2012-13</v>
      </c>
      <c r="H176" s="115"/>
      <c r="I176" s="26"/>
      <c r="J176" s="98">
        <f t="shared" si="12"/>
        <v>0.71056941388834605</v>
      </c>
      <c r="K176" s="36"/>
      <c r="L176" s="26">
        <v>39.696745886800002</v>
      </c>
      <c r="M176" s="26" t="s">
        <v>206</v>
      </c>
      <c r="N176" s="26">
        <v>3875.3912195121943</v>
      </c>
      <c r="O176" s="93">
        <f t="shared" si="13"/>
        <v>153840.42045291155</v>
      </c>
      <c r="P176" s="95">
        <f t="shared" si="14"/>
        <v>75048.661090793728</v>
      </c>
      <c r="Q176" s="196">
        <v>0.68654021367943785</v>
      </c>
    </row>
    <row r="177" spans="1:17" x14ac:dyDescent="0.25">
      <c r="A177" s="243">
        <v>41281</v>
      </c>
      <c r="B177" s="243" t="s">
        <v>183</v>
      </c>
      <c r="C177" s="198" t="s">
        <v>677</v>
      </c>
      <c r="D177" s="111" t="s">
        <v>678</v>
      </c>
      <c r="E177" s="33">
        <f t="shared" si="15"/>
        <v>41281</v>
      </c>
      <c r="F177" s="104" t="str">
        <f t="shared" si="11"/>
        <v>2012-13</v>
      </c>
      <c r="H177" s="115"/>
      <c r="I177" s="26"/>
      <c r="J177" s="98">
        <f t="shared" si="12"/>
        <v>0.71056941388834605</v>
      </c>
      <c r="K177" s="36"/>
      <c r="L177" s="26">
        <v>23.061132354600002</v>
      </c>
      <c r="M177" s="26" t="s">
        <v>206</v>
      </c>
      <c r="N177" s="26">
        <v>3875.3912195121943</v>
      </c>
      <c r="O177" s="93">
        <f t="shared" si="13"/>
        <v>89370.909839025422</v>
      </c>
      <c r="P177" s="95">
        <f t="shared" si="14"/>
        <v>43598.211082229027</v>
      </c>
      <c r="Q177" s="196">
        <v>0.68654021367943785</v>
      </c>
    </row>
    <row r="178" spans="1:17" x14ac:dyDescent="0.25">
      <c r="A178" s="243">
        <v>41407</v>
      </c>
      <c r="B178" s="243" t="s">
        <v>183</v>
      </c>
      <c r="C178" s="198" t="s">
        <v>679</v>
      </c>
      <c r="D178" s="111" t="s">
        <v>592</v>
      </c>
      <c r="E178" s="33">
        <f t="shared" si="15"/>
        <v>41407</v>
      </c>
      <c r="F178" s="104" t="str">
        <f t="shared" si="11"/>
        <v>2012-13</v>
      </c>
      <c r="H178" s="115"/>
      <c r="I178" s="26"/>
      <c r="J178" s="98">
        <f t="shared" si="12"/>
        <v>0.71056941388834605</v>
      </c>
      <c r="K178" s="36"/>
      <c r="L178" s="26">
        <v>14.9282305843</v>
      </c>
      <c r="M178" s="26" t="s">
        <v>206</v>
      </c>
      <c r="N178" s="26">
        <v>812.22926829268283</v>
      </c>
      <c r="O178" s="93">
        <f t="shared" si="13"/>
        <v>12125.145804390439</v>
      </c>
      <c r="P178" s="95">
        <f t="shared" si="14"/>
        <v>5564.5277864519312</v>
      </c>
      <c r="Q178" s="196">
        <v>0.64585471754275181</v>
      </c>
    </row>
    <row r="179" spans="1:17" x14ac:dyDescent="0.25">
      <c r="A179" s="243">
        <v>41407</v>
      </c>
      <c r="B179" s="243" t="s">
        <v>183</v>
      </c>
      <c r="C179" s="198" t="s">
        <v>679</v>
      </c>
      <c r="D179" s="111" t="s">
        <v>592</v>
      </c>
      <c r="E179" s="33">
        <f t="shared" si="15"/>
        <v>41407</v>
      </c>
      <c r="F179" s="104" t="str">
        <f t="shared" si="11"/>
        <v>2012-13</v>
      </c>
      <c r="H179" s="115"/>
      <c r="I179" s="26"/>
      <c r="J179" s="98">
        <f t="shared" si="12"/>
        <v>0.71056941388834605</v>
      </c>
      <c r="K179" s="36"/>
      <c r="L179" s="26">
        <v>8.9172310222399993</v>
      </c>
      <c r="M179" s="26" t="s">
        <v>206</v>
      </c>
      <c r="N179" s="26">
        <v>812.22926829268283</v>
      </c>
      <c r="O179" s="93">
        <f t="shared" si="13"/>
        <v>7242.8360283908069</v>
      </c>
      <c r="P179" s="95">
        <f t="shared" si="14"/>
        <v>3323.9156858717806</v>
      </c>
      <c r="Q179" s="196">
        <v>0.64585471754275181</v>
      </c>
    </row>
    <row r="180" spans="1:17" x14ac:dyDescent="0.25">
      <c r="A180" s="243">
        <v>41407</v>
      </c>
      <c r="B180" s="243" t="s">
        <v>183</v>
      </c>
      <c r="C180" s="198" t="s">
        <v>679</v>
      </c>
      <c r="D180" s="111" t="s">
        <v>592</v>
      </c>
      <c r="E180" s="33">
        <f t="shared" si="15"/>
        <v>41407</v>
      </c>
      <c r="F180" s="104" t="str">
        <f t="shared" si="11"/>
        <v>2012-13</v>
      </c>
      <c r="H180" s="115"/>
      <c r="I180" s="26"/>
      <c r="J180" s="98">
        <f t="shared" si="12"/>
        <v>0.71056941388834605</v>
      </c>
      <c r="K180" s="36"/>
      <c r="L180" s="26">
        <v>44.607859943699999</v>
      </c>
      <c r="M180" s="26" t="s">
        <v>206</v>
      </c>
      <c r="N180" s="26">
        <v>3336.4019512195118</v>
      </c>
      <c r="O180" s="93">
        <f t="shared" si="13"/>
        <v>148829.75095588737</v>
      </c>
      <c r="P180" s="95">
        <f t="shared" si="14"/>
        <v>68301.635131256073</v>
      </c>
      <c r="Q180" s="196">
        <v>0.64585471754275181</v>
      </c>
    </row>
    <row r="181" spans="1:17" x14ac:dyDescent="0.25">
      <c r="A181" s="243">
        <v>41407</v>
      </c>
      <c r="B181" s="243" t="s">
        <v>183</v>
      </c>
      <c r="C181" s="198" t="s">
        <v>679</v>
      </c>
      <c r="D181" s="111" t="s">
        <v>592</v>
      </c>
      <c r="E181" s="33">
        <f t="shared" si="15"/>
        <v>41407</v>
      </c>
      <c r="F181" s="104" t="str">
        <f t="shared" si="11"/>
        <v>2012-13</v>
      </c>
      <c r="H181" s="115"/>
      <c r="I181" s="26"/>
      <c r="J181" s="98">
        <f t="shared" si="12"/>
        <v>0.71056941388834605</v>
      </c>
      <c r="K181" s="36"/>
      <c r="L181" s="26">
        <v>48.706086995299998</v>
      </c>
      <c r="M181" s="26" t="s">
        <v>206</v>
      </c>
      <c r="N181" s="26">
        <v>3336.4019512195118</v>
      </c>
      <c r="O181" s="93">
        <f t="shared" si="13"/>
        <v>162503.08368738621</v>
      </c>
      <c r="P181" s="95">
        <f t="shared" si="14"/>
        <v>74576.663996498901</v>
      </c>
      <c r="Q181" s="196">
        <v>0.64585471754275181</v>
      </c>
    </row>
    <row r="182" spans="1:17" x14ac:dyDescent="0.25">
      <c r="A182" s="243">
        <v>41407</v>
      </c>
      <c r="B182" s="243" t="s">
        <v>183</v>
      </c>
      <c r="C182" s="198" t="s">
        <v>679</v>
      </c>
      <c r="D182" s="111" t="s">
        <v>592</v>
      </c>
      <c r="E182" s="33">
        <f t="shared" si="15"/>
        <v>41407</v>
      </c>
      <c r="F182" s="104" t="str">
        <f t="shared" si="11"/>
        <v>2012-13</v>
      </c>
      <c r="H182" s="115"/>
      <c r="I182" s="26"/>
      <c r="J182" s="98">
        <f t="shared" si="12"/>
        <v>0.71056941388834605</v>
      </c>
      <c r="K182" s="36"/>
      <c r="L182" s="26">
        <v>40.437896789600003</v>
      </c>
      <c r="M182" s="26" t="s">
        <v>206</v>
      </c>
      <c r="N182" s="26">
        <v>812.22926829268283</v>
      </c>
      <c r="O182" s="93">
        <f t="shared" si="13"/>
        <v>32844.843320711836</v>
      </c>
      <c r="P182" s="95">
        <f t="shared" si="14"/>
        <v>15073.306849108792</v>
      </c>
      <c r="Q182" s="196">
        <v>0.64585471754275181</v>
      </c>
    </row>
    <row r="183" spans="1:17" x14ac:dyDescent="0.25">
      <c r="A183" s="243">
        <v>41407</v>
      </c>
      <c r="B183" s="243" t="s">
        <v>183</v>
      </c>
      <c r="C183" s="198" t="s">
        <v>679</v>
      </c>
      <c r="D183" s="111" t="s">
        <v>592</v>
      </c>
      <c r="E183" s="33">
        <f t="shared" si="15"/>
        <v>41407</v>
      </c>
      <c r="F183" s="104" t="str">
        <f t="shared" si="11"/>
        <v>2012-13</v>
      </c>
      <c r="H183" s="115"/>
      <c r="I183" s="26"/>
      <c r="J183" s="98">
        <f t="shared" si="12"/>
        <v>0.71056941388834605</v>
      </c>
      <c r="K183" s="36"/>
      <c r="L183" s="26">
        <v>18.2245616905</v>
      </c>
      <c r="M183" s="26" t="s">
        <v>206</v>
      </c>
      <c r="N183" s="26">
        <v>3336.4019512195118</v>
      </c>
      <c r="O183" s="93">
        <f t="shared" si="13"/>
        <v>60804.463184304564</v>
      </c>
      <c r="P183" s="95">
        <f t="shared" si="14"/>
        <v>27904.664437671541</v>
      </c>
      <c r="Q183" s="196">
        <v>0.64585471754275181</v>
      </c>
    </row>
    <row r="184" spans="1:17" x14ac:dyDescent="0.25">
      <c r="A184" s="243">
        <v>41407</v>
      </c>
      <c r="B184" s="243" t="s">
        <v>183</v>
      </c>
      <c r="C184" s="198" t="s">
        <v>679</v>
      </c>
      <c r="D184" s="111" t="s">
        <v>592</v>
      </c>
      <c r="E184" s="33">
        <f t="shared" si="15"/>
        <v>41407</v>
      </c>
      <c r="F184" s="104" t="str">
        <f t="shared" si="11"/>
        <v>2012-13</v>
      </c>
      <c r="H184" s="115"/>
      <c r="I184" s="26"/>
      <c r="J184" s="98">
        <f t="shared" si="12"/>
        <v>0.71056941388834605</v>
      </c>
      <c r="K184" s="36"/>
      <c r="L184" s="26">
        <v>18.192132667799999</v>
      </c>
      <c r="M184" s="26" t="s">
        <v>206</v>
      </c>
      <c r="N184" s="26">
        <v>3336.4019512195118</v>
      </c>
      <c r="O184" s="93">
        <f t="shared" si="13"/>
        <v>60696.266929692138</v>
      </c>
      <c r="P184" s="95">
        <f t="shared" si="14"/>
        <v>27855.010513925499</v>
      </c>
      <c r="Q184" s="196">
        <v>0.64585471754275181</v>
      </c>
    </row>
    <row r="185" spans="1:17" x14ac:dyDescent="0.25">
      <c r="A185" s="243">
        <v>41407</v>
      </c>
      <c r="B185" s="243" t="s">
        <v>183</v>
      </c>
      <c r="C185" s="198" t="s">
        <v>679</v>
      </c>
      <c r="D185" s="111" t="s">
        <v>592</v>
      </c>
      <c r="E185" s="33">
        <f t="shared" si="15"/>
        <v>41407</v>
      </c>
      <c r="F185" s="104" t="str">
        <f t="shared" si="11"/>
        <v>2012-13</v>
      </c>
      <c r="H185" s="115"/>
      <c r="I185" s="26"/>
      <c r="J185" s="98">
        <f t="shared" si="12"/>
        <v>0.71056941388834605</v>
      </c>
      <c r="K185" s="36"/>
      <c r="L185" s="26">
        <v>15.9249905443</v>
      </c>
      <c r="M185" s="26" t="s">
        <v>206</v>
      </c>
      <c r="N185" s="26">
        <v>3336.4019512195118</v>
      </c>
      <c r="O185" s="93">
        <f t="shared" si="13"/>
        <v>53132.169525154794</v>
      </c>
      <c r="P185" s="95">
        <f t="shared" si="14"/>
        <v>24383.660076907559</v>
      </c>
      <c r="Q185" s="196">
        <v>0.64585471754275181</v>
      </c>
    </row>
    <row r="186" spans="1:17" x14ac:dyDescent="0.25">
      <c r="A186" s="243">
        <v>41407</v>
      </c>
      <c r="B186" s="243" t="s">
        <v>183</v>
      </c>
      <c r="C186" s="198" t="s">
        <v>679</v>
      </c>
      <c r="D186" s="111" t="s">
        <v>592</v>
      </c>
      <c r="E186" s="33">
        <f t="shared" si="15"/>
        <v>41407</v>
      </c>
      <c r="F186" s="104" t="str">
        <f t="shared" si="11"/>
        <v>2012-13</v>
      </c>
      <c r="H186" s="115"/>
      <c r="I186" s="26"/>
      <c r="J186" s="98">
        <f t="shared" si="12"/>
        <v>0.71056941388834605</v>
      </c>
      <c r="K186" s="36"/>
      <c r="L186" s="26">
        <v>39.6723122215</v>
      </c>
      <c r="M186" s="26" t="s">
        <v>206</v>
      </c>
      <c r="N186" s="26">
        <v>812.22926829268283</v>
      </c>
      <c r="O186" s="93">
        <f t="shared" si="13"/>
        <v>32223.013127147802</v>
      </c>
      <c r="P186" s="95">
        <f t="shared" si="14"/>
        <v>14787.933671221812</v>
      </c>
      <c r="Q186" s="196">
        <v>0.64585471754275181</v>
      </c>
    </row>
    <row r="187" spans="1:17" x14ac:dyDescent="0.25">
      <c r="A187" s="243">
        <v>41407</v>
      </c>
      <c r="B187" s="243" t="s">
        <v>183</v>
      </c>
      <c r="C187" s="198" t="s">
        <v>679</v>
      </c>
      <c r="D187" s="111" t="s">
        <v>592</v>
      </c>
      <c r="E187" s="33">
        <f t="shared" si="15"/>
        <v>41407</v>
      </c>
      <c r="F187" s="104" t="str">
        <f t="shared" si="11"/>
        <v>2012-13</v>
      </c>
      <c r="H187" s="115"/>
      <c r="I187" s="26"/>
      <c r="J187" s="98">
        <f t="shared" si="12"/>
        <v>0.71056941388834605</v>
      </c>
      <c r="K187" s="36"/>
      <c r="L187" s="26">
        <v>13.835596756499999</v>
      </c>
      <c r="M187" s="26" t="s">
        <v>206</v>
      </c>
      <c r="N187" s="26">
        <v>812.22926829268283</v>
      </c>
      <c r="O187" s="93">
        <f t="shared" si="13"/>
        <v>11237.67662992461</v>
      </c>
      <c r="P187" s="95">
        <f t="shared" si="14"/>
        <v>5157.2463433581479</v>
      </c>
      <c r="Q187" s="196">
        <v>0.64585471754275181</v>
      </c>
    </row>
    <row r="188" spans="1:17" x14ac:dyDescent="0.25">
      <c r="A188" s="243">
        <v>41407</v>
      </c>
      <c r="B188" s="243" t="s">
        <v>183</v>
      </c>
      <c r="C188" s="198" t="s">
        <v>679</v>
      </c>
      <c r="D188" s="111" t="s">
        <v>592</v>
      </c>
      <c r="E188" s="33">
        <f t="shared" si="15"/>
        <v>41407</v>
      </c>
      <c r="F188" s="104" t="str">
        <f t="shared" si="11"/>
        <v>2012-13</v>
      </c>
      <c r="H188" s="115"/>
      <c r="I188" s="26"/>
      <c r="J188" s="98">
        <f t="shared" si="12"/>
        <v>0.71056941388834605</v>
      </c>
      <c r="K188" s="36"/>
      <c r="L188" s="26">
        <v>9.0582854463500002</v>
      </c>
      <c r="M188" s="26" t="s">
        <v>206</v>
      </c>
      <c r="N188" s="26">
        <v>812.22926829268283</v>
      </c>
      <c r="O188" s="93">
        <f t="shared" si="13"/>
        <v>7357.4045600751188</v>
      </c>
      <c r="P188" s="95">
        <f t="shared" si="14"/>
        <v>3376.4940043757538</v>
      </c>
      <c r="Q188" s="196">
        <v>0.64585471754275181</v>
      </c>
    </row>
    <row r="189" spans="1:17" x14ac:dyDescent="0.25">
      <c r="A189" s="243">
        <v>41407</v>
      </c>
      <c r="B189" s="243" t="s">
        <v>183</v>
      </c>
      <c r="C189" s="198" t="s">
        <v>679</v>
      </c>
      <c r="D189" s="111" t="s">
        <v>592</v>
      </c>
      <c r="E189" s="33">
        <f t="shared" si="15"/>
        <v>41407</v>
      </c>
      <c r="F189" s="104" t="str">
        <f t="shared" si="11"/>
        <v>2012-13</v>
      </c>
      <c r="H189" s="115"/>
      <c r="I189" s="26"/>
      <c r="J189" s="98">
        <f t="shared" si="12"/>
        <v>0.71056941388834605</v>
      </c>
      <c r="K189" s="36"/>
      <c r="L189" s="26">
        <v>15.5353599894</v>
      </c>
      <c r="M189" s="26" t="s">
        <v>206</v>
      </c>
      <c r="N189" s="26">
        <v>812.22926829268283</v>
      </c>
      <c r="O189" s="93">
        <f t="shared" si="13"/>
        <v>12618.274076853782</v>
      </c>
      <c r="P189" s="95">
        <f t="shared" si="14"/>
        <v>5790.8364856358803</v>
      </c>
      <c r="Q189" s="196">
        <v>0.64585471754275181</v>
      </c>
    </row>
    <row r="190" spans="1:17" x14ac:dyDescent="0.25">
      <c r="A190" s="243">
        <v>41407</v>
      </c>
      <c r="B190" s="243" t="s">
        <v>183</v>
      </c>
      <c r="C190" s="198" t="s">
        <v>679</v>
      </c>
      <c r="D190" s="111" t="s">
        <v>592</v>
      </c>
      <c r="E190" s="33">
        <f t="shared" si="15"/>
        <v>41407</v>
      </c>
      <c r="F190" s="104" t="str">
        <f t="shared" si="11"/>
        <v>2012-13</v>
      </c>
      <c r="H190" s="115"/>
      <c r="I190" s="26"/>
      <c r="J190" s="98">
        <f t="shared" si="12"/>
        <v>0.71056941388834605</v>
      </c>
      <c r="K190" s="36"/>
      <c r="L190" s="26">
        <v>15.995809982600001</v>
      </c>
      <c r="M190" s="26" t="s">
        <v>206</v>
      </c>
      <c r="N190" s="26">
        <v>812.22926829268283</v>
      </c>
      <c r="O190" s="93">
        <f t="shared" si="13"/>
        <v>12992.26503791599</v>
      </c>
      <c r="P190" s="95">
        <f t="shared" si="14"/>
        <v>5962.4701408748106</v>
      </c>
      <c r="Q190" s="196">
        <v>0.64585471754275181</v>
      </c>
    </row>
    <row r="191" spans="1:17" x14ac:dyDescent="0.25">
      <c r="A191" s="243">
        <v>41407</v>
      </c>
      <c r="B191" s="243" t="s">
        <v>183</v>
      </c>
      <c r="C191" s="198" t="s">
        <v>679</v>
      </c>
      <c r="D191" s="111" t="s">
        <v>592</v>
      </c>
      <c r="E191" s="33">
        <f t="shared" si="15"/>
        <v>41407</v>
      </c>
      <c r="F191" s="104" t="str">
        <f t="shared" si="11"/>
        <v>2012-13</v>
      </c>
      <c r="H191" s="115"/>
      <c r="I191" s="26"/>
      <c r="J191" s="98">
        <f t="shared" si="12"/>
        <v>0.71056941388834605</v>
      </c>
      <c r="K191" s="36"/>
      <c r="L191" s="26">
        <v>18.0954537675</v>
      </c>
      <c r="M191" s="26" t="s">
        <v>206</v>
      </c>
      <c r="N191" s="26">
        <v>812.22926829268283</v>
      </c>
      <c r="O191" s="93">
        <f t="shared" si="13"/>
        <v>14697.657173000596</v>
      </c>
      <c r="P191" s="95">
        <f t="shared" si="14"/>
        <v>6745.1165581276837</v>
      </c>
      <c r="Q191" s="196">
        <v>0.64585471754275181</v>
      </c>
    </row>
    <row r="192" spans="1:17" x14ac:dyDescent="0.25">
      <c r="A192" s="243">
        <v>41407</v>
      </c>
      <c r="B192" s="243" t="s">
        <v>183</v>
      </c>
      <c r="C192" s="198" t="s">
        <v>679</v>
      </c>
      <c r="D192" s="111" t="s">
        <v>592</v>
      </c>
      <c r="E192" s="33">
        <f t="shared" si="15"/>
        <v>41407</v>
      </c>
      <c r="F192" s="104" t="str">
        <f t="shared" si="11"/>
        <v>2012-13</v>
      </c>
      <c r="H192" s="115"/>
      <c r="I192" s="26"/>
      <c r="J192" s="98">
        <f t="shared" si="12"/>
        <v>0.71056941388834605</v>
      </c>
      <c r="K192" s="36"/>
      <c r="L192" s="26">
        <v>6.1993526858100001</v>
      </c>
      <c r="M192" s="26" t="s">
        <v>206</v>
      </c>
      <c r="N192" s="26">
        <v>812.22926829268283</v>
      </c>
      <c r="O192" s="93">
        <f t="shared" si="13"/>
        <v>5035.2956958837349</v>
      </c>
      <c r="P192" s="95">
        <f t="shared" si="14"/>
        <v>2310.8211039079906</v>
      </c>
      <c r="Q192" s="196">
        <v>0.64585471754275181</v>
      </c>
    </row>
    <row r="193" spans="1:17" x14ac:dyDescent="0.25">
      <c r="A193" s="243">
        <v>41407</v>
      </c>
      <c r="B193" s="243" t="s">
        <v>183</v>
      </c>
      <c r="C193" s="198" t="s">
        <v>679</v>
      </c>
      <c r="D193" s="111" t="s">
        <v>592</v>
      </c>
      <c r="E193" s="33">
        <f t="shared" si="15"/>
        <v>41407</v>
      </c>
      <c r="F193" s="104" t="str">
        <f t="shared" si="11"/>
        <v>2012-13</v>
      </c>
      <c r="H193" s="115"/>
      <c r="I193" s="26"/>
      <c r="J193" s="98">
        <f t="shared" si="12"/>
        <v>0.71056941388834605</v>
      </c>
      <c r="K193" s="36"/>
      <c r="L193" s="26">
        <v>28.2050621343</v>
      </c>
      <c r="M193" s="26" t="s">
        <v>206</v>
      </c>
      <c r="N193" s="26">
        <v>812.22926829268283</v>
      </c>
      <c r="O193" s="93">
        <f t="shared" si="13"/>
        <v>22908.976979492145</v>
      </c>
      <c r="P193" s="95">
        <f t="shared" si="14"/>
        <v>10513.493282316887</v>
      </c>
      <c r="Q193" s="196">
        <v>0.64585471754275181</v>
      </c>
    </row>
    <row r="194" spans="1:17" x14ac:dyDescent="0.25">
      <c r="A194" s="243">
        <v>41407</v>
      </c>
      <c r="B194" s="243" t="s">
        <v>183</v>
      </c>
      <c r="C194" s="198" t="s">
        <v>679</v>
      </c>
      <c r="D194" s="111" t="s">
        <v>592</v>
      </c>
      <c r="E194" s="33">
        <f t="shared" si="15"/>
        <v>41407</v>
      </c>
      <c r="F194" s="104" t="str">
        <f t="shared" si="11"/>
        <v>2012-13</v>
      </c>
      <c r="H194" s="115"/>
      <c r="I194" s="26"/>
      <c r="J194" s="98">
        <f t="shared" si="12"/>
        <v>0.71056941388834605</v>
      </c>
      <c r="K194" s="36"/>
      <c r="L194" s="26">
        <v>41.217998146399999</v>
      </c>
      <c r="M194" s="26" t="s">
        <v>206</v>
      </c>
      <c r="N194" s="26">
        <v>812.22926829268283</v>
      </c>
      <c r="O194" s="93">
        <f t="shared" si="13"/>
        <v>33478.464474939632</v>
      </c>
      <c r="P194" s="95">
        <f t="shared" si="14"/>
        <v>15364.091188997523</v>
      </c>
      <c r="Q194" s="196">
        <v>0.64585471754275181</v>
      </c>
    </row>
    <row r="195" spans="1:17" x14ac:dyDescent="0.25">
      <c r="A195" s="243">
        <v>41407</v>
      </c>
      <c r="B195" s="243" t="s">
        <v>183</v>
      </c>
      <c r="C195" s="198" t="s">
        <v>679</v>
      </c>
      <c r="D195" s="111" t="s">
        <v>592</v>
      </c>
      <c r="E195" s="33">
        <f t="shared" si="15"/>
        <v>41407</v>
      </c>
      <c r="F195" s="104" t="str">
        <f t="shared" si="11"/>
        <v>2012-13</v>
      </c>
      <c r="H195" s="115"/>
      <c r="I195" s="26"/>
      <c r="J195" s="98">
        <f t="shared" si="12"/>
        <v>0.71056941388834605</v>
      </c>
      <c r="K195" s="36"/>
      <c r="L195" s="26">
        <v>68.451560437300003</v>
      </c>
      <c r="M195" s="26" t="s">
        <v>206</v>
      </c>
      <c r="N195" s="26">
        <v>3336.4019512195118</v>
      </c>
      <c r="O195" s="93">
        <f t="shared" si="13"/>
        <v>228381.91980702808</v>
      </c>
      <c r="P195" s="95">
        <f t="shared" si="14"/>
        <v>104810.08304488035</v>
      </c>
      <c r="Q195" s="196">
        <v>0.64585471754275181</v>
      </c>
    </row>
    <row r="196" spans="1:17" x14ac:dyDescent="0.25">
      <c r="A196" s="243">
        <v>41407</v>
      </c>
      <c r="B196" s="243" t="s">
        <v>183</v>
      </c>
      <c r="C196" s="198" t="s">
        <v>679</v>
      </c>
      <c r="D196" s="111" t="s">
        <v>592</v>
      </c>
      <c r="E196" s="33">
        <f t="shared" si="15"/>
        <v>41407</v>
      </c>
      <c r="F196" s="104" t="str">
        <f t="shared" si="11"/>
        <v>2012-13</v>
      </c>
      <c r="H196" s="115"/>
      <c r="I196" s="26"/>
      <c r="J196" s="98">
        <f t="shared" si="12"/>
        <v>0.71056941388834605</v>
      </c>
      <c r="K196" s="36"/>
      <c r="L196" s="26">
        <v>65.8571429088</v>
      </c>
      <c r="M196" s="26" t="s">
        <v>206</v>
      </c>
      <c r="N196" s="26">
        <v>3336.4019512195118</v>
      </c>
      <c r="O196" s="93">
        <f t="shared" si="13"/>
        <v>219725.90010266256</v>
      </c>
      <c r="P196" s="95">
        <f t="shared" si="14"/>
        <v>100837.62259433662</v>
      </c>
      <c r="Q196" s="196">
        <v>0.64585471754275181</v>
      </c>
    </row>
    <row r="197" spans="1:17" x14ac:dyDescent="0.25">
      <c r="A197" s="243">
        <v>41407</v>
      </c>
      <c r="B197" s="243" t="s">
        <v>183</v>
      </c>
      <c r="C197" s="198" t="s">
        <v>679</v>
      </c>
      <c r="D197" s="111" t="s">
        <v>592</v>
      </c>
      <c r="E197" s="33">
        <f t="shared" si="15"/>
        <v>41407</v>
      </c>
      <c r="F197" s="104" t="str">
        <f t="shared" si="11"/>
        <v>2012-13</v>
      </c>
      <c r="H197" s="115"/>
      <c r="I197" s="26"/>
      <c r="J197" s="98">
        <f t="shared" si="12"/>
        <v>0.71056941388834605</v>
      </c>
      <c r="K197" s="36"/>
      <c r="L197" s="26">
        <v>38.338372862200004</v>
      </c>
      <c r="M197" s="26" t="s">
        <v>206</v>
      </c>
      <c r="N197" s="26">
        <v>3336.4019512195118</v>
      </c>
      <c r="O197" s="93">
        <f t="shared" si="13"/>
        <v>127912.22202402528</v>
      </c>
      <c r="P197" s="95">
        <f t="shared" si="14"/>
        <v>58702.066363752048</v>
      </c>
      <c r="Q197" s="196">
        <v>0.64585471754275181</v>
      </c>
    </row>
    <row r="198" spans="1:17" x14ac:dyDescent="0.25">
      <c r="A198" s="243">
        <v>41407</v>
      </c>
      <c r="B198" s="243" t="s">
        <v>183</v>
      </c>
      <c r="C198" s="198" t="s">
        <v>679</v>
      </c>
      <c r="D198" s="111" t="s">
        <v>592</v>
      </c>
      <c r="E198" s="33">
        <f t="shared" si="15"/>
        <v>41407</v>
      </c>
      <c r="F198" s="104" t="str">
        <f t="shared" si="11"/>
        <v>2012-13</v>
      </c>
      <c r="H198" s="115"/>
      <c r="I198" s="26"/>
      <c r="J198" s="98">
        <f t="shared" si="12"/>
        <v>0.71056941388834605</v>
      </c>
      <c r="K198" s="36"/>
      <c r="L198" s="26">
        <v>18.6050232493</v>
      </c>
      <c r="M198" s="26" t="s">
        <v>206</v>
      </c>
      <c r="N198" s="26">
        <v>3336.4019512195118</v>
      </c>
      <c r="O198" s="93">
        <f t="shared" si="13"/>
        <v>62073.8358714489</v>
      </c>
      <c r="P198" s="95">
        <f t="shared" si="14"/>
        <v>28487.210800653847</v>
      </c>
      <c r="Q198" s="196">
        <v>0.64585471754275181</v>
      </c>
    </row>
    <row r="199" spans="1:17" x14ac:dyDescent="0.25">
      <c r="A199" s="243">
        <v>41407</v>
      </c>
      <c r="B199" s="243" t="s">
        <v>183</v>
      </c>
      <c r="C199" s="198" t="s">
        <v>679</v>
      </c>
      <c r="D199" s="111" t="s">
        <v>592</v>
      </c>
      <c r="E199" s="33">
        <f t="shared" si="15"/>
        <v>41407</v>
      </c>
      <c r="F199" s="104" t="str">
        <f t="shared" si="11"/>
        <v>2012-13</v>
      </c>
      <c r="H199" s="115"/>
      <c r="I199" s="26"/>
      <c r="J199" s="98">
        <f t="shared" si="12"/>
        <v>0.71056941388834605</v>
      </c>
      <c r="K199" s="36"/>
      <c r="L199" s="26">
        <v>7.9482336015500001</v>
      </c>
      <c r="M199" s="26" t="s">
        <v>206</v>
      </c>
      <c r="N199" s="26">
        <v>812.22926829268283</v>
      </c>
      <c r="O199" s="93">
        <f t="shared" si="13"/>
        <v>6455.7879624062716</v>
      </c>
      <c r="P199" s="95">
        <f t="shared" si="14"/>
        <v>2962.7199606328818</v>
      </c>
      <c r="Q199" s="196">
        <v>0.64585471754275181</v>
      </c>
    </row>
    <row r="200" spans="1:17" x14ac:dyDescent="0.25">
      <c r="A200" s="243">
        <v>41407</v>
      </c>
      <c r="B200" s="243" t="s">
        <v>183</v>
      </c>
      <c r="C200" s="198" t="s">
        <v>679</v>
      </c>
      <c r="D200" s="111" t="s">
        <v>592</v>
      </c>
      <c r="E200" s="33">
        <f t="shared" si="15"/>
        <v>41407</v>
      </c>
      <c r="F200" s="104" t="str">
        <f t="shared" si="11"/>
        <v>2012-13</v>
      </c>
      <c r="H200" s="115"/>
      <c r="I200" s="26"/>
      <c r="J200" s="98">
        <f t="shared" si="12"/>
        <v>0.71056941388834605</v>
      </c>
      <c r="K200" s="36"/>
      <c r="L200" s="26">
        <v>4.4989240111299997</v>
      </c>
      <c r="M200" s="26" t="s">
        <v>206</v>
      </c>
      <c r="N200" s="26">
        <v>812.22926829268283</v>
      </c>
      <c r="O200" s="93">
        <f t="shared" si="13"/>
        <v>3654.1577576645013</v>
      </c>
      <c r="P200" s="95">
        <f t="shared" si="14"/>
        <v>1676.9829168767858</v>
      </c>
      <c r="Q200" s="196">
        <v>0.64585471754275181</v>
      </c>
    </row>
    <row r="201" spans="1:17" x14ac:dyDescent="0.25">
      <c r="A201" s="243">
        <v>41407</v>
      </c>
      <c r="B201" s="243" t="s">
        <v>183</v>
      </c>
      <c r="C201" s="198" t="s">
        <v>679</v>
      </c>
      <c r="D201" s="111" t="s">
        <v>592</v>
      </c>
      <c r="E201" s="33">
        <f t="shared" si="15"/>
        <v>41407</v>
      </c>
      <c r="F201" s="104" t="str">
        <f t="shared" si="11"/>
        <v>2012-13</v>
      </c>
      <c r="H201" s="115"/>
      <c r="I201" s="26"/>
      <c r="J201" s="98">
        <f t="shared" si="12"/>
        <v>0.71056941388834605</v>
      </c>
      <c r="K201" s="36"/>
      <c r="L201" s="26">
        <v>8.8785629467800007</v>
      </c>
      <c r="M201" s="26" t="s">
        <v>206</v>
      </c>
      <c r="N201" s="26">
        <v>812.22926829268283</v>
      </c>
      <c r="O201" s="93">
        <f t="shared" si="13"/>
        <v>7211.4286857536463</v>
      </c>
      <c r="P201" s="95">
        <f t="shared" si="14"/>
        <v>3309.5020834605161</v>
      </c>
      <c r="Q201" s="196">
        <v>0.64585471754275181</v>
      </c>
    </row>
    <row r="202" spans="1:17" x14ac:dyDescent="0.25">
      <c r="A202" s="243">
        <v>41407</v>
      </c>
      <c r="B202" s="243" t="s">
        <v>183</v>
      </c>
      <c r="C202" s="198" t="s">
        <v>679</v>
      </c>
      <c r="D202" s="111" t="s">
        <v>592</v>
      </c>
      <c r="E202" s="33">
        <f t="shared" si="15"/>
        <v>41407</v>
      </c>
      <c r="F202" s="104" t="str">
        <f t="shared" si="11"/>
        <v>2012-13</v>
      </c>
      <c r="H202" s="115"/>
      <c r="I202" s="26"/>
      <c r="J202" s="98">
        <f t="shared" si="12"/>
        <v>0.71056941388834605</v>
      </c>
      <c r="K202" s="36"/>
      <c r="L202" s="26">
        <v>21.161981382899999</v>
      </c>
      <c r="M202" s="26" t="s">
        <v>206</v>
      </c>
      <c r="N202" s="26">
        <v>3336.4019512195118</v>
      </c>
      <c r="O202" s="93">
        <f t="shared" si="13"/>
        <v>70604.875977578544</v>
      </c>
      <c r="P202" s="95">
        <f t="shared" si="14"/>
        <v>32402.315038056524</v>
      </c>
      <c r="Q202" s="196">
        <v>0.64585471754275181</v>
      </c>
    </row>
    <row r="203" spans="1:17" x14ac:dyDescent="0.25">
      <c r="A203" s="243">
        <v>41407</v>
      </c>
      <c r="B203" s="243" t="s">
        <v>183</v>
      </c>
      <c r="C203" s="198" t="s">
        <v>679</v>
      </c>
      <c r="D203" s="111" t="s">
        <v>592</v>
      </c>
      <c r="E203" s="33">
        <f t="shared" si="15"/>
        <v>41407</v>
      </c>
      <c r="F203" s="104" t="str">
        <f t="shared" si="11"/>
        <v>2012-13</v>
      </c>
      <c r="H203" s="115"/>
      <c r="I203" s="26"/>
      <c r="J203" s="98">
        <f t="shared" si="12"/>
        <v>0.71056941388834605</v>
      </c>
      <c r="K203" s="36"/>
      <c r="L203" s="26">
        <v>25.6958737048</v>
      </c>
      <c r="M203" s="26" t="s">
        <v>206</v>
      </c>
      <c r="N203" s="26">
        <v>812.22926829268283</v>
      </c>
      <c r="O203" s="93">
        <f t="shared" si="13"/>
        <v>20870.940697390892</v>
      </c>
      <c r="P203" s="95">
        <f t="shared" si="14"/>
        <v>9578.1882802571836</v>
      </c>
      <c r="Q203" s="196">
        <v>0.64585471754275181</v>
      </c>
    </row>
    <row r="204" spans="1:17" x14ac:dyDescent="0.25">
      <c r="A204" s="243">
        <v>41407</v>
      </c>
      <c r="B204" s="243" t="s">
        <v>183</v>
      </c>
      <c r="C204" s="198" t="s">
        <v>679</v>
      </c>
      <c r="D204" s="111" t="s">
        <v>592</v>
      </c>
      <c r="E204" s="33">
        <f t="shared" si="15"/>
        <v>41407</v>
      </c>
      <c r="F204" s="104" t="str">
        <f t="shared" si="11"/>
        <v>2012-13</v>
      </c>
      <c r="H204" s="115"/>
      <c r="I204" s="26"/>
      <c r="J204" s="98">
        <f t="shared" si="12"/>
        <v>0.71056941388834605</v>
      </c>
      <c r="K204" s="36"/>
      <c r="L204" s="26">
        <v>14.0293733421</v>
      </c>
      <c r="M204" s="26" t="s">
        <v>206</v>
      </c>
      <c r="N204" s="26">
        <v>3336.4019512195118</v>
      </c>
      <c r="O204" s="93">
        <f t="shared" si="13"/>
        <v>46807.628592969442</v>
      </c>
      <c r="P204" s="95">
        <f t="shared" si="14"/>
        <v>21481.172608183286</v>
      </c>
      <c r="Q204" s="196">
        <v>0.64585471754275181</v>
      </c>
    </row>
    <row r="205" spans="1:17" x14ac:dyDescent="0.25">
      <c r="A205" s="243">
        <v>41407</v>
      </c>
      <c r="B205" s="243" t="s">
        <v>183</v>
      </c>
      <c r="C205" s="198" t="s">
        <v>679</v>
      </c>
      <c r="D205" s="111" t="s">
        <v>592</v>
      </c>
      <c r="E205" s="33">
        <f t="shared" si="15"/>
        <v>41407</v>
      </c>
      <c r="F205" s="104" t="str">
        <f t="shared" si="11"/>
        <v>2012-13</v>
      </c>
      <c r="H205" s="115"/>
      <c r="I205" s="26"/>
      <c r="J205" s="98">
        <f t="shared" si="12"/>
        <v>0.71056941388834605</v>
      </c>
      <c r="K205" s="36"/>
      <c r="L205" s="26">
        <v>35.092650583800001</v>
      </c>
      <c r="M205" s="26" t="s">
        <v>206</v>
      </c>
      <c r="N205" s="26">
        <v>812.22926829268283</v>
      </c>
      <c r="O205" s="93">
        <f t="shared" si="13"/>
        <v>28503.277906130665</v>
      </c>
      <c r="P205" s="95">
        <f t="shared" si="14"/>
        <v>13080.855642675637</v>
      </c>
      <c r="Q205" s="196">
        <v>0.64585471754275181</v>
      </c>
    </row>
    <row r="206" spans="1:17" x14ac:dyDescent="0.25">
      <c r="A206" s="243">
        <v>41407</v>
      </c>
      <c r="B206" s="243" t="s">
        <v>183</v>
      </c>
      <c r="C206" s="198" t="s">
        <v>679</v>
      </c>
      <c r="D206" s="111" t="s">
        <v>592</v>
      </c>
      <c r="E206" s="33">
        <f t="shared" si="15"/>
        <v>41407</v>
      </c>
      <c r="F206" s="104" t="str">
        <f t="shared" si="11"/>
        <v>2012-13</v>
      </c>
      <c r="H206" s="115"/>
      <c r="I206" s="26"/>
      <c r="J206" s="98">
        <f t="shared" si="12"/>
        <v>0.71056941388834605</v>
      </c>
      <c r="K206" s="36"/>
      <c r="L206" s="26">
        <v>44.878087138799998</v>
      </c>
      <c r="M206" s="26" t="s">
        <v>206</v>
      </c>
      <c r="N206" s="26">
        <v>3336.4019512195118</v>
      </c>
      <c r="O206" s="93">
        <f t="shared" si="13"/>
        <v>149731.33749689159</v>
      </c>
      <c r="P206" s="95">
        <f t="shared" si="14"/>
        <v>68715.395381255905</v>
      </c>
      <c r="Q206" s="196">
        <v>0.64585471754275181</v>
      </c>
    </row>
    <row r="207" spans="1:17" x14ac:dyDescent="0.25">
      <c r="A207" s="243">
        <v>41407</v>
      </c>
      <c r="B207" s="243" t="s">
        <v>183</v>
      </c>
      <c r="C207" s="198" t="s">
        <v>679</v>
      </c>
      <c r="D207" s="111" t="s">
        <v>592</v>
      </c>
      <c r="E207" s="33">
        <f t="shared" si="15"/>
        <v>41407</v>
      </c>
      <c r="F207" s="104" t="str">
        <f t="shared" si="11"/>
        <v>2012-13</v>
      </c>
      <c r="H207" s="115"/>
      <c r="I207" s="26"/>
      <c r="J207" s="98">
        <f t="shared" si="12"/>
        <v>0.71056941388834605</v>
      </c>
      <c r="K207" s="36"/>
      <c r="L207" s="26">
        <v>23.093895989100002</v>
      </c>
      <c r="M207" s="26" t="s">
        <v>206</v>
      </c>
      <c r="N207" s="26">
        <v>3336.4019512195118</v>
      </c>
      <c r="O207" s="93">
        <f t="shared" si="13"/>
        <v>77050.519639293707</v>
      </c>
      <c r="P207" s="95">
        <f t="shared" si="14"/>
        <v>35360.379529470272</v>
      </c>
      <c r="Q207" s="196">
        <v>0.64585471754275181</v>
      </c>
    </row>
    <row r="208" spans="1:17" x14ac:dyDescent="0.25">
      <c r="A208" s="243">
        <v>41407</v>
      </c>
      <c r="B208" s="243" t="s">
        <v>183</v>
      </c>
      <c r="C208" s="198" t="s">
        <v>679</v>
      </c>
      <c r="D208" s="111" t="s">
        <v>592</v>
      </c>
      <c r="E208" s="33">
        <f t="shared" si="15"/>
        <v>41407</v>
      </c>
      <c r="F208" s="104" t="str">
        <f t="shared" si="11"/>
        <v>2012-13</v>
      </c>
      <c r="H208" s="115"/>
      <c r="I208" s="26"/>
      <c r="J208" s="98">
        <f t="shared" si="12"/>
        <v>0.71056941388834605</v>
      </c>
      <c r="K208" s="36"/>
      <c r="L208" s="26">
        <v>42.228866796799998</v>
      </c>
      <c r="M208" s="26" t="s">
        <v>206</v>
      </c>
      <c r="N208" s="26">
        <v>3336.4019512195118</v>
      </c>
      <c r="O208" s="93">
        <f t="shared" si="13"/>
        <v>140892.47357863237</v>
      </c>
      <c r="P208" s="95">
        <f t="shared" si="14"/>
        <v>64659.023221507399</v>
      </c>
      <c r="Q208" s="196">
        <v>0.64585471754275181</v>
      </c>
    </row>
    <row r="209" spans="1:17" x14ac:dyDescent="0.25">
      <c r="A209" s="243">
        <v>41407</v>
      </c>
      <c r="B209" s="243" t="s">
        <v>183</v>
      </c>
      <c r="C209" s="198" t="s">
        <v>679</v>
      </c>
      <c r="D209" s="111" t="s">
        <v>592</v>
      </c>
      <c r="E209" s="33">
        <f t="shared" si="15"/>
        <v>41407</v>
      </c>
      <c r="F209" s="104" t="str">
        <f t="shared" si="11"/>
        <v>2012-13</v>
      </c>
      <c r="H209" s="115"/>
      <c r="I209" s="26"/>
      <c r="J209" s="98">
        <f t="shared" si="12"/>
        <v>0.71056941388834605</v>
      </c>
      <c r="K209" s="36"/>
      <c r="L209" s="26">
        <v>16.7955400739</v>
      </c>
      <c r="M209" s="26" t="s">
        <v>206</v>
      </c>
      <c r="N209" s="26">
        <v>3336.4019512195118</v>
      </c>
      <c r="O209" s="93">
        <f t="shared" si="13"/>
        <v>56036.672674345464</v>
      </c>
      <c r="P209" s="95">
        <f t="shared" si="14"/>
        <v>25716.608046379104</v>
      </c>
      <c r="Q209" s="196">
        <v>0.64585471754275181</v>
      </c>
    </row>
    <row r="210" spans="1:17" x14ac:dyDescent="0.25">
      <c r="A210" s="243">
        <v>41407</v>
      </c>
      <c r="B210" s="243" t="s">
        <v>183</v>
      </c>
      <c r="C210" s="198" t="s">
        <v>679</v>
      </c>
      <c r="D210" s="111" t="s">
        <v>592</v>
      </c>
      <c r="E210" s="33">
        <f t="shared" si="15"/>
        <v>41407</v>
      </c>
      <c r="F210" s="104" t="str">
        <f t="shared" si="11"/>
        <v>2012-13</v>
      </c>
      <c r="H210" s="115"/>
      <c r="I210" s="26"/>
      <c r="J210" s="98">
        <f t="shared" si="12"/>
        <v>0.71056941388834605</v>
      </c>
      <c r="K210" s="36"/>
      <c r="L210" s="26">
        <v>21.1342807069</v>
      </c>
      <c r="M210" s="26" t="s">
        <v>206</v>
      </c>
      <c r="N210" s="26">
        <v>3336.4019512195118</v>
      </c>
      <c r="O210" s="93">
        <f t="shared" si="13"/>
        <v>70512.455388122049</v>
      </c>
      <c r="P210" s="95">
        <f t="shared" si="14"/>
        <v>32359.900955259702</v>
      </c>
      <c r="Q210" s="196">
        <v>0.64585471754275181</v>
      </c>
    </row>
    <row r="211" spans="1:17" x14ac:dyDescent="0.25">
      <c r="A211" s="243">
        <v>41407</v>
      </c>
      <c r="B211" s="243" t="s">
        <v>183</v>
      </c>
      <c r="C211" s="198" t="s">
        <v>679</v>
      </c>
      <c r="D211" s="111" t="s">
        <v>592</v>
      </c>
      <c r="E211" s="33">
        <f t="shared" si="15"/>
        <v>41407</v>
      </c>
      <c r="F211" s="104" t="str">
        <f t="shared" si="11"/>
        <v>2012-13</v>
      </c>
      <c r="H211" s="115"/>
      <c r="I211" s="26"/>
      <c r="J211" s="98">
        <f t="shared" si="12"/>
        <v>0.71056941388834605</v>
      </c>
      <c r="K211" s="36"/>
      <c r="L211" s="26">
        <v>18.633937326000002</v>
      </c>
      <c r="M211" s="26" t="s">
        <v>206</v>
      </c>
      <c r="N211" s="26">
        <v>812.22926829268283</v>
      </c>
      <c r="O211" s="93">
        <f t="shared" si="13"/>
        <v>15135.029279708693</v>
      </c>
      <c r="P211" s="95">
        <f t="shared" si="14"/>
        <v>6945.8373807931694</v>
      </c>
      <c r="Q211" s="196">
        <v>0.64585471754275181</v>
      </c>
    </row>
    <row r="212" spans="1:17" x14ac:dyDescent="0.25">
      <c r="A212" s="243">
        <v>41407</v>
      </c>
      <c r="B212" s="243" t="s">
        <v>183</v>
      </c>
      <c r="C212" s="198" t="s">
        <v>679</v>
      </c>
      <c r="D212" s="111" t="s">
        <v>592</v>
      </c>
      <c r="E212" s="33">
        <f t="shared" si="15"/>
        <v>41407</v>
      </c>
      <c r="F212" s="104" t="str">
        <f t="shared" si="11"/>
        <v>2012-13</v>
      </c>
      <c r="H212" s="115"/>
      <c r="I212" s="26"/>
      <c r="J212" s="98">
        <f t="shared" si="12"/>
        <v>0.71056941388834605</v>
      </c>
      <c r="K212" s="36"/>
      <c r="L212" s="26">
        <v>17.275689566699999</v>
      </c>
      <c r="M212" s="26" t="s">
        <v>206</v>
      </c>
      <c r="N212" s="26">
        <v>3336.4019512195118</v>
      </c>
      <c r="O212" s="93">
        <f t="shared" si="13"/>
        <v>57638.644379000441</v>
      </c>
      <c r="P212" s="95">
        <f t="shared" si="14"/>
        <v>26451.792283127383</v>
      </c>
      <c r="Q212" s="196">
        <v>0.64585471754275181</v>
      </c>
    </row>
    <row r="213" spans="1:17" x14ac:dyDescent="0.25">
      <c r="A213" s="243">
        <v>41407</v>
      </c>
      <c r="B213" s="243" t="s">
        <v>183</v>
      </c>
      <c r="C213" s="198" t="s">
        <v>679</v>
      </c>
      <c r="D213" s="111" t="s">
        <v>592</v>
      </c>
      <c r="E213" s="33">
        <f t="shared" si="15"/>
        <v>41407</v>
      </c>
      <c r="F213" s="104" t="str">
        <f t="shared" si="11"/>
        <v>2012-13</v>
      </c>
      <c r="H213" s="115"/>
      <c r="I213" s="26"/>
      <c r="J213" s="98">
        <f t="shared" si="12"/>
        <v>0.71056941388834605</v>
      </c>
      <c r="K213" s="36"/>
      <c r="L213" s="26">
        <v>7.99712573451</v>
      </c>
      <c r="M213" s="26" t="s">
        <v>206</v>
      </c>
      <c r="N213" s="26">
        <v>3336.4019512195118</v>
      </c>
      <c r="O213" s="93">
        <f t="shared" si="13"/>
        <v>26681.625904766937</v>
      </c>
      <c r="P213" s="95">
        <f t="shared" si="14"/>
        <v>12244.8547118527</v>
      </c>
      <c r="Q213" s="196">
        <v>0.64585471754275181</v>
      </c>
    </row>
    <row r="214" spans="1:17" x14ac:dyDescent="0.25">
      <c r="A214" s="243">
        <v>41407</v>
      </c>
      <c r="B214" s="243" t="s">
        <v>183</v>
      </c>
      <c r="C214" s="198" t="s">
        <v>679</v>
      </c>
      <c r="D214" s="111" t="s">
        <v>592</v>
      </c>
      <c r="E214" s="33">
        <f t="shared" si="15"/>
        <v>41407</v>
      </c>
      <c r="F214" s="104" t="str">
        <f t="shared" si="11"/>
        <v>2012-13</v>
      </c>
      <c r="H214" s="115"/>
      <c r="I214" s="26"/>
      <c r="J214" s="98">
        <f t="shared" si="12"/>
        <v>0.71056941388834605</v>
      </c>
      <c r="K214" s="36"/>
      <c r="L214" s="26">
        <v>103.525038013</v>
      </c>
      <c r="M214" s="26" t="s">
        <v>206</v>
      </c>
      <c r="N214" s="26">
        <v>3336.4019512195118</v>
      </c>
      <c r="O214" s="93">
        <f t="shared" si="13"/>
        <v>345401.13882664731</v>
      </c>
      <c r="P214" s="95">
        <f t="shared" si="14"/>
        <v>158513.08227378823</v>
      </c>
      <c r="Q214" s="196">
        <v>0.64585471754275181</v>
      </c>
    </row>
    <row r="215" spans="1:17" x14ac:dyDescent="0.25">
      <c r="A215" s="243">
        <v>41407</v>
      </c>
      <c r="B215" s="243" t="s">
        <v>183</v>
      </c>
      <c r="C215" s="198" t="s">
        <v>679</v>
      </c>
      <c r="D215" s="111" t="s">
        <v>592</v>
      </c>
      <c r="E215" s="33">
        <f t="shared" si="15"/>
        <v>41407</v>
      </c>
      <c r="F215" s="104" t="str">
        <f t="shared" si="11"/>
        <v>2012-13</v>
      </c>
      <c r="H215" s="115"/>
      <c r="I215" s="26"/>
      <c r="J215" s="98">
        <f t="shared" si="12"/>
        <v>0.71056941388834605</v>
      </c>
      <c r="K215" s="36"/>
      <c r="L215" s="26">
        <v>28.095199968199999</v>
      </c>
      <c r="M215" s="26" t="s">
        <v>206</v>
      </c>
      <c r="N215" s="26">
        <v>3592.3639024390236</v>
      </c>
      <c r="O215" s="93">
        <f t="shared" si="13"/>
        <v>100928.18219756769</v>
      </c>
      <c r="P215" s="95">
        <f t="shared" si="14"/>
        <v>46318.426461403069</v>
      </c>
      <c r="Q215" s="196">
        <v>0.64585471754275181</v>
      </c>
    </row>
    <row r="216" spans="1:17" x14ac:dyDescent="0.25">
      <c r="A216" s="243">
        <v>41407</v>
      </c>
      <c r="B216" s="243" t="s">
        <v>183</v>
      </c>
      <c r="C216" s="198" t="s">
        <v>679</v>
      </c>
      <c r="D216" s="111" t="s">
        <v>592</v>
      </c>
      <c r="E216" s="33">
        <f t="shared" si="15"/>
        <v>41407</v>
      </c>
      <c r="F216" s="104" t="str">
        <f t="shared" ref="F216:F279" si="16">IF(E216="","-",IF(OR(E216&lt;$E$15,E216&gt;$E$16),"ERROR - date outside of range",IF(MONTH(E216)&gt;=7,YEAR(E216)&amp;"-"&amp;IF(YEAR(E216)=1999,"00",IF(AND(YEAR(E216)&gt;=2000,YEAR(E216)&lt;2009),"0","")&amp;RIGHT(YEAR(E216),2)+1),RIGHT(YEAR(E216),4)-1&amp;"-"&amp;RIGHT(YEAR(E216),2))))</f>
        <v>2012-13</v>
      </c>
      <c r="H216" s="115"/>
      <c r="I216" s="26"/>
      <c r="J216" s="98">
        <f t="shared" ref="J216:J279" si="17">J215</f>
        <v>0.71056941388834605</v>
      </c>
      <c r="K216" s="36"/>
      <c r="L216" s="26">
        <v>10.0557217543</v>
      </c>
      <c r="M216" s="26" t="s">
        <v>206</v>
      </c>
      <c r="N216" s="26">
        <v>950.87219512195099</v>
      </c>
      <c r="O216" s="93">
        <f t="shared" ref="O216:O279" si="18">IF(N216="","-",L216*N216)</f>
        <v>9561.7062180467965</v>
      </c>
      <c r="P216" s="95">
        <f t="shared" ref="P216:P279" si="19">IF(O216="-","-",IF(OR(E216&lt;$E$15,E216&gt;$E$16),0,O216*J216))*Q216</f>
        <v>4388.1022788976206</v>
      </c>
      <c r="Q216" s="196">
        <v>0.64585471754275181</v>
      </c>
    </row>
    <row r="217" spans="1:17" x14ac:dyDescent="0.25">
      <c r="A217" s="243">
        <v>41407</v>
      </c>
      <c r="B217" s="243" t="s">
        <v>183</v>
      </c>
      <c r="C217" s="198" t="s">
        <v>679</v>
      </c>
      <c r="D217" s="111" t="s">
        <v>592</v>
      </c>
      <c r="E217" s="33">
        <f t="shared" si="15"/>
        <v>41407</v>
      </c>
      <c r="F217" s="104" t="str">
        <f t="shared" si="16"/>
        <v>2012-13</v>
      </c>
      <c r="H217" s="115"/>
      <c r="I217" s="26"/>
      <c r="J217" s="98">
        <f t="shared" si="17"/>
        <v>0.71056941388834605</v>
      </c>
      <c r="K217" s="36"/>
      <c r="L217" s="26">
        <v>51.6282311338</v>
      </c>
      <c r="M217" s="26" t="s">
        <v>206</v>
      </c>
      <c r="N217" s="26">
        <v>812.22926829268283</v>
      </c>
      <c r="O217" s="93">
        <f t="shared" si="18"/>
        <v>41933.96039705188</v>
      </c>
      <c r="P217" s="95">
        <f t="shared" si="19"/>
        <v>19244.526341355675</v>
      </c>
      <c r="Q217" s="196">
        <v>0.64585471754275181</v>
      </c>
    </row>
    <row r="218" spans="1:17" x14ac:dyDescent="0.25">
      <c r="A218" s="243">
        <v>41410</v>
      </c>
      <c r="B218" s="243" t="s">
        <v>183</v>
      </c>
      <c r="C218" s="198" t="s">
        <v>680</v>
      </c>
      <c r="D218" s="111" t="s">
        <v>568</v>
      </c>
      <c r="E218" s="33">
        <f t="shared" si="15"/>
        <v>41410</v>
      </c>
      <c r="F218" s="104" t="str">
        <f t="shared" si="16"/>
        <v>2012-13</v>
      </c>
      <c r="H218" s="115"/>
      <c r="I218" s="26"/>
      <c r="J218" s="98">
        <f t="shared" si="17"/>
        <v>0.71056941388834605</v>
      </c>
      <c r="K218" s="36"/>
      <c r="L218" s="26">
        <v>48.722195310099998</v>
      </c>
      <c r="M218" s="26" t="s">
        <v>206</v>
      </c>
      <c r="N218" s="26">
        <v>3336.4019512195118</v>
      </c>
      <c r="O218" s="93">
        <f t="shared" si="18"/>
        <v>162556.82750031579</v>
      </c>
      <c r="P218" s="95">
        <f t="shared" si="19"/>
        <v>32860.256645339316</v>
      </c>
      <c r="Q218" s="196">
        <v>0.28448490451975394</v>
      </c>
    </row>
    <row r="219" spans="1:17" x14ac:dyDescent="0.25">
      <c r="A219" s="243">
        <v>41410</v>
      </c>
      <c r="B219" s="243" t="s">
        <v>183</v>
      </c>
      <c r="C219" s="198" t="s">
        <v>680</v>
      </c>
      <c r="D219" s="111" t="s">
        <v>568</v>
      </c>
      <c r="E219" s="33">
        <f t="shared" si="15"/>
        <v>41410</v>
      </c>
      <c r="F219" s="104" t="str">
        <f t="shared" si="16"/>
        <v>2012-13</v>
      </c>
      <c r="H219" s="115"/>
      <c r="I219" s="26"/>
      <c r="J219" s="98">
        <f t="shared" si="17"/>
        <v>0.71056941388834605</v>
      </c>
      <c r="K219" s="36"/>
      <c r="L219" s="26">
        <v>36.9066749168</v>
      </c>
      <c r="M219" s="26" t="s">
        <v>206</v>
      </c>
      <c r="N219" s="26">
        <v>3336.4019512195118</v>
      </c>
      <c r="O219" s="93">
        <f t="shared" si="18"/>
        <v>123135.50220543574</v>
      </c>
      <c r="P219" s="95">
        <f t="shared" si="19"/>
        <v>24891.382705014366</v>
      </c>
      <c r="Q219" s="196">
        <v>0.28448490451975394</v>
      </c>
    </row>
    <row r="220" spans="1:17" x14ac:dyDescent="0.25">
      <c r="A220" s="243">
        <v>41410</v>
      </c>
      <c r="B220" s="243" t="s">
        <v>183</v>
      </c>
      <c r="C220" s="198" t="s">
        <v>680</v>
      </c>
      <c r="D220" s="111" t="s">
        <v>568</v>
      </c>
      <c r="E220" s="33">
        <f t="shared" si="15"/>
        <v>41410</v>
      </c>
      <c r="F220" s="104" t="str">
        <f t="shared" si="16"/>
        <v>2012-13</v>
      </c>
      <c r="H220" s="115"/>
      <c r="I220" s="26"/>
      <c r="J220" s="98">
        <f t="shared" si="17"/>
        <v>0.71056941388834605</v>
      </c>
      <c r="K220" s="36"/>
      <c r="L220" s="26">
        <v>22.1581625289</v>
      </c>
      <c r="M220" s="26" t="s">
        <v>206</v>
      </c>
      <c r="N220" s="26">
        <v>812.22926829268283</v>
      </c>
      <c r="O220" s="93">
        <f t="shared" si="18"/>
        <v>17997.508137558791</v>
      </c>
      <c r="P220" s="95">
        <f t="shared" si="19"/>
        <v>3638.1291728618157</v>
      </c>
      <c r="Q220" s="196">
        <v>0.28448490451975394</v>
      </c>
    </row>
    <row r="221" spans="1:17" x14ac:dyDescent="0.25">
      <c r="A221" s="243">
        <v>41410</v>
      </c>
      <c r="B221" s="243" t="s">
        <v>183</v>
      </c>
      <c r="C221" s="198" t="s">
        <v>680</v>
      </c>
      <c r="D221" s="111" t="s">
        <v>568</v>
      </c>
      <c r="E221" s="33">
        <f t="shared" si="15"/>
        <v>41410</v>
      </c>
      <c r="F221" s="104" t="str">
        <f t="shared" si="16"/>
        <v>2012-13</v>
      </c>
      <c r="H221" s="115"/>
      <c r="I221" s="26"/>
      <c r="J221" s="98">
        <f t="shared" si="17"/>
        <v>0.71056941388834605</v>
      </c>
      <c r="K221" s="36"/>
      <c r="L221" s="26">
        <v>5.7255683560700001</v>
      </c>
      <c r="M221" s="26" t="s">
        <v>206</v>
      </c>
      <c r="N221" s="26">
        <v>3336.4019512195118</v>
      </c>
      <c r="O221" s="93">
        <f t="shared" si="18"/>
        <v>19102.79743503264</v>
      </c>
      <c r="P221" s="95">
        <f t="shared" si="19"/>
        <v>3861.5592836780893</v>
      </c>
      <c r="Q221" s="196">
        <v>0.28448490451975394</v>
      </c>
    </row>
    <row r="222" spans="1:17" x14ac:dyDescent="0.25">
      <c r="A222" s="243">
        <v>41768</v>
      </c>
      <c r="B222" s="243" t="s">
        <v>183</v>
      </c>
      <c r="C222" s="198" t="s">
        <v>681</v>
      </c>
      <c r="D222" s="111" t="s">
        <v>682</v>
      </c>
      <c r="E222" s="33">
        <f t="shared" si="15"/>
        <v>41768</v>
      </c>
      <c r="F222" s="104" t="str">
        <f t="shared" si="16"/>
        <v>2013-14</v>
      </c>
      <c r="H222" s="115"/>
      <c r="I222" s="26"/>
      <c r="J222" s="98">
        <f t="shared" si="17"/>
        <v>0.71056941388834605</v>
      </c>
      <c r="K222" s="36"/>
      <c r="L222" s="26">
        <v>30.126971401300001</v>
      </c>
      <c r="M222" s="26" t="s">
        <v>206</v>
      </c>
      <c r="N222" s="26">
        <v>3592.3639024390236</v>
      </c>
      <c r="O222" s="93">
        <f t="shared" si="18"/>
        <v>108227.04455184293</v>
      </c>
      <c r="P222" s="95">
        <f t="shared" si="19"/>
        <v>58838.114314039572</v>
      </c>
      <c r="Q222" s="196">
        <v>0.76509689096625533</v>
      </c>
    </row>
    <row r="223" spans="1:17" x14ac:dyDescent="0.25">
      <c r="A223" s="243">
        <v>41768</v>
      </c>
      <c r="B223" s="243" t="s">
        <v>183</v>
      </c>
      <c r="C223" s="198" t="s">
        <v>681</v>
      </c>
      <c r="D223" s="111" t="s">
        <v>682</v>
      </c>
      <c r="E223" s="33">
        <f t="shared" si="15"/>
        <v>41768</v>
      </c>
      <c r="F223" s="104" t="str">
        <f t="shared" si="16"/>
        <v>2013-14</v>
      </c>
      <c r="H223" s="115"/>
      <c r="I223" s="26"/>
      <c r="J223" s="98">
        <f t="shared" si="17"/>
        <v>0.71056941388834605</v>
      </c>
      <c r="K223" s="36"/>
      <c r="L223" s="26">
        <v>28.077838129</v>
      </c>
      <c r="M223" s="26" t="s">
        <v>206</v>
      </c>
      <c r="N223" s="26">
        <v>950.87219512195099</v>
      </c>
      <c r="O223" s="93">
        <f t="shared" si="18"/>
        <v>26698.435576001044</v>
      </c>
      <c r="P223" s="95">
        <f t="shared" si="19"/>
        <v>14514.723292423314</v>
      </c>
      <c r="Q223" s="196">
        <v>0.76509689096625533</v>
      </c>
    </row>
    <row r="224" spans="1:17" x14ac:dyDescent="0.25">
      <c r="A224" s="243">
        <v>41768</v>
      </c>
      <c r="B224" s="243" t="s">
        <v>183</v>
      </c>
      <c r="C224" s="198" t="s">
        <v>681</v>
      </c>
      <c r="D224" s="111" t="s">
        <v>682</v>
      </c>
      <c r="E224" s="33">
        <f t="shared" si="15"/>
        <v>41768</v>
      </c>
      <c r="F224" s="104" t="str">
        <f t="shared" si="16"/>
        <v>2013-14</v>
      </c>
      <c r="H224" s="115"/>
      <c r="I224" s="26"/>
      <c r="J224" s="98">
        <f t="shared" si="17"/>
        <v>0.71056941388834605</v>
      </c>
      <c r="K224" s="36"/>
      <c r="L224" s="26">
        <v>33.865126029599999</v>
      </c>
      <c r="M224" s="26" t="s">
        <v>206</v>
      </c>
      <c r="N224" s="26">
        <v>3592.3639024390236</v>
      </c>
      <c r="O224" s="93">
        <f t="shared" si="18"/>
        <v>121655.85630028321</v>
      </c>
      <c r="P224" s="95">
        <f t="shared" si="19"/>
        <v>66138.747570988213</v>
      </c>
      <c r="Q224" s="196">
        <v>0.76509689096625533</v>
      </c>
    </row>
    <row r="225" spans="1:17" x14ac:dyDescent="0.25">
      <c r="A225" s="243">
        <v>41768</v>
      </c>
      <c r="B225" s="243" t="s">
        <v>183</v>
      </c>
      <c r="C225" s="198" t="s">
        <v>681</v>
      </c>
      <c r="D225" s="111" t="s">
        <v>682</v>
      </c>
      <c r="E225" s="33">
        <f t="shared" si="15"/>
        <v>41768</v>
      </c>
      <c r="F225" s="104" t="str">
        <f t="shared" si="16"/>
        <v>2013-14</v>
      </c>
      <c r="H225" s="115"/>
      <c r="I225" s="26"/>
      <c r="J225" s="98">
        <f t="shared" si="17"/>
        <v>0.71056941388834605</v>
      </c>
      <c r="K225" s="36"/>
      <c r="L225" s="26">
        <v>34.369632657300002</v>
      </c>
      <c r="M225" s="26" t="s">
        <v>206</v>
      </c>
      <c r="N225" s="26">
        <v>950.87219512195099</v>
      </c>
      <c r="O225" s="93">
        <f t="shared" si="18"/>
        <v>32681.128050381947</v>
      </c>
      <c r="P225" s="95">
        <f t="shared" si="19"/>
        <v>17767.240675402831</v>
      </c>
      <c r="Q225" s="196">
        <v>0.76509689096625533</v>
      </c>
    </row>
    <row r="226" spans="1:17" x14ac:dyDescent="0.25">
      <c r="A226" s="243">
        <v>41768</v>
      </c>
      <c r="B226" s="243" t="s">
        <v>183</v>
      </c>
      <c r="C226" s="198" t="s">
        <v>681</v>
      </c>
      <c r="D226" s="111" t="s">
        <v>682</v>
      </c>
      <c r="E226" s="33">
        <f t="shared" si="15"/>
        <v>41768</v>
      </c>
      <c r="F226" s="104" t="str">
        <f t="shared" si="16"/>
        <v>2013-14</v>
      </c>
      <c r="H226" s="115"/>
      <c r="I226" s="26"/>
      <c r="J226" s="98">
        <f t="shared" si="17"/>
        <v>0.71056941388834605</v>
      </c>
      <c r="K226" s="36"/>
      <c r="L226" s="26">
        <v>3.80759477886</v>
      </c>
      <c r="M226" s="26" t="s">
        <v>206</v>
      </c>
      <c r="N226" s="26">
        <v>3592.3639024390236</v>
      </c>
      <c r="O226" s="93">
        <f t="shared" si="18"/>
        <v>13678.26603869196</v>
      </c>
      <c r="P226" s="95">
        <f t="shared" si="19"/>
        <v>7436.250191761319</v>
      </c>
      <c r="Q226" s="196">
        <v>0.76509689096625533</v>
      </c>
    </row>
    <row r="227" spans="1:17" x14ac:dyDescent="0.25">
      <c r="A227" s="243">
        <v>41768</v>
      </c>
      <c r="B227" s="243" t="s">
        <v>183</v>
      </c>
      <c r="C227" s="198" t="s">
        <v>681</v>
      </c>
      <c r="D227" s="111" t="s">
        <v>682</v>
      </c>
      <c r="E227" s="33">
        <f t="shared" si="15"/>
        <v>41768</v>
      </c>
      <c r="F227" s="104" t="str">
        <f t="shared" si="16"/>
        <v>2013-14</v>
      </c>
      <c r="H227" s="115"/>
      <c r="I227" s="26"/>
      <c r="J227" s="98">
        <f t="shared" si="17"/>
        <v>0.71056941388834605</v>
      </c>
      <c r="K227" s="36"/>
      <c r="L227" s="26">
        <v>89.910267895299995</v>
      </c>
      <c r="M227" s="26" t="s">
        <v>206</v>
      </c>
      <c r="N227" s="26">
        <v>3592.3639024390236</v>
      </c>
      <c r="O227" s="93">
        <f t="shared" si="18"/>
        <v>322990.40084569796</v>
      </c>
      <c r="P227" s="95">
        <f t="shared" si="19"/>
        <v>175595.16852733857</v>
      </c>
      <c r="Q227" s="196">
        <v>0.76509689096625533</v>
      </c>
    </row>
    <row r="228" spans="1:17" x14ac:dyDescent="0.25">
      <c r="A228" s="243">
        <v>41768</v>
      </c>
      <c r="B228" s="243" t="s">
        <v>183</v>
      </c>
      <c r="C228" s="198" t="s">
        <v>681</v>
      </c>
      <c r="D228" s="111" t="s">
        <v>682</v>
      </c>
      <c r="E228" s="33">
        <f t="shared" si="15"/>
        <v>41768</v>
      </c>
      <c r="F228" s="104" t="str">
        <f t="shared" si="16"/>
        <v>2013-14</v>
      </c>
      <c r="H228" s="115"/>
      <c r="I228" s="26"/>
      <c r="J228" s="98">
        <f t="shared" si="17"/>
        <v>0.71056941388834605</v>
      </c>
      <c r="K228" s="36"/>
      <c r="L228" s="26">
        <v>45.259563431399997</v>
      </c>
      <c r="M228" s="26" t="s">
        <v>206</v>
      </c>
      <c r="N228" s="26">
        <v>3592.3639024390236</v>
      </c>
      <c r="O228" s="93">
        <f t="shared" si="18"/>
        <v>162588.82191111063</v>
      </c>
      <c r="P228" s="95">
        <f t="shared" si="19"/>
        <v>88392.136451702158</v>
      </c>
      <c r="Q228" s="196">
        <v>0.76509689096625533</v>
      </c>
    </row>
    <row r="229" spans="1:17" x14ac:dyDescent="0.25">
      <c r="A229" s="243">
        <v>41768</v>
      </c>
      <c r="B229" s="243" t="s">
        <v>183</v>
      </c>
      <c r="C229" s="198" t="s">
        <v>681</v>
      </c>
      <c r="D229" s="111" t="s">
        <v>682</v>
      </c>
      <c r="E229" s="33">
        <f t="shared" si="15"/>
        <v>41768</v>
      </c>
      <c r="F229" s="104" t="str">
        <f t="shared" si="16"/>
        <v>2013-14</v>
      </c>
      <c r="H229" s="115"/>
      <c r="I229" s="26"/>
      <c r="J229" s="98">
        <f t="shared" si="17"/>
        <v>0.71056941388834605</v>
      </c>
      <c r="K229" s="36"/>
      <c r="L229" s="26">
        <v>57.864642615299999</v>
      </c>
      <c r="M229" s="26" t="s">
        <v>206</v>
      </c>
      <c r="N229" s="26">
        <v>3592.3639024390236</v>
      </c>
      <c r="O229" s="93">
        <f t="shared" si="18"/>
        <v>207870.85335873853</v>
      </c>
      <c r="P229" s="95">
        <f t="shared" si="19"/>
        <v>113009.91432524657</v>
      </c>
      <c r="Q229" s="196">
        <v>0.76509689096625533</v>
      </c>
    </row>
    <row r="230" spans="1:17" x14ac:dyDescent="0.25">
      <c r="A230" s="243">
        <v>41768</v>
      </c>
      <c r="B230" s="243" t="s">
        <v>183</v>
      </c>
      <c r="C230" s="198" t="s">
        <v>681</v>
      </c>
      <c r="D230" s="111" t="s">
        <v>682</v>
      </c>
      <c r="E230" s="33">
        <f t="shared" si="15"/>
        <v>41768</v>
      </c>
      <c r="F230" s="104" t="str">
        <f t="shared" si="16"/>
        <v>2013-14</v>
      </c>
      <c r="H230" s="115"/>
      <c r="I230" s="26"/>
      <c r="J230" s="98">
        <f t="shared" si="17"/>
        <v>0.71056941388834605</v>
      </c>
      <c r="K230" s="36"/>
      <c r="L230" s="26">
        <v>67.660335500200006</v>
      </c>
      <c r="M230" s="26" t="s">
        <v>206</v>
      </c>
      <c r="N230" s="26">
        <v>3875.3912195121943</v>
      </c>
      <c r="O230" s="93">
        <f t="shared" si="18"/>
        <v>262210.27010672429</v>
      </c>
      <c r="P230" s="95">
        <f t="shared" si="19"/>
        <v>142551.78001709483</v>
      </c>
      <c r="Q230" s="196">
        <v>0.76509689096625533</v>
      </c>
    </row>
    <row r="231" spans="1:17" x14ac:dyDescent="0.25">
      <c r="A231" s="243">
        <v>41768</v>
      </c>
      <c r="B231" s="243" t="s">
        <v>183</v>
      </c>
      <c r="C231" s="198" t="s">
        <v>681</v>
      </c>
      <c r="D231" s="111" t="s">
        <v>682</v>
      </c>
      <c r="E231" s="33">
        <f t="shared" ref="E231:E283" si="20">A231</f>
        <v>41768</v>
      </c>
      <c r="F231" s="104" t="str">
        <f t="shared" si="16"/>
        <v>2013-14</v>
      </c>
      <c r="H231" s="115"/>
      <c r="I231" s="26"/>
      <c r="J231" s="98">
        <f t="shared" si="17"/>
        <v>0.71056941388834605</v>
      </c>
      <c r="K231" s="36"/>
      <c r="L231" s="26">
        <v>114.64916364699999</v>
      </c>
      <c r="M231" s="26" t="s">
        <v>206</v>
      </c>
      <c r="N231" s="26">
        <v>950.87219512195099</v>
      </c>
      <c r="O231" s="93">
        <f t="shared" si="18"/>
        <v>109016.70190591867</v>
      </c>
      <c r="P231" s="95">
        <f t="shared" si="19"/>
        <v>59267.415048069823</v>
      </c>
      <c r="Q231" s="196">
        <v>0.76509689096625533</v>
      </c>
    </row>
    <row r="232" spans="1:17" x14ac:dyDescent="0.25">
      <c r="A232" s="243">
        <v>41768</v>
      </c>
      <c r="B232" s="243" t="s">
        <v>183</v>
      </c>
      <c r="C232" s="198" t="s">
        <v>681</v>
      </c>
      <c r="D232" s="111" t="s">
        <v>682</v>
      </c>
      <c r="E232" s="33">
        <f t="shared" si="20"/>
        <v>41768</v>
      </c>
      <c r="F232" s="104" t="str">
        <f t="shared" si="16"/>
        <v>2013-14</v>
      </c>
      <c r="H232" s="115"/>
      <c r="I232" s="26"/>
      <c r="J232" s="98">
        <f t="shared" si="17"/>
        <v>0.71056941388834605</v>
      </c>
      <c r="K232" s="36"/>
      <c r="L232" s="26">
        <v>56.314800079599998</v>
      </c>
      <c r="M232" s="26" t="s">
        <v>206</v>
      </c>
      <c r="N232" s="26">
        <v>950.87219512195099</v>
      </c>
      <c r="O232" s="93">
        <f t="shared" si="18"/>
        <v>53548.17756954307</v>
      </c>
      <c r="P232" s="95">
        <f t="shared" si="19"/>
        <v>29111.704991962783</v>
      </c>
      <c r="Q232" s="196">
        <v>0.76509689096625533</v>
      </c>
    </row>
    <row r="233" spans="1:17" x14ac:dyDescent="0.25">
      <c r="A233" s="243">
        <v>41768</v>
      </c>
      <c r="B233" s="243" t="s">
        <v>183</v>
      </c>
      <c r="C233" s="198" t="s">
        <v>681</v>
      </c>
      <c r="D233" s="111" t="s">
        <v>682</v>
      </c>
      <c r="E233" s="33">
        <f t="shared" si="20"/>
        <v>41768</v>
      </c>
      <c r="F233" s="104" t="str">
        <f t="shared" si="16"/>
        <v>2013-14</v>
      </c>
      <c r="H233" s="115"/>
      <c r="I233" s="26"/>
      <c r="J233" s="98">
        <f t="shared" si="17"/>
        <v>0.71056941388834605</v>
      </c>
      <c r="K233" s="36"/>
      <c r="L233" s="26">
        <v>108.062041368</v>
      </c>
      <c r="M233" s="26" t="s">
        <v>206</v>
      </c>
      <c r="N233" s="26">
        <v>3592.3639024390236</v>
      </c>
      <c r="O233" s="93">
        <f t="shared" si="18"/>
        <v>388198.17663427565</v>
      </c>
      <c r="P233" s="95">
        <f t="shared" si="19"/>
        <v>211045.66596908233</v>
      </c>
      <c r="Q233" s="196">
        <v>0.76509689096625533</v>
      </c>
    </row>
    <row r="234" spans="1:17" x14ac:dyDescent="0.25">
      <c r="A234" s="243">
        <v>41768</v>
      </c>
      <c r="B234" s="243" t="s">
        <v>183</v>
      </c>
      <c r="C234" s="198" t="s">
        <v>681</v>
      </c>
      <c r="D234" s="111" t="s">
        <v>682</v>
      </c>
      <c r="E234" s="33">
        <f t="shared" si="20"/>
        <v>41768</v>
      </c>
      <c r="F234" s="104" t="str">
        <f t="shared" si="16"/>
        <v>2013-14</v>
      </c>
      <c r="H234" s="115"/>
      <c r="I234" s="26"/>
      <c r="J234" s="98">
        <f t="shared" si="17"/>
        <v>0.71056941388834605</v>
      </c>
      <c r="K234" s="36"/>
      <c r="L234" s="26">
        <v>90.850410686999993</v>
      </c>
      <c r="M234" s="26" t="s">
        <v>206</v>
      </c>
      <c r="N234" s="26">
        <v>3592.3639024390236</v>
      </c>
      <c r="O234" s="93">
        <f t="shared" si="18"/>
        <v>326367.73587373929</v>
      </c>
      <c r="P234" s="95">
        <f t="shared" si="19"/>
        <v>177431.27174238587</v>
      </c>
      <c r="Q234" s="196">
        <v>0.76509689096625533</v>
      </c>
    </row>
    <row r="235" spans="1:17" x14ac:dyDescent="0.25">
      <c r="A235" s="243">
        <v>41768</v>
      </c>
      <c r="B235" s="243" t="s">
        <v>183</v>
      </c>
      <c r="C235" s="198" t="s">
        <v>681</v>
      </c>
      <c r="D235" s="111" t="s">
        <v>682</v>
      </c>
      <c r="E235" s="33">
        <f t="shared" si="20"/>
        <v>41768</v>
      </c>
      <c r="F235" s="104" t="str">
        <f t="shared" si="16"/>
        <v>2013-14</v>
      </c>
      <c r="H235" s="115"/>
      <c r="I235" s="26"/>
      <c r="J235" s="98">
        <f t="shared" si="17"/>
        <v>0.71056941388834605</v>
      </c>
      <c r="K235" s="36"/>
      <c r="L235" s="26">
        <v>4.9969745338099996</v>
      </c>
      <c r="M235" s="26" t="s">
        <v>206</v>
      </c>
      <c r="N235" s="26">
        <v>812.22926829268283</v>
      </c>
      <c r="O235" s="93">
        <f t="shared" si="18"/>
        <v>4058.6889692736659</v>
      </c>
      <c r="P235" s="95">
        <f t="shared" si="19"/>
        <v>2206.5243168020052</v>
      </c>
      <c r="Q235" s="196">
        <v>0.76509689096625533</v>
      </c>
    </row>
    <row r="236" spans="1:17" x14ac:dyDescent="0.25">
      <c r="A236" s="243">
        <v>42345</v>
      </c>
      <c r="B236" s="243" t="s">
        <v>183</v>
      </c>
      <c r="C236" s="198" t="s">
        <v>683</v>
      </c>
      <c r="D236" s="111" t="s">
        <v>658</v>
      </c>
      <c r="E236" s="33">
        <f t="shared" si="20"/>
        <v>42345</v>
      </c>
      <c r="F236" s="104" t="str">
        <f t="shared" si="16"/>
        <v>2015-16</v>
      </c>
      <c r="H236" s="115"/>
      <c r="I236" s="26"/>
      <c r="J236" s="98">
        <f t="shared" si="17"/>
        <v>0.71056941388834605</v>
      </c>
      <c r="K236" s="36"/>
      <c r="L236" s="26">
        <v>66.497494564099995</v>
      </c>
      <c r="M236" s="26" t="s">
        <v>206</v>
      </c>
      <c r="N236" s="26">
        <v>3336.4019512195118</v>
      </c>
      <c r="O236" s="93">
        <f t="shared" si="18"/>
        <v>221862.37061487211</v>
      </c>
      <c r="P236" s="95">
        <f t="shared" si="19"/>
        <v>157648.61465168869</v>
      </c>
      <c r="Q236" s="196">
        <v>1</v>
      </c>
    </row>
    <row r="237" spans="1:17" x14ac:dyDescent="0.25">
      <c r="A237" s="243">
        <v>42346</v>
      </c>
      <c r="B237" s="243" t="s">
        <v>183</v>
      </c>
      <c r="C237" s="198" t="s">
        <v>683</v>
      </c>
      <c r="D237" s="111" t="s">
        <v>587</v>
      </c>
      <c r="E237" s="33">
        <f t="shared" si="20"/>
        <v>42346</v>
      </c>
      <c r="F237" s="104" t="str">
        <f t="shared" si="16"/>
        <v>2015-16</v>
      </c>
      <c r="H237" s="115"/>
      <c r="I237" s="26"/>
      <c r="J237" s="98">
        <f t="shared" si="17"/>
        <v>0.71056941388834605</v>
      </c>
      <c r="K237" s="36"/>
      <c r="L237" s="26">
        <v>32.561247672699999</v>
      </c>
      <c r="M237" s="26" t="s">
        <v>206</v>
      </c>
      <c r="N237" s="26">
        <v>812.22926829268283</v>
      </c>
      <c r="O237" s="93">
        <f t="shared" si="18"/>
        <v>26447.198371893941</v>
      </c>
      <c r="P237" s="95">
        <f t="shared" si="19"/>
        <v>18792.570246105497</v>
      </c>
      <c r="Q237" s="196">
        <v>1</v>
      </c>
    </row>
    <row r="238" spans="1:17" x14ac:dyDescent="0.25">
      <c r="A238" s="243">
        <v>42346</v>
      </c>
      <c r="B238" s="243" t="s">
        <v>183</v>
      </c>
      <c r="C238" s="198" t="s">
        <v>683</v>
      </c>
      <c r="D238" s="111" t="s">
        <v>587</v>
      </c>
      <c r="E238" s="33">
        <f t="shared" si="20"/>
        <v>42346</v>
      </c>
      <c r="F238" s="104" t="str">
        <f t="shared" si="16"/>
        <v>2015-16</v>
      </c>
      <c r="H238" s="115"/>
      <c r="I238" s="26"/>
      <c r="J238" s="98">
        <f t="shared" si="17"/>
        <v>0.71056941388834605</v>
      </c>
      <c r="K238" s="36"/>
      <c r="L238" s="26">
        <v>16.2536835517</v>
      </c>
      <c r="M238" s="26" t="s">
        <v>206</v>
      </c>
      <c r="N238" s="26">
        <v>812.22926829268283</v>
      </c>
      <c r="O238" s="93">
        <f t="shared" si="18"/>
        <v>13201.717498258105</v>
      </c>
      <c r="P238" s="95">
        <f t="shared" si="19"/>
        <v>9380.7366650567837</v>
      </c>
      <c r="Q238" s="196">
        <v>1</v>
      </c>
    </row>
    <row r="239" spans="1:17" x14ac:dyDescent="0.25">
      <c r="A239" s="243">
        <v>42346</v>
      </c>
      <c r="B239" s="243" t="s">
        <v>183</v>
      </c>
      <c r="C239" s="198" t="s">
        <v>683</v>
      </c>
      <c r="D239" s="111" t="s">
        <v>587</v>
      </c>
      <c r="E239" s="33">
        <f t="shared" si="20"/>
        <v>42346</v>
      </c>
      <c r="F239" s="104" t="str">
        <f t="shared" si="16"/>
        <v>2015-16</v>
      </c>
      <c r="H239" s="115"/>
      <c r="I239" s="26"/>
      <c r="J239" s="98">
        <f t="shared" si="17"/>
        <v>0.71056941388834605</v>
      </c>
      <c r="K239" s="36"/>
      <c r="L239" s="26">
        <v>15.675521044</v>
      </c>
      <c r="M239" s="26" t="s">
        <v>206</v>
      </c>
      <c r="N239" s="26">
        <v>812.22926829268283</v>
      </c>
      <c r="O239" s="93">
        <f t="shared" si="18"/>
        <v>12732.116987674672</v>
      </c>
      <c r="P239" s="95">
        <f t="shared" si="19"/>
        <v>9047.0529054898452</v>
      </c>
      <c r="Q239" s="196">
        <v>1</v>
      </c>
    </row>
    <row r="240" spans="1:17" x14ac:dyDescent="0.25">
      <c r="A240" s="243">
        <v>42346</v>
      </c>
      <c r="B240" s="243" t="s">
        <v>183</v>
      </c>
      <c r="C240" s="198" t="s">
        <v>683</v>
      </c>
      <c r="D240" s="111" t="s">
        <v>587</v>
      </c>
      <c r="E240" s="33">
        <f t="shared" si="20"/>
        <v>42346</v>
      </c>
      <c r="F240" s="104" t="str">
        <f t="shared" si="16"/>
        <v>2015-16</v>
      </c>
      <c r="H240" s="115"/>
      <c r="I240" s="26"/>
      <c r="J240" s="98">
        <f t="shared" si="17"/>
        <v>0.71056941388834605</v>
      </c>
      <c r="K240" s="36"/>
      <c r="L240" s="26">
        <v>47.501332076099999</v>
      </c>
      <c r="M240" s="26" t="s">
        <v>206</v>
      </c>
      <c r="N240" s="26">
        <v>812.22926829268283</v>
      </c>
      <c r="O240" s="93">
        <f t="shared" si="18"/>
        <v>38581.972195098446</v>
      </c>
      <c r="P240" s="95">
        <f t="shared" si="19"/>
        <v>27415.169369327567</v>
      </c>
      <c r="Q240" s="196">
        <v>1</v>
      </c>
    </row>
    <row r="241" spans="1:17" x14ac:dyDescent="0.25">
      <c r="A241" s="243">
        <v>42403</v>
      </c>
      <c r="B241" s="243" t="s">
        <v>183</v>
      </c>
      <c r="C241" s="198" t="s">
        <v>683</v>
      </c>
      <c r="D241" s="111" t="s">
        <v>684</v>
      </c>
      <c r="E241" s="33">
        <f t="shared" si="20"/>
        <v>42403</v>
      </c>
      <c r="F241" s="104" t="str">
        <f t="shared" si="16"/>
        <v>2015-16</v>
      </c>
      <c r="H241" s="115"/>
      <c r="I241" s="26"/>
      <c r="J241" s="98">
        <f t="shared" si="17"/>
        <v>0.71056941388834605</v>
      </c>
      <c r="K241" s="36"/>
      <c r="L241" s="26">
        <v>10.900562645999999</v>
      </c>
      <c r="M241" s="26" t="s">
        <v>206</v>
      </c>
      <c r="N241" s="26">
        <v>812.22926829268283</v>
      </c>
      <c r="O241" s="93">
        <f t="shared" si="18"/>
        <v>8853.7560219391307</v>
      </c>
      <c r="P241" s="95">
        <f t="shared" si="19"/>
        <v>6291.2082272197022</v>
      </c>
      <c r="Q241" s="196">
        <v>1</v>
      </c>
    </row>
    <row r="242" spans="1:17" x14ac:dyDescent="0.25">
      <c r="A242" s="243">
        <v>42403</v>
      </c>
      <c r="B242" s="243" t="s">
        <v>183</v>
      </c>
      <c r="C242" s="198" t="s">
        <v>683</v>
      </c>
      <c r="D242" s="111" t="s">
        <v>684</v>
      </c>
      <c r="E242" s="33">
        <f t="shared" si="20"/>
        <v>42403</v>
      </c>
      <c r="F242" s="104" t="str">
        <f t="shared" si="16"/>
        <v>2015-16</v>
      </c>
      <c r="H242" s="115"/>
      <c r="I242" s="26"/>
      <c r="J242" s="98">
        <f t="shared" si="17"/>
        <v>0.71056941388834605</v>
      </c>
      <c r="K242" s="36"/>
      <c r="L242" s="26">
        <v>7.4731458569999996</v>
      </c>
      <c r="M242" s="26" t="s">
        <v>206</v>
      </c>
      <c r="N242" s="26">
        <v>812.22926829268283</v>
      </c>
      <c r="O242" s="93">
        <f t="shared" si="18"/>
        <v>6069.9077912756038</v>
      </c>
      <c r="P242" s="95">
        <f t="shared" si="19"/>
        <v>4313.0908216030111</v>
      </c>
      <c r="Q242" s="196">
        <v>1</v>
      </c>
    </row>
    <row r="243" spans="1:17" x14ac:dyDescent="0.25">
      <c r="A243" s="243">
        <v>42514</v>
      </c>
      <c r="B243" s="243" t="s">
        <v>183</v>
      </c>
      <c r="C243" s="198" t="s">
        <v>685</v>
      </c>
      <c r="D243" s="111" t="s">
        <v>686</v>
      </c>
      <c r="E243" s="33">
        <f t="shared" si="20"/>
        <v>42514</v>
      </c>
      <c r="F243" s="104" t="str">
        <f t="shared" si="16"/>
        <v>2015-16</v>
      </c>
      <c r="H243" s="115"/>
      <c r="I243" s="26"/>
      <c r="J243" s="98">
        <f t="shared" si="17"/>
        <v>0.71056941388834605</v>
      </c>
      <c r="K243" s="36"/>
      <c r="L243" s="26">
        <v>46.253563581599998</v>
      </c>
      <c r="M243" s="26" t="s">
        <v>206</v>
      </c>
      <c r="N243" s="26">
        <v>4137.5668292682922</v>
      </c>
      <c r="O243" s="93">
        <f t="shared" si="18"/>
        <v>191377.21041068007</v>
      </c>
      <c r="P243" s="95">
        <f t="shared" si="19"/>
        <v>124684.22266312194</v>
      </c>
      <c r="Q243" s="196">
        <v>0.91688479899866138</v>
      </c>
    </row>
    <row r="244" spans="1:17" x14ac:dyDescent="0.25">
      <c r="A244" s="243">
        <v>42514</v>
      </c>
      <c r="B244" s="243" t="s">
        <v>183</v>
      </c>
      <c r="C244" s="198" t="s">
        <v>685</v>
      </c>
      <c r="D244" s="111" t="s">
        <v>686</v>
      </c>
      <c r="E244" s="33">
        <f t="shared" si="20"/>
        <v>42514</v>
      </c>
      <c r="F244" s="104" t="str">
        <f t="shared" si="16"/>
        <v>2015-16</v>
      </c>
      <c r="H244" s="115"/>
      <c r="I244" s="26"/>
      <c r="J244" s="98">
        <f t="shared" si="17"/>
        <v>0.71056941388834605</v>
      </c>
      <c r="K244" s="36"/>
      <c r="L244" s="26">
        <v>85.469477183400002</v>
      </c>
      <c r="M244" s="26" t="s">
        <v>206</v>
      </c>
      <c r="N244" s="26">
        <v>1361.4565853658535</v>
      </c>
      <c r="O244" s="93">
        <f t="shared" si="18"/>
        <v>116362.98255911648</v>
      </c>
      <c r="P244" s="95">
        <f t="shared" si="19"/>
        <v>75811.681004292564</v>
      </c>
      <c r="Q244" s="196">
        <v>0.91688479899866138</v>
      </c>
    </row>
    <row r="245" spans="1:17" x14ac:dyDescent="0.25">
      <c r="A245" s="243">
        <v>42514</v>
      </c>
      <c r="B245" s="243" t="s">
        <v>183</v>
      </c>
      <c r="C245" s="198" t="s">
        <v>685</v>
      </c>
      <c r="D245" s="111" t="s">
        <v>686</v>
      </c>
      <c r="E245" s="33">
        <f t="shared" si="20"/>
        <v>42514</v>
      </c>
      <c r="F245" s="104" t="str">
        <f t="shared" si="16"/>
        <v>2015-16</v>
      </c>
      <c r="H245" s="115"/>
      <c r="I245" s="26"/>
      <c r="J245" s="98">
        <f t="shared" si="17"/>
        <v>0.71056941388834605</v>
      </c>
      <c r="K245" s="36"/>
      <c r="L245" s="26">
        <v>5.7982647404199996</v>
      </c>
      <c r="M245" s="26" t="s">
        <v>206</v>
      </c>
      <c r="N245" s="26">
        <v>1361.4565853658535</v>
      </c>
      <c r="O245" s="93">
        <f t="shared" si="18"/>
        <v>7894.0857145394393</v>
      </c>
      <c r="P245" s="95">
        <f t="shared" si="19"/>
        <v>5143.078106537585</v>
      </c>
      <c r="Q245" s="196">
        <v>0.91688479899866138</v>
      </c>
    </row>
    <row r="246" spans="1:17" x14ac:dyDescent="0.25">
      <c r="A246" s="243">
        <v>42514</v>
      </c>
      <c r="B246" s="243" t="s">
        <v>183</v>
      </c>
      <c r="C246" s="198" t="s">
        <v>685</v>
      </c>
      <c r="D246" s="111" t="s">
        <v>686</v>
      </c>
      <c r="E246" s="33">
        <f t="shared" si="20"/>
        <v>42514</v>
      </c>
      <c r="F246" s="104" t="str">
        <f t="shared" si="16"/>
        <v>2015-16</v>
      </c>
      <c r="H246" s="115"/>
      <c r="I246" s="26"/>
      <c r="J246" s="98">
        <f t="shared" si="17"/>
        <v>0.71056941388834605</v>
      </c>
      <c r="K246" s="36"/>
      <c r="L246" s="26">
        <v>11.5695061712</v>
      </c>
      <c r="M246" s="26" t="s">
        <v>206</v>
      </c>
      <c r="N246" s="26">
        <v>4137.5668292682922</v>
      </c>
      <c r="O246" s="93">
        <f t="shared" si="18"/>
        <v>47869.604964971928</v>
      </c>
      <c r="P246" s="95">
        <f t="shared" si="19"/>
        <v>31187.540415288455</v>
      </c>
      <c r="Q246" s="196">
        <v>0.91688479899866138</v>
      </c>
    </row>
    <row r="247" spans="1:17" x14ac:dyDescent="0.25">
      <c r="A247" s="243">
        <v>42514</v>
      </c>
      <c r="B247" s="243" t="s">
        <v>183</v>
      </c>
      <c r="C247" s="198" t="s">
        <v>685</v>
      </c>
      <c r="D247" s="111" t="s">
        <v>686</v>
      </c>
      <c r="E247" s="33">
        <f t="shared" si="20"/>
        <v>42514</v>
      </c>
      <c r="F247" s="104" t="str">
        <f t="shared" si="16"/>
        <v>2015-16</v>
      </c>
      <c r="H247" s="115"/>
      <c r="I247" s="26"/>
      <c r="J247" s="98">
        <f t="shared" si="17"/>
        <v>0.71056941388834605</v>
      </c>
      <c r="K247" s="36"/>
      <c r="L247" s="26">
        <v>40.033878977699999</v>
      </c>
      <c r="M247" s="26" t="s">
        <v>206</v>
      </c>
      <c r="N247" s="26">
        <v>4137.5668292682922</v>
      </c>
      <c r="O247" s="93">
        <f t="shared" si="18"/>
        <v>165642.84970507273</v>
      </c>
      <c r="P247" s="95">
        <f t="shared" si="19"/>
        <v>107918.02174805218</v>
      </c>
      <c r="Q247" s="196">
        <v>0.91688479899866138</v>
      </c>
    </row>
    <row r="248" spans="1:17" x14ac:dyDescent="0.25">
      <c r="A248" s="243">
        <v>42514</v>
      </c>
      <c r="B248" s="243" t="s">
        <v>183</v>
      </c>
      <c r="C248" s="198" t="s">
        <v>685</v>
      </c>
      <c r="D248" s="111" t="s">
        <v>686</v>
      </c>
      <c r="E248" s="33">
        <f t="shared" si="20"/>
        <v>42514</v>
      </c>
      <c r="F248" s="104" t="str">
        <f t="shared" si="16"/>
        <v>2015-16</v>
      </c>
      <c r="H248" s="115"/>
      <c r="I248" s="26"/>
      <c r="J248" s="98">
        <f t="shared" si="17"/>
        <v>0.71056941388834605</v>
      </c>
      <c r="K248" s="36"/>
      <c r="L248" s="26">
        <v>87.147695465799998</v>
      </c>
      <c r="M248" s="26" t="s">
        <v>206</v>
      </c>
      <c r="N248" s="26">
        <v>4137.5668292682922</v>
      </c>
      <c r="O248" s="93">
        <f t="shared" si="18"/>
        <v>360579.41400646884</v>
      </c>
      <c r="P248" s="95">
        <f t="shared" si="19"/>
        <v>234921.20011177473</v>
      </c>
      <c r="Q248" s="196">
        <v>0.91688479899866138</v>
      </c>
    </row>
    <row r="249" spans="1:17" x14ac:dyDescent="0.25">
      <c r="A249" s="243">
        <v>42818</v>
      </c>
      <c r="B249" s="243" t="s">
        <v>183</v>
      </c>
      <c r="C249" s="198" t="s">
        <v>687</v>
      </c>
      <c r="D249" s="111" t="s">
        <v>688</v>
      </c>
      <c r="E249" s="33">
        <f t="shared" si="20"/>
        <v>42818</v>
      </c>
      <c r="F249" s="104" t="str">
        <f t="shared" si="16"/>
        <v>2016-17</v>
      </c>
      <c r="H249" s="115"/>
      <c r="I249" s="26"/>
      <c r="J249" s="98">
        <f t="shared" si="17"/>
        <v>0.71056941388834605</v>
      </c>
      <c r="K249" s="36"/>
      <c r="L249" s="26">
        <v>122.695242862</v>
      </c>
      <c r="M249" s="26" t="s">
        <v>206</v>
      </c>
      <c r="N249" s="26">
        <v>1162.6195121951216</v>
      </c>
      <c r="O249" s="93">
        <f t="shared" si="18"/>
        <v>142647.88340488041</v>
      </c>
      <c r="P249" s="95">
        <f t="shared" si="19"/>
        <v>101361.22290341899</v>
      </c>
      <c r="Q249" s="196">
        <v>1</v>
      </c>
    </row>
    <row r="250" spans="1:17" x14ac:dyDescent="0.25">
      <c r="A250" s="243">
        <v>42818</v>
      </c>
      <c r="B250" s="243" t="s">
        <v>183</v>
      </c>
      <c r="C250" s="198" t="s">
        <v>687</v>
      </c>
      <c r="D250" s="111" t="s">
        <v>688</v>
      </c>
      <c r="E250" s="33">
        <f t="shared" si="20"/>
        <v>42818</v>
      </c>
      <c r="F250" s="104" t="str">
        <f t="shared" si="16"/>
        <v>2016-17</v>
      </c>
      <c r="H250" s="115"/>
      <c r="I250" s="26"/>
      <c r="J250" s="98">
        <f t="shared" si="17"/>
        <v>0.71056941388834605</v>
      </c>
      <c r="K250" s="36"/>
      <c r="L250" s="26">
        <v>32.104147925200003</v>
      </c>
      <c r="M250" s="26" t="s">
        <v>206</v>
      </c>
      <c r="N250" s="26">
        <v>1162.6195121951216</v>
      </c>
      <c r="O250" s="93">
        <f t="shared" si="18"/>
        <v>37324.908800236051</v>
      </c>
      <c r="P250" s="95">
        <f t="shared" si="19"/>
        <v>26521.938569619699</v>
      </c>
      <c r="Q250" s="196">
        <v>1</v>
      </c>
    </row>
    <row r="251" spans="1:17" x14ac:dyDescent="0.25">
      <c r="A251" s="243">
        <v>42818</v>
      </c>
      <c r="B251" s="243" t="s">
        <v>183</v>
      </c>
      <c r="C251" s="198" t="s">
        <v>687</v>
      </c>
      <c r="D251" s="111" t="s">
        <v>688</v>
      </c>
      <c r="E251" s="33">
        <f t="shared" si="20"/>
        <v>42818</v>
      </c>
      <c r="F251" s="104" t="str">
        <f t="shared" si="16"/>
        <v>2016-17</v>
      </c>
      <c r="H251" s="115"/>
      <c r="I251" s="26"/>
      <c r="J251" s="98">
        <f t="shared" si="17"/>
        <v>0.71056941388834605</v>
      </c>
      <c r="K251" s="36"/>
      <c r="L251" s="26">
        <v>25.871113408599999</v>
      </c>
      <c r="M251" s="26" t="s">
        <v>206</v>
      </c>
      <c r="N251" s="26">
        <v>1162.6195121951216</v>
      </c>
      <c r="O251" s="93">
        <f t="shared" si="18"/>
        <v>30078.261251051201</v>
      </c>
      <c r="P251" s="95">
        <f t="shared" si="19"/>
        <v>21372.692467940004</v>
      </c>
      <c r="Q251" s="196">
        <v>1</v>
      </c>
    </row>
    <row r="252" spans="1:17" x14ac:dyDescent="0.25">
      <c r="A252" s="243">
        <v>42818</v>
      </c>
      <c r="B252" s="243" t="s">
        <v>183</v>
      </c>
      <c r="C252" s="198" t="s">
        <v>687</v>
      </c>
      <c r="D252" s="111" t="s">
        <v>688</v>
      </c>
      <c r="E252" s="33">
        <f t="shared" si="20"/>
        <v>42818</v>
      </c>
      <c r="F252" s="104" t="str">
        <f t="shared" si="16"/>
        <v>2016-17</v>
      </c>
      <c r="H252" s="115"/>
      <c r="I252" s="26"/>
      <c r="J252" s="98">
        <f t="shared" si="17"/>
        <v>0.71056941388834605</v>
      </c>
      <c r="K252" s="36"/>
      <c r="L252" s="26">
        <v>21.9893598361</v>
      </c>
      <c r="M252" s="26" t="s">
        <v>206</v>
      </c>
      <c r="N252" s="26">
        <v>1162.6195121951216</v>
      </c>
      <c r="O252" s="93">
        <f t="shared" si="18"/>
        <v>25565.258806129583</v>
      </c>
      <c r="P252" s="95">
        <f t="shared" si="19"/>
        <v>18165.890965775376</v>
      </c>
      <c r="Q252" s="196">
        <v>1</v>
      </c>
    </row>
    <row r="253" spans="1:17" x14ac:dyDescent="0.25">
      <c r="A253" s="243">
        <v>42818</v>
      </c>
      <c r="B253" s="243" t="s">
        <v>183</v>
      </c>
      <c r="C253" s="198" t="s">
        <v>687</v>
      </c>
      <c r="D253" s="111" t="s">
        <v>688</v>
      </c>
      <c r="E253" s="33">
        <f t="shared" si="20"/>
        <v>42818</v>
      </c>
      <c r="F253" s="104" t="str">
        <f t="shared" si="16"/>
        <v>2016-17</v>
      </c>
      <c r="H253" s="115"/>
      <c r="I253" s="26"/>
      <c r="J253" s="98">
        <f t="shared" si="17"/>
        <v>0.71056941388834605</v>
      </c>
      <c r="K253" s="36"/>
      <c r="L253" s="26">
        <v>31.436460185600001</v>
      </c>
      <c r="M253" s="26" t="s">
        <v>206</v>
      </c>
      <c r="N253" s="26">
        <v>1162.6195121951216</v>
      </c>
      <c r="O253" s="93">
        <f t="shared" si="18"/>
        <v>36548.642006123635</v>
      </c>
      <c r="P253" s="95">
        <f t="shared" si="19"/>
        <v>25970.347128706257</v>
      </c>
      <c r="Q253" s="196">
        <v>1</v>
      </c>
    </row>
    <row r="254" spans="1:17" x14ac:dyDescent="0.25">
      <c r="A254" s="243">
        <v>42818</v>
      </c>
      <c r="B254" s="243" t="s">
        <v>183</v>
      </c>
      <c r="C254" s="198" t="s">
        <v>687</v>
      </c>
      <c r="D254" s="111" t="s">
        <v>688</v>
      </c>
      <c r="E254" s="33">
        <f t="shared" si="20"/>
        <v>42818</v>
      </c>
      <c r="F254" s="104" t="str">
        <f t="shared" si="16"/>
        <v>2016-17</v>
      </c>
      <c r="H254" s="115"/>
      <c r="I254" s="26"/>
      <c r="J254" s="98">
        <f t="shared" si="17"/>
        <v>0.71056941388834605</v>
      </c>
      <c r="K254" s="36"/>
      <c r="L254" s="26">
        <v>97.149433194400004</v>
      </c>
      <c r="M254" s="26" t="s">
        <v>206</v>
      </c>
      <c r="N254" s="26">
        <v>1162.6195121951216</v>
      </c>
      <c r="O254" s="93">
        <f t="shared" si="18"/>
        <v>112947.82663050589</v>
      </c>
      <c r="P254" s="95">
        <f t="shared" si="19"/>
        <v>80257.270968801095</v>
      </c>
      <c r="Q254" s="196">
        <v>1</v>
      </c>
    </row>
    <row r="255" spans="1:17" x14ac:dyDescent="0.25">
      <c r="A255" s="243">
        <v>42983</v>
      </c>
      <c r="B255" s="243" t="s">
        <v>183</v>
      </c>
      <c r="C255" s="198" t="s">
        <v>689</v>
      </c>
      <c r="D255" s="111" t="s">
        <v>690</v>
      </c>
      <c r="E255" s="33">
        <f t="shared" si="20"/>
        <v>42983</v>
      </c>
      <c r="F255" s="104" t="str">
        <f t="shared" si="16"/>
        <v>2017-18</v>
      </c>
      <c r="H255" s="115"/>
      <c r="I255" s="26"/>
      <c r="J255" s="98">
        <f t="shared" si="17"/>
        <v>0.71056941388834605</v>
      </c>
      <c r="K255" s="36"/>
      <c r="L255" s="26">
        <v>127.036281566</v>
      </c>
      <c r="M255" s="26" t="s">
        <v>206</v>
      </c>
      <c r="N255" s="26">
        <v>1162.6195121951216</v>
      </c>
      <c r="O255" s="93">
        <f t="shared" si="18"/>
        <v>147694.85970534504</v>
      </c>
      <c r="P255" s="95">
        <f t="shared" si="19"/>
        <v>1717.1037463829891</v>
      </c>
      <c r="Q255" s="196">
        <v>1.6361557599527409E-2</v>
      </c>
    </row>
    <row r="256" spans="1:17" x14ac:dyDescent="0.25">
      <c r="A256" s="243">
        <v>42983</v>
      </c>
      <c r="B256" s="243" t="s">
        <v>183</v>
      </c>
      <c r="C256" s="198" t="s">
        <v>689</v>
      </c>
      <c r="D256" s="111" t="s">
        <v>690</v>
      </c>
      <c r="E256" s="33">
        <f t="shared" si="20"/>
        <v>42983</v>
      </c>
      <c r="F256" s="104" t="str">
        <f t="shared" si="16"/>
        <v>2017-18</v>
      </c>
      <c r="H256" s="115"/>
      <c r="I256" s="26"/>
      <c r="J256" s="98">
        <f t="shared" si="17"/>
        <v>0.71056941388834605</v>
      </c>
      <c r="K256" s="36"/>
      <c r="L256" s="26">
        <v>38.472217742200002</v>
      </c>
      <c r="M256" s="26" t="s">
        <v>206</v>
      </c>
      <c r="N256" s="26">
        <v>1162.6195121951216</v>
      </c>
      <c r="O256" s="93">
        <f t="shared" si="18"/>
        <v>44728.551024501066</v>
      </c>
      <c r="P256" s="95">
        <f t="shared" si="19"/>
        <v>520.01513585292355</v>
      </c>
      <c r="Q256" s="196">
        <v>1.6361557599527409E-2</v>
      </c>
    </row>
    <row r="257" spans="1:17" x14ac:dyDescent="0.25">
      <c r="A257" s="243">
        <v>42983</v>
      </c>
      <c r="B257" s="243" t="s">
        <v>183</v>
      </c>
      <c r="C257" s="198" t="s">
        <v>689</v>
      </c>
      <c r="D257" s="111" t="s">
        <v>690</v>
      </c>
      <c r="E257" s="33">
        <f t="shared" si="20"/>
        <v>42983</v>
      </c>
      <c r="F257" s="104" t="str">
        <f t="shared" si="16"/>
        <v>2017-18</v>
      </c>
      <c r="H257" s="115"/>
      <c r="I257" s="26"/>
      <c r="J257" s="98">
        <f t="shared" si="17"/>
        <v>0.71056941388834605</v>
      </c>
      <c r="K257" s="36"/>
      <c r="L257" s="26">
        <v>3.6139784171999998</v>
      </c>
      <c r="M257" s="26" t="s">
        <v>206</v>
      </c>
      <c r="N257" s="26">
        <v>1162.6195121951216</v>
      </c>
      <c r="O257" s="93">
        <f t="shared" si="18"/>
        <v>4201.6818244887618</v>
      </c>
      <c r="P257" s="95">
        <f t="shared" si="19"/>
        <v>48.84884698311452</v>
      </c>
      <c r="Q257" s="196">
        <v>1.6361557599527409E-2</v>
      </c>
    </row>
    <row r="258" spans="1:17" x14ac:dyDescent="0.25">
      <c r="A258" s="243">
        <v>42997</v>
      </c>
      <c r="B258" s="243" t="s">
        <v>183</v>
      </c>
      <c r="C258" s="198" t="s">
        <v>691</v>
      </c>
      <c r="D258" s="111" t="s">
        <v>692</v>
      </c>
      <c r="E258" s="33">
        <f t="shared" si="20"/>
        <v>42997</v>
      </c>
      <c r="F258" s="104" t="str">
        <f t="shared" si="16"/>
        <v>2017-18</v>
      </c>
      <c r="H258" s="115"/>
      <c r="I258" s="26"/>
      <c r="J258" s="98">
        <f t="shared" si="17"/>
        <v>0.71056941388834605</v>
      </c>
      <c r="K258" s="36"/>
      <c r="L258" s="26">
        <v>12.496667155700001</v>
      </c>
      <c r="M258" s="26" t="s">
        <v>206</v>
      </c>
      <c r="N258" s="26">
        <v>3336.4019512195118</v>
      </c>
      <c r="O258" s="93">
        <f t="shared" si="18"/>
        <v>41693.90468201827</v>
      </c>
      <c r="P258" s="95">
        <f t="shared" si="19"/>
        <v>29626.413412618291</v>
      </c>
      <c r="Q258" s="196">
        <v>1</v>
      </c>
    </row>
    <row r="259" spans="1:17" x14ac:dyDescent="0.25">
      <c r="A259" s="243">
        <v>43027</v>
      </c>
      <c r="B259" s="243" t="s">
        <v>183</v>
      </c>
      <c r="C259" s="198" t="s">
        <v>691</v>
      </c>
      <c r="D259" s="111" t="s">
        <v>600</v>
      </c>
      <c r="E259" s="33">
        <f t="shared" si="20"/>
        <v>43027</v>
      </c>
      <c r="F259" s="104" t="str">
        <f t="shared" si="16"/>
        <v>2017-18</v>
      </c>
      <c r="H259" s="115"/>
      <c r="I259" s="26"/>
      <c r="J259" s="98">
        <f t="shared" si="17"/>
        <v>0.71056941388834605</v>
      </c>
      <c r="K259" s="36"/>
      <c r="L259" s="26">
        <v>19.498081480300002</v>
      </c>
      <c r="M259" s="26" t="s">
        <v>206</v>
      </c>
      <c r="N259" s="26">
        <v>3592.3639024390236</v>
      </c>
      <c r="O259" s="93">
        <f t="shared" si="18"/>
        <v>70044.204076644572</v>
      </c>
      <c r="P259" s="95">
        <f t="shared" si="19"/>
        <v>49771.269037017031</v>
      </c>
      <c r="Q259" s="196">
        <v>1</v>
      </c>
    </row>
    <row r="260" spans="1:17" x14ac:dyDescent="0.25">
      <c r="A260" s="243">
        <v>43118</v>
      </c>
      <c r="B260" s="243" t="s">
        <v>183</v>
      </c>
      <c r="C260" s="198" t="s">
        <v>693</v>
      </c>
      <c r="D260" s="111" t="s">
        <v>585</v>
      </c>
      <c r="E260" s="33">
        <f t="shared" si="20"/>
        <v>43118</v>
      </c>
      <c r="F260" s="104" t="str">
        <f t="shared" si="16"/>
        <v>2017-18</v>
      </c>
      <c r="H260" s="115"/>
      <c r="I260" s="26"/>
      <c r="J260" s="98">
        <f t="shared" si="17"/>
        <v>0.71056941388834605</v>
      </c>
      <c r="K260" s="36"/>
      <c r="L260" s="26">
        <v>9.3042194729100007</v>
      </c>
      <c r="M260" s="26" t="s">
        <v>206</v>
      </c>
      <c r="N260" s="26">
        <v>3592.3639024390236</v>
      </c>
      <c r="O260" s="93">
        <f t="shared" si="18"/>
        <v>33424.142174852124</v>
      </c>
      <c r="P260" s="95">
        <f t="shared" si="19"/>
        <v>23750.173114905421</v>
      </c>
      <c r="Q260" s="196">
        <v>1</v>
      </c>
    </row>
    <row r="261" spans="1:17" x14ac:dyDescent="0.25">
      <c r="A261" s="243">
        <v>43206</v>
      </c>
      <c r="B261" s="243" t="s">
        <v>183</v>
      </c>
      <c r="C261" s="198" t="s">
        <v>694</v>
      </c>
      <c r="D261" s="111" t="s">
        <v>678</v>
      </c>
      <c r="E261" s="33">
        <f t="shared" si="20"/>
        <v>43206</v>
      </c>
      <c r="F261" s="104" t="str">
        <f t="shared" si="16"/>
        <v>2017-18</v>
      </c>
      <c r="H261" s="115"/>
      <c r="I261" s="26"/>
      <c r="J261" s="98">
        <f t="shared" si="17"/>
        <v>0.71056941388834605</v>
      </c>
      <c r="K261" s="36"/>
      <c r="L261" s="26">
        <v>60.216013169299998</v>
      </c>
      <c r="M261" s="26" t="s">
        <v>206</v>
      </c>
      <c r="N261" s="26">
        <v>3875.3912195121943</v>
      </c>
      <c r="O261" s="93">
        <f t="shared" si="18"/>
        <v>233360.60871033586</v>
      </c>
      <c r="P261" s="95">
        <f t="shared" si="19"/>
        <v>165818.910955931</v>
      </c>
      <c r="Q261" s="196">
        <v>1</v>
      </c>
    </row>
    <row r="262" spans="1:17" x14ac:dyDescent="0.25">
      <c r="A262" s="243">
        <v>43206</v>
      </c>
      <c r="B262" s="243" t="s">
        <v>183</v>
      </c>
      <c r="C262" s="198" t="s">
        <v>694</v>
      </c>
      <c r="D262" s="111" t="s">
        <v>678</v>
      </c>
      <c r="E262" s="33">
        <f t="shared" si="20"/>
        <v>43206</v>
      </c>
      <c r="F262" s="104" t="str">
        <f t="shared" si="16"/>
        <v>2017-18</v>
      </c>
      <c r="H262" s="115"/>
      <c r="I262" s="26"/>
      <c r="J262" s="98">
        <f t="shared" si="17"/>
        <v>0.71056941388834605</v>
      </c>
      <c r="K262" s="36"/>
      <c r="L262" s="26">
        <v>110.88644034799999</v>
      </c>
      <c r="M262" s="26" t="s">
        <v>206</v>
      </c>
      <c r="N262" s="26">
        <v>3875.3912195121943</v>
      </c>
      <c r="O262" s="93">
        <f t="shared" si="18"/>
        <v>429728.3372876019</v>
      </c>
      <c r="P262" s="95">
        <f t="shared" si="19"/>
        <v>305351.81275766477</v>
      </c>
      <c r="Q262" s="196">
        <v>1</v>
      </c>
    </row>
    <row r="263" spans="1:17" x14ac:dyDescent="0.25">
      <c r="A263" s="243">
        <v>43206</v>
      </c>
      <c r="B263" s="243" t="s">
        <v>183</v>
      </c>
      <c r="C263" s="198" t="s">
        <v>694</v>
      </c>
      <c r="D263" s="111" t="s">
        <v>678</v>
      </c>
      <c r="E263" s="33">
        <f t="shared" si="20"/>
        <v>43206</v>
      </c>
      <c r="F263" s="104" t="str">
        <f t="shared" si="16"/>
        <v>2017-18</v>
      </c>
      <c r="H263" s="115"/>
      <c r="I263" s="26"/>
      <c r="J263" s="98">
        <f t="shared" si="17"/>
        <v>0.71056941388834605</v>
      </c>
      <c r="K263" s="36"/>
      <c r="L263" s="26">
        <v>10.2234907933</v>
      </c>
      <c r="M263" s="26" t="s">
        <v>206</v>
      </c>
      <c r="N263" s="26">
        <v>3875.3912195121943</v>
      </c>
      <c r="O263" s="93">
        <f t="shared" si="18"/>
        <v>39620.026453118575</v>
      </c>
      <c r="P263" s="95">
        <f t="shared" si="19"/>
        <v>28152.77897503323</v>
      </c>
      <c r="Q263" s="196">
        <v>1</v>
      </c>
    </row>
    <row r="264" spans="1:17" x14ac:dyDescent="0.25">
      <c r="A264" s="243">
        <v>43206</v>
      </c>
      <c r="B264" s="243" t="s">
        <v>183</v>
      </c>
      <c r="C264" s="198" t="s">
        <v>694</v>
      </c>
      <c r="D264" s="111" t="s">
        <v>678</v>
      </c>
      <c r="E264" s="33">
        <f t="shared" si="20"/>
        <v>43206</v>
      </c>
      <c r="F264" s="104" t="str">
        <f t="shared" si="16"/>
        <v>2017-18</v>
      </c>
      <c r="H264" s="115"/>
      <c r="I264" s="26"/>
      <c r="J264" s="98">
        <f t="shared" si="17"/>
        <v>0.71056941388834605</v>
      </c>
      <c r="K264" s="36"/>
      <c r="L264" s="26">
        <v>85.651881957499995</v>
      </c>
      <c r="M264" s="26" t="s">
        <v>206</v>
      </c>
      <c r="N264" s="26">
        <v>3875.3912195121943</v>
      </c>
      <c r="O264" s="93">
        <f t="shared" si="18"/>
        <v>331934.55127279041</v>
      </c>
      <c r="P264" s="95">
        <f t="shared" si="19"/>
        <v>235862.53954719784</v>
      </c>
      <c r="Q264" s="196">
        <v>1</v>
      </c>
    </row>
    <row r="265" spans="1:17" x14ac:dyDescent="0.25">
      <c r="A265" s="243">
        <v>43206</v>
      </c>
      <c r="B265" s="243" t="s">
        <v>183</v>
      </c>
      <c r="C265" s="198" t="s">
        <v>694</v>
      </c>
      <c r="D265" s="111" t="s">
        <v>678</v>
      </c>
      <c r="E265" s="33">
        <f t="shared" si="20"/>
        <v>43206</v>
      </c>
      <c r="F265" s="104" t="str">
        <f t="shared" si="16"/>
        <v>2017-18</v>
      </c>
      <c r="H265" s="115"/>
      <c r="I265" s="26"/>
      <c r="J265" s="98">
        <f t="shared" si="17"/>
        <v>0.71056941388834605</v>
      </c>
      <c r="K265" s="36"/>
      <c r="L265" s="26">
        <v>24.178205475199999</v>
      </c>
      <c r="M265" s="26" t="s">
        <v>206</v>
      </c>
      <c r="N265" s="26">
        <v>1162.6195121951216</v>
      </c>
      <c r="O265" s="93">
        <f t="shared" si="18"/>
        <v>28110.053455330442</v>
      </c>
      <c r="P265" s="95">
        <f t="shared" si="19"/>
        <v>19974.144208124228</v>
      </c>
      <c r="Q265" s="196">
        <v>1</v>
      </c>
    </row>
    <row r="266" spans="1:17" x14ac:dyDescent="0.25">
      <c r="A266" s="243">
        <v>43206</v>
      </c>
      <c r="B266" s="243" t="s">
        <v>183</v>
      </c>
      <c r="C266" s="198" t="s">
        <v>694</v>
      </c>
      <c r="D266" s="111" t="s">
        <v>678</v>
      </c>
      <c r="E266" s="33">
        <f t="shared" si="20"/>
        <v>43206</v>
      </c>
      <c r="F266" s="104" t="str">
        <f t="shared" si="16"/>
        <v>2017-18</v>
      </c>
      <c r="H266" s="115"/>
      <c r="I266" s="26"/>
      <c r="J266" s="98">
        <f t="shared" si="17"/>
        <v>0.71056941388834605</v>
      </c>
      <c r="K266" s="36"/>
      <c r="L266" s="26">
        <v>105.417304082</v>
      </c>
      <c r="M266" s="26" t="s">
        <v>206</v>
      </c>
      <c r="N266" s="26">
        <v>1162.6195121951216</v>
      </c>
      <c r="O266" s="93">
        <f t="shared" si="18"/>
        <v>122560.21464873964</v>
      </c>
      <c r="P266" s="95">
        <f t="shared" si="19"/>
        <v>87087.539888984815</v>
      </c>
      <c r="Q266" s="196">
        <v>1</v>
      </c>
    </row>
    <row r="267" spans="1:17" x14ac:dyDescent="0.25">
      <c r="A267" s="243">
        <v>43206</v>
      </c>
      <c r="B267" s="243" t="s">
        <v>183</v>
      </c>
      <c r="C267" s="198" t="s">
        <v>694</v>
      </c>
      <c r="D267" s="111" t="s">
        <v>678</v>
      </c>
      <c r="E267" s="33">
        <f t="shared" si="20"/>
        <v>43206</v>
      </c>
      <c r="F267" s="104" t="str">
        <f t="shared" si="16"/>
        <v>2017-18</v>
      </c>
      <c r="H267" s="115"/>
      <c r="I267" s="26"/>
      <c r="J267" s="98">
        <f t="shared" si="17"/>
        <v>0.71056941388834605</v>
      </c>
      <c r="K267" s="36"/>
      <c r="L267" s="26">
        <v>77.604525230099995</v>
      </c>
      <c r="M267" s="26" t="s">
        <v>206</v>
      </c>
      <c r="N267" s="26">
        <v>3875.3912195121943</v>
      </c>
      <c r="O267" s="93">
        <f t="shared" si="18"/>
        <v>300747.89567114209</v>
      </c>
      <c r="P267" s="95">
        <f t="shared" si="19"/>
        <v>213702.25595519689</v>
      </c>
      <c r="Q267" s="196">
        <v>1</v>
      </c>
    </row>
    <row r="268" spans="1:17" x14ac:dyDescent="0.25">
      <c r="A268" s="243">
        <v>43206</v>
      </c>
      <c r="B268" s="243" t="s">
        <v>183</v>
      </c>
      <c r="C268" s="198" t="s">
        <v>694</v>
      </c>
      <c r="D268" s="111" t="s">
        <v>678</v>
      </c>
      <c r="E268" s="33">
        <f t="shared" si="20"/>
        <v>43206</v>
      </c>
      <c r="F268" s="104" t="str">
        <f t="shared" si="16"/>
        <v>2017-18</v>
      </c>
      <c r="H268" s="115"/>
      <c r="I268" s="26"/>
      <c r="J268" s="98">
        <f t="shared" si="17"/>
        <v>0.71056941388834605</v>
      </c>
      <c r="K268" s="36"/>
      <c r="L268" s="26">
        <v>22.951507357899999</v>
      </c>
      <c r="M268" s="26" t="s">
        <v>206</v>
      </c>
      <c r="N268" s="26">
        <v>1162.6195121951216</v>
      </c>
      <c r="O268" s="93">
        <f t="shared" si="18"/>
        <v>26683.87028858444</v>
      </c>
      <c r="P268" s="95">
        <f t="shared" si="19"/>
        <v>18960.742071232096</v>
      </c>
      <c r="Q268" s="196">
        <v>1</v>
      </c>
    </row>
    <row r="269" spans="1:17" x14ac:dyDescent="0.25">
      <c r="A269" s="243">
        <v>43206</v>
      </c>
      <c r="B269" s="243" t="s">
        <v>183</v>
      </c>
      <c r="C269" s="198" t="s">
        <v>694</v>
      </c>
      <c r="D269" s="111" t="s">
        <v>678</v>
      </c>
      <c r="E269" s="33">
        <f t="shared" si="20"/>
        <v>43206</v>
      </c>
      <c r="F269" s="104" t="str">
        <f t="shared" si="16"/>
        <v>2017-18</v>
      </c>
      <c r="H269" s="115"/>
      <c r="I269" s="26"/>
      <c r="J269" s="98">
        <f t="shared" si="17"/>
        <v>0.71056941388834605</v>
      </c>
      <c r="K269" s="36"/>
      <c r="L269" s="26">
        <v>35.079005977100003</v>
      </c>
      <c r="M269" s="26" t="s">
        <v>206</v>
      </c>
      <c r="N269" s="26">
        <v>1162.6195121951216</v>
      </c>
      <c r="O269" s="93">
        <f t="shared" si="18"/>
        <v>40783.536817385764</v>
      </c>
      <c r="P269" s="95">
        <f t="shared" si="19"/>
        <v>28979.533852623583</v>
      </c>
      <c r="Q269" s="196">
        <v>1</v>
      </c>
    </row>
    <row r="270" spans="1:17" x14ac:dyDescent="0.25">
      <c r="A270" s="243">
        <v>43206</v>
      </c>
      <c r="B270" s="243" t="s">
        <v>183</v>
      </c>
      <c r="C270" s="198" t="s">
        <v>694</v>
      </c>
      <c r="D270" s="111" t="s">
        <v>678</v>
      </c>
      <c r="E270" s="33">
        <f t="shared" si="20"/>
        <v>43206</v>
      </c>
      <c r="F270" s="104" t="str">
        <f t="shared" si="16"/>
        <v>2017-18</v>
      </c>
      <c r="H270" s="115"/>
      <c r="I270" s="26"/>
      <c r="J270" s="98">
        <f t="shared" si="17"/>
        <v>0.71056941388834605</v>
      </c>
      <c r="K270" s="36"/>
      <c r="L270" s="26">
        <v>66.948868496800003</v>
      </c>
      <c r="M270" s="26" t="s">
        <v>206</v>
      </c>
      <c r="N270" s="26">
        <v>1162.6195121951216</v>
      </c>
      <c r="O270" s="93">
        <f t="shared" si="18"/>
        <v>77836.060833764961</v>
      </c>
      <c r="P270" s="95">
        <f t="shared" si="19"/>
        <v>55307.924126026017</v>
      </c>
      <c r="Q270" s="196">
        <v>1</v>
      </c>
    </row>
    <row r="271" spans="1:17" x14ac:dyDescent="0.25">
      <c r="A271" s="243">
        <v>43206</v>
      </c>
      <c r="B271" s="243" t="s">
        <v>183</v>
      </c>
      <c r="C271" s="198" t="s">
        <v>694</v>
      </c>
      <c r="D271" s="111" t="s">
        <v>678</v>
      </c>
      <c r="E271" s="33">
        <f t="shared" si="20"/>
        <v>43206</v>
      </c>
      <c r="F271" s="104" t="str">
        <f t="shared" si="16"/>
        <v>2017-18</v>
      </c>
      <c r="H271" s="115"/>
      <c r="I271" s="26"/>
      <c r="J271" s="98">
        <f t="shared" si="17"/>
        <v>0.71056941388834605</v>
      </c>
      <c r="K271" s="36"/>
      <c r="L271" s="26">
        <v>4.5188849288300004</v>
      </c>
      <c r="M271" s="26" t="s">
        <v>206</v>
      </c>
      <c r="N271" s="26">
        <v>1162.6195121951216</v>
      </c>
      <c r="O271" s="93">
        <f t="shared" si="18"/>
        <v>5253.7437916222216</v>
      </c>
      <c r="P271" s="95">
        <f t="shared" si="19"/>
        <v>3733.1496467325387</v>
      </c>
      <c r="Q271" s="196">
        <v>1</v>
      </c>
    </row>
    <row r="272" spans="1:17" x14ac:dyDescent="0.25">
      <c r="A272" s="243">
        <v>43398</v>
      </c>
      <c r="B272" s="243" t="s">
        <v>183</v>
      </c>
      <c r="C272" s="198" t="s">
        <v>695</v>
      </c>
      <c r="D272" s="111" t="s">
        <v>696</v>
      </c>
      <c r="E272" s="33">
        <f t="shared" si="20"/>
        <v>43398</v>
      </c>
      <c r="F272" s="104" t="str">
        <f t="shared" si="16"/>
        <v>2018-19</v>
      </c>
      <c r="H272" s="115"/>
      <c r="I272" s="26"/>
      <c r="J272" s="98">
        <f t="shared" si="17"/>
        <v>0.71056941388834605</v>
      </c>
      <c r="K272" s="36"/>
      <c r="L272" s="26">
        <v>47.531110254200001</v>
      </c>
      <c r="M272" s="26" t="s">
        <v>206</v>
      </c>
      <c r="N272" s="26">
        <v>4416.6341463414628</v>
      </c>
      <c r="O272" s="93">
        <f t="shared" si="18"/>
        <v>209927.52456222058</v>
      </c>
      <c r="P272" s="95">
        <f t="shared" si="19"/>
        <v>149168.07808720844</v>
      </c>
      <c r="Q272" s="196">
        <v>1</v>
      </c>
    </row>
    <row r="273" spans="1:17" x14ac:dyDescent="0.25">
      <c r="A273" s="243">
        <v>43398</v>
      </c>
      <c r="B273" s="243" t="s">
        <v>183</v>
      </c>
      <c r="C273" s="198" t="s">
        <v>695</v>
      </c>
      <c r="D273" s="111" t="s">
        <v>696</v>
      </c>
      <c r="E273" s="33">
        <f t="shared" si="20"/>
        <v>43398</v>
      </c>
      <c r="F273" s="104" t="str">
        <f t="shared" si="16"/>
        <v>2018-19</v>
      </c>
      <c r="H273" s="115"/>
      <c r="I273" s="26"/>
      <c r="J273" s="98">
        <f t="shared" si="17"/>
        <v>0.71056941388834605</v>
      </c>
      <c r="K273" s="36"/>
      <c r="L273" s="26">
        <v>18.753289044900001</v>
      </c>
      <c r="M273" s="26" t="s">
        <v>206</v>
      </c>
      <c r="N273" s="26">
        <v>4416.6341463414628</v>
      </c>
      <c r="O273" s="93">
        <f t="shared" si="18"/>
        <v>82826.416751916622</v>
      </c>
      <c r="P273" s="95">
        <f t="shared" si="19"/>
        <v>58853.918405881283</v>
      </c>
      <c r="Q273" s="196">
        <v>1</v>
      </c>
    </row>
    <row r="274" spans="1:17" x14ac:dyDescent="0.25">
      <c r="A274" s="243">
        <v>43398</v>
      </c>
      <c r="B274" s="243" t="s">
        <v>183</v>
      </c>
      <c r="C274" s="198" t="s">
        <v>695</v>
      </c>
      <c r="D274" s="111" t="s">
        <v>696</v>
      </c>
      <c r="E274" s="33">
        <f t="shared" si="20"/>
        <v>43398</v>
      </c>
      <c r="F274" s="104" t="str">
        <f t="shared" si="16"/>
        <v>2018-19</v>
      </c>
      <c r="H274" s="115"/>
      <c r="I274" s="26"/>
      <c r="J274" s="98">
        <f t="shared" si="17"/>
        <v>0.71056941388834605</v>
      </c>
      <c r="K274" s="36"/>
      <c r="L274" s="26">
        <v>11.995185450799999</v>
      </c>
      <c r="M274" s="26" t="s">
        <v>206</v>
      </c>
      <c r="N274" s="26">
        <v>4416.6341463414628</v>
      </c>
      <c r="O274" s="93">
        <f t="shared" si="18"/>
        <v>52978.345653701588</v>
      </c>
      <c r="P274" s="95">
        <f t="shared" si="19"/>
        <v>37644.792019924942</v>
      </c>
      <c r="Q274" s="196">
        <v>1</v>
      </c>
    </row>
    <row r="275" spans="1:17" x14ac:dyDescent="0.25">
      <c r="A275" s="243">
        <v>43524</v>
      </c>
      <c r="B275" s="243" t="s">
        <v>183</v>
      </c>
      <c r="C275" s="198" t="s">
        <v>697</v>
      </c>
      <c r="D275" s="111" t="s">
        <v>698</v>
      </c>
      <c r="E275" s="33">
        <f t="shared" si="20"/>
        <v>43524</v>
      </c>
      <c r="F275" s="104" t="str">
        <f t="shared" si="16"/>
        <v>2018-19</v>
      </c>
      <c r="H275" s="115"/>
      <c r="I275" s="26"/>
      <c r="J275" s="98">
        <f t="shared" si="17"/>
        <v>0.71056941388834605</v>
      </c>
      <c r="K275" s="36"/>
      <c r="L275" s="26">
        <v>62.079640156799996</v>
      </c>
      <c r="M275" s="26" t="s">
        <v>206</v>
      </c>
      <c r="N275" s="26">
        <v>3592.3639024390236</v>
      </c>
      <c r="O275" s="93">
        <f t="shared" si="18"/>
        <v>223012.65837569235</v>
      </c>
      <c r="P275" s="95">
        <f t="shared" si="19"/>
        <v>158465.97395169767</v>
      </c>
      <c r="Q275" s="196">
        <v>1</v>
      </c>
    </row>
    <row r="276" spans="1:17" x14ac:dyDescent="0.25">
      <c r="A276" s="243">
        <v>43535</v>
      </c>
      <c r="B276" s="243" t="s">
        <v>183</v>
      </c>
      <c r="C276" s="198" t="s">
        <v>699</v>
      </c>
      <c r="D276" s="111" t="s">
        <v>700</v>
      </c>
      <c r="E276" s="33">
        <f t="shared" si="20"/>
        <v>43535</v>
      </c>
      <c r="F276" s="104" t="str">
        <f t="shared" si="16"/>
        <v>2018-19</v>
      </c>
      <c r="H276" s="115"/>
      <c r="I276" s="26"/>
      <c r="J276" s="98">
        <f t="shared" si="17"/>
        <v>0.71056941388834605</v>
      </c>
      <c r="K276" s="36"/>
      <c r="L276" s="26">
        <v>33.890127462700001</v>
      </c>
      <c r="M276" s="26" t="s">
        <v>206</v>
      </c>
      <c r="N276" s="26">
        <v>3875.3912195121943</v>
      </c>
      <c r="O276" s="93">
        <f t="shared" si="18"/>
        <v>131337.50239709666</v>
      </c>
      <c r="P276" s="95">
        <f t="shared" si="19"/>
        <v>93324.412099864217</v>
      </c>
      <c r="Q276" s="196">
        <v>1</v>
      </c>
    </row>
    <row r="277" spans="1:17" x14ac:dyDescent="0.25">
      <c r="A277" s="243">
        <v>43535</v>
      </c>
      <c r="B277" s="243" t="s">
        <v>183</v>
      </c>
      <c r="C277" s="198" t="s">
        <v>699</v>
      </c>
      <c r="D277" s="111" t="s">
        <v>700</v>
      </c>
      <c r="E277" s="33">
        <f t="shared" si="20"/>
        <v>43535</v>
      </c>
      <c r="F277" s="104" t="str">
        <f t="shared" si="16"/>
        <v>2018-19</v>
      </c>
      <c r="H277" s="115"/>
      <c r="I277" s="26"/>
      <c r="J277" s="98">
        <f t="shared" si="17"/>
        <v>0.71056941388834605</v>
      </c>
      <c r="K277" s="36"/>
      <c r="L277" s="26">
        <v>49.156590494100001</v>
      </c>
      <c r="M277" s="26" t="s">
        <v>206</v>
      </c>
      <c r="N277" s="26">
        <v>1162.6195121951216</v>
      </c>
      <c r="O277" s="93">
        <f t="shared" si="18"/>
        <v>57150.411261425899</v>
      </c>
      <c r="P277" s="95">
        <f t="shared" si="19"/>
        <v>40609.334233509333</v>
      </c>
      <c r="Q277" s="196">
        <v>1</v>
      </c>
    </row>
    <row r="278" spans="1:17" x14ac:dyDescent="0.25">
      <c r="A278" s="243">
        <v>43535</v>
      </c>
      <c r="B278" s="243" t="s">
        <v>183</v>
      </c>
      <c r="C278" s="198" t="s">
        <v>699</v>
      </c>
      <c r="D278" s="111" t="s">
        <v>700</v>
      </c>
      <c r="E278" s="33">
        <f t="shared" si="20"/>
        <v>43535</v>
      </c>
      <c r="F278" s="104" t="str">
        <f t="shared" si="16"/>
        <v>2018-19</v>
      </c>
      <c r="H278" s="115"/>
      <c r="I278" s="26"/>
      <c r="J278" s="98">
        <f t="shared" si="17"/>
        <v>0.71056941388834605</v>
      </c>
      <c r="K278" s="36"/>
      <c r="L278" s="26">
        <v>41.3575628997</v>
      </c>
      <c r="M278" s="26" t="s">
        <v>206</v>
      </c>
      <c r="N278" s="26">
        <v>1162.6195121951216</v>
      </c>
      <c r="O278" s="93">
        <f t="shared" si="18"/>
        <v>48083.109604028272</v>
      </c>
      <c r="P278" s="95">
        <f t="shared" si="19"/>
        <v>34166.387009263475</v>
      </c>
      <c r="Q278" s="196">
        <v>1</v>
      </c>
    </row>
    <row r="279" spans="1:17" x14ac:dyDescent="0.25">
      <c r="A279" s="243">
        <v>43790</v>
      </c>
      <c r="B279" s="243" t="s">
        <v>183</v>
      </c>
      <c r="C279" s="198" t="s">
        <v>701</v>
      </c>
      <c r="D279" s="111" t="s">
        <v>702</v>
      </c>
      <c r="E279" s="33">
        <f t="shared" si="20"/>
        <v>43790</v>
      </c>
      <c r="F279" s="104" t="str">
        <f t="shared" si="16"/>
        <v>2019-20</v>
      </c>
      <c r="H279" s="115"/>
      <c r="I279" s="26"/>
      <c r="J279" s="98">
        <f t="shared" si="17"/>
        <v>0.71056941388834605</v>
      </c>
      <c r="K279" s="36"/>
      <c r="L279" s="26">
        <v>22.702383487199999</v>
      </c>
      <c r="M279" s="26" t="s">
        <v>206</v>
      </c>
      <c r="N279" s="26">
        <v>4839.6029268292677</v>
      </c>
      <c r="O279" s="93">
        <f t="shared" si="18"/>
        <v>109870.52157065355</v>
      </c>
      <c r="P279" s="95">
        <f t="shared" si="19"/>
        <v>78070.632116066176</v>
      </c>
      <c r="Q279" s="196">
        <v>1</v>
      </c>
    </row>
    <row r="280" spans="1:17" x14ac:dyDescent="0.25">
      <c r="A280" s="243">
        <v>43844</v>
      </c>
      <c r="B280" s="243" t="s">
        <v>183</v>
      </c>
      <c r="C280" s="198" t="s">
        <v>703</v>
      </c>
      <c r="D280" s="111" t="s">
        <v>702</v>
      </c>
      <c r="E280" s="33">
        <f t="shared" si="20"/>
        <v>43844</v>
      </c>
      <c r="F280" s="104" t="str">
        <f t="shared" ref="F280:F283" si="21">IF(E280="","-",IF(OR(E280&lt;$E$15,E280&gt;$E$16),"ERROR - date outside of range",IF(MONTH(E280)&gt;=7,YEAR(E280)&amp;"-"&amp;IF(YEAR(E280)=1999,"00",IF(AND(YEAR(E280)&gt;=2000,YEAR(E280)&lt;2009),"0","")&amp;RIGHT(YEAR(E280),2)+1),RIGHT(YEAR(E280),4)-1&amp;"-"&amp;RIGHT(YEAR(E280),2))))</f>
        <v>2019-20</v>
      </c>
      <c r="H280" s="115"/>
      <c r="I280" s="26"/>
      <c r="J280" s="98">
        <f t="shared" ref="J280:J283" si="22">J279</f>
        <v>0.71056941388834605</v>
      </c>
      <c r="K280" s="36"/>
      <c r="L280" s="26">
        <v>9.9963579867900005</v>
      </c>
      <c r="M280" s="26" t="s">
        <v>206</v>
      </c>
      <c r="N280" s="26">
        <v>4839.6029268292677</v>
      </c>
      <c r="O280" s="93">
        <f t="shared" ref="O280:O283" si="23">IF(N280="","-",L280*N280)</f>
        <v>48378.403370502012</v>
      </c>
      <c r="P280" s="95">
        <f t="shared" ref="P280:P283" si="24">IF(O280="-","-",IF(OR(E280&lt;$E$15,E280&gt;$E$16),0,O280*J280))*Q280</f>
        <v>34376.2137278316</v>
      </c>
      <c r="Q280" s="196">
        <v>1</v>
      </c>
    </row>
    <row r="281" spans="1:17" x14ac:dyDescent="0.25">
      <c r="A281" s="243">
        <v>43915</v>
      </c>
      <c r="B281" s="243" t="s">
        <v>183</v>
      </c>
      <c r="C281" s="198" t="s">
        <v>704</v>
      </c>
      <c r="D281" s="111" t="s">
        <v>566</v>
      </c>
      <c r="E281" s="33">
        <f t="shared" si="20"/>
        <v>43915</v>
      </c>
      <c r="F281" s="104" t="str">
        <f t="shared" si="21"/>
        <v>2019-20</v>
      </c>
      <c r="H281" s="115"/>
      <c r="I281" s="26"/>
      <c r="J281" s="98">
        <f t="shared" si="22"/>
        <v>0.71056941388834605</v>
      </c>
      <c r="K281" s="36"/>
      <c r="L281" s="26">
        <v>23.029279493699999</v>
      </c>
      <c r="M281" s="26" t="s">
        <v>206</v>
      </c>
      <c r="N281" s="26">
        <v>3336.4019512195118</v>
      </c>
      <c r="O281" s="93">
        <f t="shared" si="23"/>
        <v>76834.933037960174</v>
      </c>
      <c r="P281" s="95">
        <f t="shared" si="24"/>
        <v>54596.553334933677</v>
      </c>
      <c r="Q281" s="196">
        <v>1</v>
      </c>
    </row>
    <row r="282" spans="1:17" x14ac:dyDescent="0.25">
      <c r="A282" s="243">
        <v>44126</v>
      </c>
      <c r="B282" s="243" t="s">
        <v>183</v>
      </c>
      <c r="C282" s="198" t="s">
        <v>705</v>
      </c>
      <c r="D282" s="111" t="s">
        <v>706</v>
      </c>
      <c r="E282" s="33">
        <f t="shared" si="20"/>
        <v>44126</v>
      </c>
      <c r="F282" s="104" t="str">
        <f t="shared" si="21"/>
        <v>2020-21</v>
      </c>
      <c r="H282" s="115"/>
      <c r="I282" s="26"/>
      <c r="J282" s="98">
        <f t="shared" si="22"/>
        <v>0.71056941388834605</v>
      </c>
      <c r="K282" s="36"/>
      <c r="L282" s="26">
        <v>13.114208210899999</v>
      </c>
      <c r="M282" s="26" t="s">
        <v>206</v>
      </c>
      <c r="N282" s="26">
        <v>5911.2175609756096</v>
      </c>
      <c r="O282" s="93">
        <f t="shared" si="23"/>
        <v>77520.937874562602</v>
      </c>
      <c r="P282" s="95">
        <f t="shared" si="24"/>
        <v>55084.007389602833</v>
      </c>
      <c r="Q282" s="196">
        <v>1</v>
      </c>
    </row>
    <row r="283" spans="1:17" x14ac:dyDescent="0.25">
      <c r="A283" s="243">
        <v>44126</v>
      </c>
      <c r="B283" s="243" t="s">
        <v>183</v>
      </c>
      <c r="C283" s="198" t="s">
        <v>705</v>
      </c>
      <c r="D283" s="111" t="s">
        <v>706</v>
      </c>
      <c r="E283" s="33">
        <f t="shared" si="20"/>
        <v>44126</v>
      </c>
      <c r="F283" s="104" t="str">
        <f t="shared" si="21"/>
        <v>2020-21</v>
      </c>
      <c r="H283" s="115"/>
      <c r="I283" s="26"/>
      <c r="J283" s="98">
        <f t="shared" si="22"/>
        <v>0.71056941388834605</v>
      </c>
      <c r="K283" s="36"/>
      <c r="L283" s="26">
        <v>13.066575756500001</v>
      </c>
      <c r="M283" s="26" t="s">
        <v>206</v>
      </c>
      <c r="N283" s="26">
        <v>6483.2282926829257</v>
      </c>
      <c r="O283" s="93">
        <f t="shared" si="23"/>
        <v>84713.593633025608</v>
      </c>
      <c r="P283" s="95">
        <f t="shared" si="24"/>
        <v>60194.888576194528</v>
      </c>
      <c r="Q283" s="196">
        <v>1</v>
      </c>
    </row>
    <row r="284" spans="1:17" x14ac:dyDescent="0.25">
      <c r="C284" s="198"/>
      <c r="D284" s="111"/>
      <c r="E284" s="33"/>
      <c r="F284" s="104"/>
      <c r="H284" s="115"/>
      <c r="I284" s="26"/>
      <c r="J284" s="98"/>
      <c r="K284" s="36"/>
      <c r="L284" s="26"/>
      <c r="M284" s="26"/>
      <c r="N284" s="26"/>
      <c r="O284" s="93"/>
      <c r="P284" s="95"/>
      <c r="Q284" s="196"/>
    </row>
    <row r="285" spans="1:17" x14ac:dyDescent="0.25">
      <c r="A285" s="243">
        <v>42345</v>
      </c>
      <c r="B285" s="243" t="s">
        <v>184</v>
      </c>
      <c r="C285" s="198" t="s">
        <v>683</v>
      </c>
      <c r="D285" s="111" t="s">
        <v>707</v>
      </c>
      <c r="E285" s="33">
        <f t="shared" ref="E285:E300" si="25">A285</f>
        <v>42345</v>
      </c>
      <c r="F285" s="104" t="str">
        <f t="shared" ref="F285:F300" si="26">IF(E285="","-",IF(OR(E285&lt;$E$15,E285&gt;$E$16),"ERROR - date outside of range",IF(MONTH(E285)&gt;=7,YEAR(E285)&amp;"-"&amp;IF(YEAR(E285)=1999,"00",IF(AND(YEAR(E285)&gt;=2000,YEAR(E285)&lt;2009),"0","")&amp;RIGHT(YEAR(E285),2)+1),RIGHT(YEAR(E285),4)-1&amp;"-"&amp;RIGHT(YEAR(E285),2))))</f>
        <v>2015-16</v>
      </c>
      <c r="H285" s="115"/>
      <c r="I285" s="26"/>
      <c r="J285" s="98">
        <f>J283</f>
        <v>0.71056941388834605</v>
      </c>
      <c r="K285" s="36"/>
      <c r="L285" s="26">
        <v>66.898017404100003</v>
      </c>
      <c r="M285" s="26" t="s">
        <v>206</v>
      </c>
      <c r="N285" s="26">
        <v>3336.4019512195118</v>
      </c>
      <c r="O285" s="93">
        <f t="shared" ref="O285" si="27">IF(N285="","-",L285*N285)</f>
        <v>223198.67579975611</v>
      </c>
      <c r="P285" s="95">
        <f t="shared" ref="P285" si="28">IF(O285="-","-",IF(OR(E285&lt;$E$15,E285&gt;$E$16),0,O285*J285))*Q285</f>
        <v>158598.15224368765</v>
      </c>
      <c r="Q285" s="196">
        <v>1</v>
      </c>
    </row>
    <row r="286" spans="1:17" x14ac:dyDescent="0.25">
      <c r="A286" s="243">
        <v>42403</v>
      </c>
      <c r="B286" s="243" t="s">
        <v>184</v>
      </c>
      <c r="C286" s="198" t="s">
        <v>683</v>
      </c>
      <c r="D286" s="111" t="s">
        <v>708</v>
      </c>
      <c r="E286" s="33">
        <f t="shared" si="25"/>
        <v>42403</v>
      </c>
      <c r="F286" s="104" t="str">
        <f t="shared" si="26"/>
        <v>2015-16</v>
      </c>
      <c r="H286" s="115"/>
      <c r="I286" s="26"/>
      <c r="J286" s="98">
        <f t="shared" ref="J286:J300" si="29">J285</f>
        <v>0.71056941388834605</v>
      </c>
      <c r="K286" s="36"/>
      <c r="L286" s="26">
        <v>7.9932713637199999</v>
      </c>
      <c r="M286" s="26" t="s">
        <v>206</v>
      </c>
      <c r="N286" s="26">
        <v>479.79317073170722</v>
      </c>
      <c r="O286" s="93">
        <f t="shared" ref="O286:O300" si="30">IF(N286="","-",L286*N286)</f>
        <v>3835.1170121181763</v>
      </c>
      <c r="P286" s="95">
        <f t="shared" ref="P286:P300" si="31">IF(O286="-","-",IF(OR(E286&lt;$E$15,E286&gt;$E$16),0,O286*J286))*Q286</f>
        <v>2725.1168474940373</v>
      </c>
      <c r="Q286" s="196">
        <v>1</v>
      </c>
    </row>
    <row r="287" spans="1:17" x14ac:dyDescent="0.25">
      <c r="A287" s="243">
        <v>40459</v>
      </c>
      <c r="B287" s="243" t="s">
        <v>184</v>
      </c>
      <c r="C287" s="198"/>
      <c r="D287" s="111" t="s">
        <v>709</v>
      </c>
      <c r="E287" s="33">
        <f t="shared" si="25"/>
        <v>40459</v>
      </c>
      <c r="F287" s="104" t="str">
        <f t="shared" si="26"/>
        <v>2010-11</v>
      </c>
      <c r="H287" s="115"/>
      <c r="I287" s="26"/>
      <c r="J287" s="98">
        <f t="shared" si="29"/>
        <v>0.71056941388834605</v>
      </c>
      <c r="K287" s="36"/>
      <c r="L287" s="26">
        <v>1.0004004198300001</v>
      </c>
      <c r="M287" s="26" t="s">
        <v>206</v>
      </c>
      <c r="N287" s="26">
        <v>826.10536585365844</v>
      </c>
      <c r="O287" s="93">
        <f t="shared" si="30"/>
        <v>826.43615482381574</v>
      </c>
      <c r="P287" s="95">
        <f t="shared" si="31"/>
        <v>587.24025414929713</v>
      </c>
      <c r="Q287" s="196">
        <v>1</v>
      </c>
    </row>
    <row r="288" spans="1:17" x14ac:dyDescent="0.25">
      <c r="A288" s="243">
        <v>40459</v>
      </c>
      <c r="B288" s="243" t="s">
        <v>184</v>
      </c>
      <c r="C288" s="198"/>
      <c r="D288" s="111" t="s">
        <v>709</v>
      </c>
      <c r="E288" s="33">
        <f t="shared" si="25"/>
        <v>40459</v>
      </c>
      <c r="F288" s="104" t="str">
        <f t="shared" si="26"/>
        <v>2010-11</v>
      </c>
      <c r="H288" s="115"/>
      <c r="I288" s="26"/>
      <c r="J288" s="98">
        <f t="shared" si="29"/>
        <v>0.71056941388834605</v>
      </c>
      <c r="K288" s="36"/>
      <c r="L288" s="26">
        <v>6.4995635858299998</v>
      </c>
      <c r="M288" s="26" t="s">
        <v>206</v>
      </c>
      <c r="N288" s="26">
        <v>1338.5980487804875</v>
      </c>
      <c r="O288" s="93">
        <f t="shared" si="30"/>
        <v>8700.3031339167464</v>
      </c>
      <c r="P288" s="95">
        <f t="shared" si="31"/>
        <v>6182.1692985181626</v>
      </c>
      <c r="Q288" s="196">
        <v>1</v>
      </c>
    </row>
    <row r="289" spans="1:17" x14ac:dyDescent="0.25">
      <c r="A289" s="243">
        <v>40459</v>
      </c>
      <c r="B289" s="243" t="s">
        <v>184</v>
      </c>
      <c r="C289" s="198"/>
      <c r="D289" s="111" t="s">
        <v>709</v>
      </c>
      <c r="E289" s="33">
        <f t="shared" si="25"/>
        <v>40459</v>
      </c>
      <c r="F289" s="104" t="str">
        <f t="shared" si="26"/>
        <v>2010-11</v>
      </c>
      <c r="H289" s="115"/>
      <c r="I289" s="26"/>
      <c r="J289" s="98">
        <f t="shared" si="29"/>
        <v>0.71056941388834605</v>
      </c>
      <c r="K289" s="36"/>
      <c r="L289" s="26">
        <v>0.998441285204</v>
      </c>
      <c r="M289" s="26" t="s">
        <v>206</v>
      </c>
      <c r="N289" s="26">
        <v>826.10536585365844</v>
      </c>
      <c r="O289" s="93">
        <f t="shared" si="30"/>
        <v>824.81770319684733</v>
      </c>
      <c r="P289" s="95">
        <f t="shared" si="31"/>
        <v>586.09023192531561</v>
      </c>
      <c r="Q289" s="196">
        <v>1</v>
      </c>
    </row>
    <row r="290" spans="1:17" x14ac:dyDescent="0.25">
      <c r="A290" s="243">
        <v>40459</v>
      </c>
      <c r="B290" s="243" t="s">
        <v>184</v>
      </c>
      <c r="C290" s="198"/>
      <c r="D290" s="111" t="s">
        <v>709</v>
      </c>
      <c r="E290" s="33">
        <f t="shared" si="25"/>
        <v>40459</v>
      </c>
      <c r="F290" s="104" t="str">
        <f t="shared" si="26"/>
        <v>2010-11</v>
      </c>
      <c r="H290" s="115"/>
      <c r="I290" s="26"/>
      <c r="J290" s="98">
        <f t="shared" si="29"/>
        <v>0.71056941388834605</v>
      </c>
      <c r="K290" s="36"/>
      <c r="L290" s="26">
        <v>4.1833704368199998</v>
      </c>
      <c r="M290" s="26" t="s">
        <v>206</v>
      </c>
      <c r="N290" s="26">
        <v>826.10536585365844</v>
      </c>
      <c r="O290" s="93">
        <f t="shared" si="30"/>
        <v>3455.9047652105646</v>
      </c>
      <c r="P290" s="95">
        <f t="shared" si="31"/>
        <v>2455.6602234696129</v>
      </c>
      <c r="Q290" s="196">
        <v>1</v>
      </c>
    </row>
    <row r="291" spans="1:17" x14ac:dyDescent="0.25">
      <c r="A291" s="243">
        <v>40459</v>
      </c>
      <c r="B291" s="243" t="s">
        <v>184</v>
      </c>
      <c r="C291" s="198"/>
      <c r="D291" s="111" t="s">
        <v>709</v>
      </c>
      <c r="E291" s="33">
        <f t="shared" si="25"/>
        <v>40459</v>
      </c>
      <c r="F291" s="104" t="str">
        <f t="shared" si="26"/>
        <v>2010-11</v>
      </c>
      <c r="H291" s="115"/>
      <c r="I291" s="26"/>
      <c r="J291" s="98">
        <f t="shared" si="29"/>
        <v>0.71056941388834605</v>
      </c>
      <c r="K291" s="36"/>
      <c r="L291" s="26">
        <v>2.4763854707999999</v>
      </c>
      <c r="M291" s="26" t="s">
        <v>206</v>
      </c>
      <c r="N291" s="26">
        <v>826.10536585365844</v>
      </c>
      <c r="O291" s="93">
        <f t="shared" si="30"/>
        <v>2045.7553253499182</v>
      </c>
      <c r="P291" s="95">
        <f t="shared" si="31"/>
        <v>1453.6511624928539</v>
      </c>
      <c r="Q291" s="196">
        <v>1</v>
      </c>
    </row>
    <row r="292" spans="1:17" x14ac:dyDescent="0.25">
      <c r="A292" s="243">
        <v>40459</v>
      </c>
      <c r="B292" s="243" t="s">
        <v>184</v>
      </c>
      <c r="C292" s="198"/>
      <c r="D292" s="111" t="s">
        <v>709</v>
      </c>
      <c r="E292" s="33">
        <f t="shared" si="25"/>
        <v>40459</v>
      </c>
      <c r="F292" s="104" t="str">
        <f t="shared" si="26"/>
        <v>2010-11</v>
      </c>
      <c r="H292" s="115"/>
      <c r="I292" s="26"/>
      <c r="J292" s="98">
        <f t="shared" si="29"/>
        <v>0.71056941388834605</v>
      </c>
      <c r="K292" s="36"/>
      <c r="L292" s="26">
        <v>1.9994201659499999</v>
      </c>
      <c r="M292" s="26" t="s">
        <v>206</v>
      </c>
      <c r="N292" s="26">
        <v>826.10536585365844</v>
      </c>
      <c r="O292" s="93">
        <f t="shared" si="30"/>
        <v>1651.7317276873073</v>
      </c>
      <c r="P292" s="95">
        <f t="shared" si="31"/>
        <v>1173.6700456435551</v>
      </c>
      <c r="Q292" s="196">
        <v>1</v>
      </c>
    </row>
    <row r="293" spans="1:17" x14ac:dyDescent="0.25">
      <c r="A293" s="243">
        <v>40459</v>
      </c>
      <c r="B293" s="243" t="s">
        <v>184</v>
      </c>
      <c r="C293" s="198"/>
      <c r="D293" s="111" t="s">
        <v>709</v>
      </c>
      <c r="E293" s="33">
        <f t="shared" si="25"/>
        <v>40459</v>
      </c>
      <c r="F293" s="104" t="str">
        <f t="shared" si="26"/>
        <v>2010-11</v>
      </c>
      <c r="H293" s="115"/>
      <c r="I293" s="26"/>
      <c r="J293" s="98">
        <f t="shared" si="29"/>
        <v>0.71056941388834605</v>
      </c>
      <c r="K293" s="36"/>
      <c r="L293" s="26">
        <v>1.49952079236</v>
      </c>
      <c r="M293" s="26" t="s">
        <v>206</v>
      </c>
      <c r="N293" s="26">
        <v>826.10536585365844</v>
      </c>
      <c r="O293" s="93">
        <f t="shared" si="30"/>
        <v>1238.7621727777257</v>
      </c>
      <c r="P293" s="95">
        <f t="shared" si="31"/>
        <v>880.22651105772263</v>
      </c>
      <c r="Q293" s="196">
        <v>1</v>
      </c>
    </row>
    <row r="294" spans="1:17" x14ac:dyDescent="0.25">
      <c r="A294" s="243">
        <v>40459</v>
      </c>
      <c r="B294" s="243" t="s">
        <v>184</v>
      </c>
      <c r="C294" s="198"/>
      <c r="D294" s="111" t="s">
        <v>709</v>
      </c>
      <c r="E294" s="33">
        <f t="shared" si="25"/>
        <v>40459</v>
      </c>
      <c r="F294" s="104" t="str">
        <f t="shared" si="26"/>
        <v>2010-11</v>
      </c>
      <c r="H294" s="115"/>
      <c r="I294" s="26"/>
      <c r="J294" s="98">
        <f t="shared" si="29"/>
        <v>0.71056941388834605</v>
      </c>
      <c r="K294" s="36"/>
      <c r="L294" s="26">
        <v>1.5002999700099999</v>
      </c>
      <c r="M294" s="26" t="s">
        <v>206</v>
      </c>
      <c r="N294" s="26">
        <v>826.10536585365844</v>
      </c>
      <c r="O294" s="93">
        <f t="shared" si="30"/>
        <v>1239.4058556153439</v>
      </c>
      <c r="P294" s="95">
        <f t="shared" si="31"/>
        <v>880.68389239437897</v>
      </c>
      <c r="Q294" s="196">
        <v>1</v>
      </c>
    </row>
    <row r="295" spans="1:17" x14ac:dyDescent="0.25">
      <c r="A295" s="243">
        <v>40459</v>
      </c>
      <c r="B295" s="243" t="s">
        <v>184</v>
      </c>
      <c r="C295" s="198"/>
      <c r="D295" s="111" t="s">
        <v>709</v>
      </c>
      <c r="E295" s="33">
        <f t="shared" si="25"/>
        <v>40459</v>
      </c>
      <c r="F295" s="104" t="str">
        <f t="shared" si="26"/>
        <v>2010-11</v>
      </c>
      <c r="H295" s="115"/>
      <c r="I295" s="26"/>
      <c r="J295" s="98">
        <f t="shared" si="29"/>
        <v>0.71056941388834605</v>
      </c>
      <c r="K295" s="36"/>
      <c r="L295" s="26">
        <v>1.9996204639899999</v>
      </c>
      <c r="M295" s="26" t="s">
        <v>206</v>
      </c>
      <c r="N295" s="26">
        <v>826.10536585365844</v>
      </c>
      <c r="O295" s="93">
        <f t="shared" si="30"/>
        <v>1651.8971949729212</v>
      </c>
      <c r="P295" s="95">
        <f t="shared" si="31"/>
        <v>1173.7876216357115</v>
      </c>
      <c r="Q295" s="196">
        <v>1</v>
      </c>
    </row>
    <row r="296" spans="1:17" x14ac:dyDescent="0.25">
      <c r="A296" s="243">
        <v>40045</v>
      </c>
      <c r="B296" s="243" t="s">
        <v>184</v>
      </c>
      <c r="C296" s="198" t="s">
        <v>710</v>
      </c>
      <c r="D296" s="111" t="s">
        <v>709</v>
      </c>
      <c r="E296" s="33">
        <f t="shared" si="25"/>
        <v>40045</v>
      </c>
      <c r="F296" s="104" t="str">
        <f t="shared" si="26"/>
        <v>2009-10</v>
      </c>
      <c r="H296" s="115"/>
      <c r="I296" s="26"/>
      <c r="J296" s="98">
        <f t="shared" si="29"/>
        <v>0.71056941388834605</v>
      </c>
      <c r="K296" s="36"/>
      <c r="L296" s="26">
        <v>2.3630279304299999</v>
      </c>
      <c r="M296" s="26" t="s">
        <v>206</v>
      </c>
      <c r="N296" s="26">
        <v>1338.5980487804875</v>
      </c>
      <c r="O296" s="93">
        <f t="shared" si="30"/>
        <v>3163.1445768873914</v>
      </c>
      <c r="P296" s="95">
        <f t="shared" si="31"/>
        <v>2247.6337880429742</v>
      </c>
      <c r="Q296" s="196">
        <v>1</v>
      </c>
    </row>
    <row r="297" spans="1:17" x14ac:dyDescent="0.25">
      <c r="A297" s="243">
        <v>40045</v>
      </c>
      <c r="B297" s="243" t="s">
        <v>184</v>
      </c>
      <c r="C297" s="198" t="s">
        <v>710</v>
      </c>
      <c r="D297" s="111" t="s">
        <v>709</v>
      </c>
      <c r="E297" s="33">
        <f t="shared" si="25"/>
        <v>40045</v>
      </c>
      <c r="F297" s="104" t="str">
        <f t="shared" si="26"/>
        <v>2009-10</v>
      </c>
      <c r="H297" s="115"/>
      <c r="I297" s="26"/>
      <c r="J297" s="98">
        <f t="shared" si="29"/>
        <v>0.71056941388834605</v>
      </c>
      <c r="K297" s="36"/>
      <c r="L297" s="26">
        <v>7.7231109017000001</v>
      </c>
      <c r="M297" s="26" t="s">
        <v>206</v>
      </c>
      <c r="N297" s="26">
        <v>1580.7912195121949</v>
      </c>
      <c r="O297" s="93">
        <f t="shared" si="30"/>
        <v>12208.625900726271</v>
      </c>
      <c r="P297" s="95">
        <f t="shared" si="31"/>
        <v>8675.076150661147</v>
      </c>
      <c r="Q297" s="196">
        <v>1</v>
      </c>
    </row>
    <row r="298" spans="1:17" x14ac:dyDescent="0.25">
      <c r="A298" s="243">
        <v>40045</v>
      </c>
      <c r="B298" s="243" t="s">
        <v>184</v>
      </c>
      <c r="C298" s="198" t="s">
        <v>710</v>
      </c>
      <c r="D298" s="111" t="s">
        <v>709</v>
      </c>
      <c r="E298" s="33">
        <f t="shared" si="25"/>
        <v>40045</v>
      </c>
      <c r="F298" s="104" t="str">
        <f t="shared" si="26"/>
        <v>2009-10</v>
      </c>
      <c r="H298" s="115"/>
      <c r="I298" s="26"/>
      <c r="J298" s="98">
        <f t="shared" si="29"/>
        <v>0.71056941388834605</v>
      </c>
      <c r="K298" s="36"/>
      <c r="L298" s="26">
        <v>2.5499227439299998</v>
      </c>
      <c r="M298" s="26" t="s">
        <v>206</v>
      </c>
      <c r="N298" s="26">
        <v>1580.7912195121949</v>
      </c>
      <c r="O298" s="93">
        <f t="shared" si="30"/>
        <v>4030.8954840389865</v>
      </c>
      <c r="P298" s="95">
        <f t="shared" si="31"/>
        <v>2864.2310415387637</v>
      </c>
      <c r="Q298" s="196">
        <v>1</v>
      </c>
    </row>
    <row r="299" spans="1:17" x14ac:dyDescent="0.25">
      <c r="A299" s="243">
        <v>40045</v>
      </c>
      <c r="B299" s="243" t="s">
        <v>184</v>
      </c>
      <c r="C299" s="198" t="s">
        <v>710</v>
      </c>
      <c r="D299" s="111" t="s">
        <v>709</v>
      </c>
      <c r="E299" s="33">
        <f t="shared" si="25"/>
        <v>40045</v>
      </c>
      <c r="F299" s="104" t="str">
        <f t="shared" si="26"/>
        <v>2009-10</v>
      </c>
      <c r="H299" s="115"/>
      <c r="I299" s="26"/>
      <c r="J299" s="98">
        <f t="shared" si="29"/>
        <v>0.71056941388834605</v>
      </c>
      <c r="K299" s="36"/>
      <c r="L299" s="26">
        <v>7.6977609731700003</v>
      </c>
      <c r="M299" s="26" t="s">
        <v>206</v>
      </c>
      <c r="N299" s="26">
        <v>1580.7912195121949</v>
      </c>
      <c r="O299" s="93">
        <f t="shared" si="30"/>
        <v>12168.552956290785</v>
      </c>
      <c r="P299" s="95">
        <f t="shared" si="31"/>
        <v>8646.6015420208441</v>
      </c>
      <c r="Q299" s="196">
        <v>1</v>
      </c>
    </row>
    <row r="300" spans="1:17" x14ac:dyDescent="0.25">
      <c r="A300" s="243">
        <v>40045</v>
      </c>
      <c r="B300" s="243" t="s">
        <v>184</v>
      </c>
      <c r="C300" s="198" t="s">
        <v>710</v>
      </c>
      <c r="D300" s="111" t="s">
        <v>709</v>
      </c>
      <c r="E300" s="33">
        <f t="shared" si="25"/>
        <v>40045</v>
      </c>
      <c r="F300" s="104" t="str">
        <f t="shared" si="26"/>
        <v>2009-10</v>
      </c>
      <c r="H300" s="115"/>
      <c r="I300" s="26"/>
      <c r="J300" s="98">
        <f t="shared" si="29"/>
        <v>0.71056941388834605</v>
      </c>
      <c r="K300" s="36"/>
      <c r="L300" s="26">
        <v>11.739910050800001</v>
      </c>
      <c r="M300" s="26" t="s">
        <v>206</v>
      </c>
      <c r="N300" s="26">
        <v>1580.7912195121949</v>
      </c>
      <c r="O300" s="93">
        <f t="shared" si="30"/>
        <v>18558.346726167605</v>
      </c>
      <c r="P300" s="95">
        <f t="shared" si="31"/>
        <v>13186.993555949621</v>
      </c>
      <c r="Q300" s="196">
        <v>1</v>
      </c>
    </row>
    <row r="301" spans="1:17" x14ac:dyDescent="0.25">
      <c r="C301" s="198"/>
      <c r="D301" s="111"/>
      <c r="E301" s="33"/>
      <c r="F301" s="104"/>
      <c r="H301" s="115"/>
      <c r="I301" s="26"/>
      <c r="J301" s="98"/>
      <c r="K301" s="36"/>
      <c r="L301" s="26"/>
      <c r="M301" s="26"/>
      <c r="N301" s="26"/>
      <c r="O301" s="93"/>
      <c r="P301" s="95"/>
      <c r="Q301" s="196"/>
    </row>
    <row r="302" spans="1:17" x14ac:dyDescent="0.25">
      <c r="A302" s="243">
        <v>43552</v>
      </c>
      <c r="B302" s="243" t="s">
        <v>186</v>
      </c>
      <c r="C302" s="198"/>
      <c r="D302" s="111" t="s">
        <v>711</v>
      </c>
      <c r="E302" s="33">
        <f t="shared" ref="E302:E304" si="32">A302</f>
        <v>43552</v>
      </c>
      <c r="F302" s="104" t="str">
        <f t="shared" ref="F302:F303" si="33">IF(E302="","-",IF(OR(E302&lt;$E$15,E302&gt;$E$16),"ERROR - date outside of range",IF(MONTH(E302)&gt;=7,YEAR(E302)&amp;"-"&amp;IF(YEAR(E302)=1999,"00",IF(AND(YEAR(E302)&gt;=2000,YEAR(E302)&lt;2009),"0","")&amp;RIGHT(YEAR(E302),2)+1),RIGHT(YEAR(E302),4)-1&amp;"-"&amp;RIGHT(YEAR(E302),2))))</f>
        <v>2018-19</v>
      </c>
      <c r="H302" s="115"/>
      <c r="I302" s="26"/>
      <c r="J302" s="98">
        <f>J300</f>
        <v>0.71056941388834605</v>
      </c>
      <c r="K302" s="36"/>
      <c r="L302" s="26">
        <v>1</v>
      </c>
      <c r="M302" s="26" t="s">
        <v>712</v>
      </c>
      <c r="N302" s="26">
        <v>1842580.5396923076</v>
      </c>
      <c r="O302" s="93">
        <f t="shared" ref="O302" si="34">IF(N302="","-",L302*N302)</f>
        <v>1842580.5396923076</v>
      </c>
      <c r="P302" s="95">
        <f t="shared" ref="P302" si="35">IF(O302="-","-",IF(OR(E302&lt;$E$15,E302&gt;$E$16),0,O302*J302))*Q302</f>
        <v>1309281.3741312353</v>
      </c>
      <c r="Q302" s="196">
        <v>1</v>
      </c>
    </row>
    <row r="303" spans="1:17" x14ac:dyDescent="0.25">
      <c r="A303" s="243">
        <v>44075</v>
      </c>
      <c r="B303" s="243" t="s">
        <v>186</v>
      </c>
      <c r="C303" s="198">
        <v>307761</v>
      </c>
      <c r="D303" s="111" t="s">
        <v>713</v>
      </c>
      <c r="E303" s="33">
        <f t="shared" si="32"/>
        <v>44075</v>
      </c>
      <c r="F303" s="104" t="str">
        <f t="shared" si="33"/>
        <v>2020-21</v>
      </c>
      <c r="H303" s="115"/>
      <c r="I303" s="26"/>
      <c r="J303" s="98">
        <f t="shared" ref="J303" si="36">J302</f>
        <v>0.71056941388834605</v>
      </c>
      <c r="K303" s="36"/>
      <c r="L303" s="26">
        <v>1</v>
      </c>
      <c r="M303" s="26" t="s">
        <v>714</v>
      </c>
      <c r="N303" s="26">
        <v>2500223.365384615</v>
      </c>
      <c r="O303" s="93">
        <f t="shared" ref="O303:O308" si="37">IF(N303="","-",L303*N303)</f>
        <v>2500223.365384615</v>
      </c>
      <c r="P303" s="95">
        <f t="shared" ref="P303:P308" si="38">IF(O303="-","-",IF(OR(E303&lt;$E$15,E303&gt;$E$16),0,O303*J303))*Q303</f>
        <v>1776582.251331294</v>
      </c>
      <c r="Q303" s="196">
        <v>1</v>
      </c>
    </row>
    <row r="304" spans="1:17" x14ac:dyDescent="0.25">
      <c r="A304" s="243">
        <v>41971</v>
      </c>
      <c r="B304" s="243" t="s">
        <v>186</v>
      </c>
      <c r="C304" s="198"/>
      <c r="D304" s="111" t="s">
        <v>715</v>
      </c>
      <c r="E304" s="33">
        <f t="shared" si="32"/>
        <v>41971</v>
      </c>
      <c r="F304" s="104" t="str">
        <f t="shared" ref="F304:F308" si="39">IF(E304="","-",IF(OR(E304&lt;$E$15,E304&gt;$E$16),"ERROR - date outside of range",IF(MONTH(E304)&gt;=7,YEAR(E304)&amp;"-"&amp;IF(YEAR(E304)=1999,"00",IF(AND(YEAR(E304)&gt;=2000,YEAR(E304)&lt;2009),"0","")&amp;RIGHT(YEAR(E304),2)+1),RIGHT(YEAR(E304),4)-1&amp;"-"&amp;RIGHT(YEAR(E304),2))))</f>
        <v>2014-15</v>
      </c>
      <c r="H304" s="115"/>
      <c r="I304" s="26"/>
      <c r="J304" s="98">
        <f t="shared" ref="J304:J308" si="40">J303</f>
        <v>0.71056941388834605</v>
      </c>
      <c r="K304" s="36"/>
      <c r="L304" s="26">
        <v>1</v>
      </c>
      <c r="M304" s="26" t="s">
        <v>714</v>
      </c>
      <c r="N304" s="26">
        <v>184925.66157692304</v>
      </c>
      <c r="O304" s="93">
        <f t="shared" si="37"/>
        <v>184925.66157692304</v>
      </c>
      <c r="P304" s="95">
        <f t="shared" si="38"/>
        <v>131402.51895962883</v>
      </c>
      <c r="Q304" s="196">
        <v>1</v>
      </c>
    </row>
    <row r="305" spans="1:17" x14ac:dyDescent="0.25">
      <c r="A305" s="243">
        <v>42765</v>
      </c>
      <c r="B305" s="243" t="s">
        <v>186</v>
      </c>
      <c r="C305" s="198"/>
      <c r="D305" s="111" t="s">
        <v>716</v>
      </c>
      <c r="E305" s="33">
        <f t="shared" ref="E305:E308" si="41">A305</f>
        <v>42765</v>
      </c>
      <c r="F305" s="104" t="str">
        <f t="shared" si="39"/>
        <v>2016-17</v>
      </c>
      <c r="H305" s="115"/>
      <c r="I305" s="26"/>
      <c r="J305" s="98">
        <f t="shared" si="40"/>
        <v>0.71056941388834605</v>
      </c>
      <c r="K305" s="36"/>
      <c r="L305" s="26">
        <v>1</v>
      </c>
      <c r="M305" s="26" t="s">
        <v>714</v>
      </c>
      <c r="N305" s="26">
        <v>1681230.7059230763</v>
      </c>
      <c r="O305" s="93">
        <f t="shared" si="37"/>
        <v>1681230.7059230763</v>
      </c>
      <c r="P305" s="95">
        <f t="shared" si="38"/>
        <v>1194631.1173188505</v>
      </c>
      <c r="Q305" s="196">
        <v>1</v>
      </c>
    </row>
    <row r="306" spans="1:17" x14ac:dyDescent="0.25">
      <c r="A306" s="243">
        <v>38909</v>
      </c>
      <c r="B306" s="243" t="s">
        <v>186</v>
      </c>
      <c r="C306" s="198"/>
      <c r="D306" s="111" t="s">
        <v>717</v>
      </c>
      <c r="E306" s="33">
        <f t="shared" si="41"/>
        <v>38909</v>
      </c>
      <c r="F306" s="104" t="str">
        <f t="shared" si="39"/>
        <v>2006-07</v>
      </c>
      <c r="H306" s="115"/>
      <c r="I306" s="26"/>
      <c r="J306" s="98">
        <f t="shared" si="40"/>
        <v>0.71056941388834605</v>
      </c>
      <c r="K306" s="36"/>
      <c r="L306" s="26">
        <v>1</v>
      </c>
      <c r="M306" s="26" t="s">
        <v>714</v>
      </c>
      <c r="N306" s="26">
        <v>1011452.2979367708</v>
      </c>
      <c r="O306" s="93">
        <f t="shared" si="37"/>
        <v>1011452.2979367708</v>
      </c>
      <c r="P306" s="95">
        <f t="shared" si="38"/>
        <v>718707.06652095204</v>
      </c>
      <c r="Q306" s="196">
        <v>1</v>
      </c>
    </row>
    <row r="307" spans="1:17" x14ac:dyDescent="0.25">
      <c r="A307" s="243">
        <v>40185</v>
      </c>
      <c r="B307" s="243" t="s">
        <v>186</v>
      </c>
      <c r="C307" s="198"/>
      <c r="D307" s="111" t="s">
        <v>718</v>
      </c>
      <c r="E307" s="33">
        <f t="shared" si="41"/>
        <v>40185</v>
      </c>
      <c r="F307" s="104" t="str">
        <f t="shared" si="39"/>
        <v>2009-10</v>
      </c>
      <c r="H307" s="115"/>
      <c r="I307" s="26"/>
      <c r="J307" s="98">
        <f t="shared" si="40"/>
        <v>0.71056941388834605</v>
      </c>
      <c r="K307" s="36"/>
      <c r="L307" s="26">
        <v>1</v>
      </c>
      <c r="M307" s="26" t="s">
        <v>714</v>
      </c>
      <c r="N307" s="26">
        <v>3721408.3881536424</v>
      </c>
      <c r="O307" s="93">
        <f t="shared" si="37"/>
        <v>3721408.3881536424</v>
      </c>
      <c r="P307" s="95">
        <f t="shared" si="38"/>
        <v>2644318.9772095084</v>
      </c>
      <c r="Q307" s="196">
        <v>1</v>
      </c>
    </row>
    <row r="308" spans="1:17" x14ac:dyDescent="0.25">
      <c r="A308" s="243">
        <v>40179</v>
      </c>
      <c r="B308" s="243" t="s">
        <v>186</v>
      </c>
      <c r="C308" s="198"/>
      <c r="D308" s="111"/>
      <c r="E308" s="33">
        <f t="shared" si="41"/>
        <v>40179</v>
      </c>
      <c r="F308" s="104" t="str">
        <f t="shared" si="39"/>
        <v>2009-10</v>
      </c>
      <c r="H308" s="115"/>
      <c r="I308" s="26"/>
      <c r="J308" s="98">
        <f t="shared" si="40"/>
        <v>0.71056941388834605</v>
      </c>
      <c r="K308" s="36"/>
      <c r="L308" s="26">
        <v>1</v>
      </c>
      <c r="M308" s="26" t="s">
        <v>714</v>
      </c>
      <c r="N308" s="26">
        <v>5017037.9541183105</v>
      </c>
      <c r="O308" s="93">
        <f t="shared" si="37"/>
        <v>5017037.9541183105</v>
      </c>
      <c r="P308" s="95">
        <f t="shared" si="38"/>
        <v>3564953.7185134348</v>
      </c>
      <c r="Q308" s="196">
        <v>1</v>
      </c>
    </row>
    <row r="309" spans="1:17" x14ac:dyDescent="0.25">
      <c r="A309" s="252">
        <v>2002</v>
      </c>
      <c r="B309" s="243" t="s">
        <v>186</v>
      </c>
      <c r="C309" s="198"/>
      <c r="D309" s="111" t="s">
        <v>534</v>
      </c>
      <c r="E309" s="33">
        <f t="shared" ref="E309:E317" si="42">DATEVALUE("30 Jun "&amp;A309)</f>
        <v>37437</v>
      </c>
      <c r="F309" s="104" t="str">
        <f t="shared" ref="F309:F310" si="43">IF(E309="","-",IF(OR(E309&lt;$E$15,E309&gt;$E$16),"ERROR - date outside of range",IF(MONTH(E309)&gt;=7,YEAR(E309)&amp;"-"&amp;IF(YEAR(E309)=1999,"00",IF(AND(YEAR(E309)&gt;=2000,YEAR(E309)&lt;2009),"0","")&amp;RIGHT(YEAR(E309),2)+1),RIGHT(YEAR(E309),4)-1&amp;"-"&amp;RIGHT(YEAR(E309),2))))</f>
        <v>2001-02</v>
      </c>
      <c r="H309" s="115"/>
      <c r="I309" s="26"/>
      <c r="J309" s="98">
        <f>J308</f>
        <v>0.71056941388834605</v>
      </c>
      <c r="K309" s="36"/>
      <c r="L309" s="26">
        <v>1</v>
      </c>
      <c r="M309" s="26" t="s">
        <v>714</v>
      </c>
      <c r="N309" s="26">
        <v>571413.66627520381</v>
      </c>
      <c r="O309" s="93">
        <f t="shared" ref="O309" si="44">IF(N309="","-",L309*N309)</f>
        <v>571413.66627520381</v>
      </c>
      <c r="P309" s="95">
        <f t="shared" ref="P309" si="45">IF(O309="-","-",IF(OR(E309&lt;$E$15,E309&gt;$E$16),0,O309*J309))*Q309</f>
        <v>128711.21643674914</v>
      </c>
      <c r="Q309" s="196">
        <v>0.317</v>
      </c>
    </row>
    <row r="310" spans="1:17" x14ac:dyDescent="0.25">
      <c r="A310" s="252">
        <v>1996</v>
      </c>
      <c r="B310" s="243" t="s">
        <v>186</v>
      </c>
      <c r="C310" s="198">
        <v>307761</v>
      </c>
      <c r="D310" s="111" t="s">
        <v>719</v>
      </c>
      <c r="E310" s="33">
        <f t="shared" ref="E310" si="46">DATEVALUE("30 Jun "&amp;A310)</f>
        <v>35246</v>
      </c>
      <c r="F310" s="104" t="str">
        <f t="shared" si="43"/>
        <v>1995-96</v>
      </c>
      <c r="H310" s="115"/>
      <c r="I310" s="26"/>
      <c r="J310" s="98">
        <f>J309</f>
        <v>0.71056941388834605</v>
      </c>
      <c r="K310" s="36"/>
      <c r="L310" s="26">
        <v>1</v>
      </c>
      <c r="M310" s="26" t="s">
        <v>714</v>
      </c>
      <c r="N310" s="26">
        <v>1405775.8758090802</v>
      </c>
      <c r="O310" s="93">
        <f t="shared" ref="O310" si="47">IF(N310="","-",L310*N310)</f>
        <v>1405775.8758090802</v>
      </c>
      <c r="P310" s="95">
        <f t="shared" ref="P310" si="48">IF(O310="-","-",IF(OR(E310&lt;$E$15,E310&gt;$E$16),0,O310*J310))*Q310</f>
        <v>569373.76387525967</v>
      </c>
      <c r="Q310" s="196">
        <v>0.56999999999999995</v>
      </c>
    </row>
    <row r="311" spans="1:17" x14ac:dyDescent="0.25">
      <c r="A311" s="252"/>
      <c r="C311" s="198"/>
      <c r="D311" s="111"/>
      <c r="E311" s="33"/>
      <c r="F311" s="104"/>
      <c r="H311" s="115"/>
      <c r="I311" s="26"/>
      <c r="J311" s="98"/>
      <c r="K311" s="36"/>
      <c r="L311" s="26"/>
      <c r="M311" s="26"/>
      <c r="N311" s="26"/>
      <c r="O311" s="93"/>
      <c r="P311" s="95"/>
      <c r="Q311" s="196"/>
    </row>
    <row r="312" spans="1:17" ht="23" x14ac:dyDescent="0.25">
      <c r="A312" s="243">
        <v>1996</v>
      </c>
      <c r="B312" s="243" t="s">
        <v>554</v>
      </c>
      <c r="C312" s="198"/>
      <c r="D312" s="111" t="s">
        <v>720</v>
      </c>
      <c r="E312" s="33">
        <f t="shared" si="42"/>
        <v>35246</v>
      </c>
      <c r="F312" s="104" t="str">
        <f t="shared" ref="F312:F317" si="49">IF(E312="","-",IF(OR(E312&lt;$E$15,E312&gt;$E$16),"ERROR - date outside of range",IF(MONTH(E312)&gt;=7,YEAR(E312)&amp;"-"&amp;IF(YEAR(E312)=1999,"00",IF(AND(YEAR(E312)&gt;=2000,YEAR(E312)&lt;2009),"0","")&amp;RIGHT(YEAR(E312),2)+1),RIGHT(YEAR(E312),4)-1&amp;"-"&amp;RIGHT(YEAR(E312),2))))</f>
        <v>1995-96</v>
      </c>
      <c r="H312" s="115"/>
      <c r="I312" s="26"/>
      <c r="J312" s="98">
        <f>J308</f>
        <v>0.71056941388834605</v>
      </c>
      <c r="K312" s="36"/>
      <c r="L312" s="26">
        <v>1</v>
      </c>
      <c r="M312" s="26"/>
      <c r="N312" s="26">
        <v>122125249.39467314</v>
      </c>
      <c r="O312" s="93">
        <f t="shared" ref="O312:O317" si="50">IF(N312="","-",L312*N312)</f>
        <v>122125249.39467314</v>
      </c>
      <c r="P312" s="95">
        <f t="shared" ref="P312:P317" si="51">IF(O312="-","-",IF(OR(E312&lt;$E$15,E312&gt;$E$16),0,O312*J312))*Q312</f>
        <v>86778466.883340985</v>
      </c>
      <c r="Q312" s="196">
        <v>1</v>
      </c>
    </row>
    <row r="313" spans="1:17" x14ac:dyDescent="0.25">
      <c r="A313" s="243">
        <v>1999</v>
      </c>
      <c r="B313" s="243" t="s">
        <v>554</v>
      </c>
      <c r="C313" s="198"/>
      <c r="D313" s="111" t="s">
        <v>721</v>
      </c>
      <c r="E313" s="33">
        <f t="shared" si="42"/>
        <v>36341</v>
      </c>
      <c r="F313" s="104" t="str">
        <f t="shared" si="49"/>
        <v>1998-99</v>
      </c>
      <c r="H313" s="115"/>
      <c r="I313" s="26"/>
      <c r="J313" s="98">
        <f>J312</f>
        <v>0.71056941388834605</v>
      </c>
      <c r="K313" s="36"/>
      <c r="L313" s="26">
        <v>1</v>
      </c>
      <c r="M313" s="26"/>
      <c r="N313" s="26">
        <v>17259.0799031477</v>
      </c>
      <c r="O313" s="93">
        <f t="shared" si="50"/>
        <v>17259.0799031477</v>
      </c>
      <c r="P313" s="95">
        <f t="shared" si="51"/>
        <v>12263.774291031794</v>
      </c>
      <c r="Q313" s="196">
        <v>1</v>
      </c>
    </row>
    <row r="314" spans="1:17" ht="23" x14ac:dyDescent="0.25">
      <c r="A314" s="243">
        <v>2000</v>
      </c>
      <c r="B314" s="243" t="s">
        <v>554</v>
      </c>
      <c r="C314" s="198"/>
      <c r="D314" s="111" t="s">
        <v>722</v>
      </c>
      <c r="E314" s="33">
        <f t="shared" si="42"/>
        <v>36707</v>
      </c>
      <c r="F314" s="104" t="str">
        <f t="shared" si="49"/>
        <v>1999-00</v>
      </c>
      <c r="H314" s="115"/>
      <c r="I314" s="26"/>
      <c r="J314" s="98">
        <f t="shared" ref="J314:J317" si="52">J313</f>
        <v>0.71056941388834605</v>
      </c>
      <c r="K314" s="36"/>
      <c r="L314" s="26">
        <v>1</v>
      </c>
      <c r="M314" s="26"/>
      <c r="N314" s="26">
        <v>88953297.820823252</v>
      </c>
      <c r="O314" s="93">
        <f t="shared" si="50"/>
        <v>88953297.820823252</v>
      </c>
      <c r="P314" s="95">
        <f t="shared" si="51"/>
        <v>63207492.695977867</v>
      </c>
      <c r="Q314" s="196">
        <v>1</v>
      </c>
    </row>
    <row r="315" spans="1:17" x14ac:dyDescent="0.25">
      <c r="A315" s="243">
        <v>2001</v>
      </c>
      <c r="B315" s="243" t="s">
        <v>554</v>
      </c>
      <c r="C315" s="198"/>
      <c r="D315" s="111" t="s">
        <v>723</v>
      </c>
      <c r="E315" s="33">
        <f t="shared" si="42"/>
        <v>37072</v>
      </c>
      <c r="F315" s="104" t="str">
        <f t="shared" si="49"/>
        <v>2000-01</v>
      </c>
      <c r="H315" s="115"/>
      <c r="I315" s="26"/>
      <c r="J315" s="98">
        <f t="shared" si="52"/>
        <v>0.71056941388834605</v>
      </c>
      <c r="K315" s="36"/>
      <c r="L315" s="26">
        <v>1</v>
      </c>
      <c r="M315" s="26"/>
      <c r="N315" s="26">
        <v>497636.80387409206</v>
      </c>
      <c r="O315" s="93">
        <f t="shared" si="50"/>
        <v>497636.80387409206</v>
      </c>
      <c r="P315" s="95">
        <f t="shared" si="51"/>
        <v>353605.49205808342</v>
      </c>
      <c r="Q315" s="196">
        <v>1</v>
      </c>
    </row>
    <row r="316" spans="1:17" x14ac:dyDescent="0.25">
      <c r="A316" s="243">
        <v>2003</v>
      </c>
      <c r="B316" s="243" t="s">
        <v>554</v>
      </c>
      <c r="C316" s="198"/>
      <c r="D316" s="111" t="s">
        <v>724</v>
      </c>
      <c r="E316" s="33">
        <f t="shared" si="42"/>
        <v>37802</v>
      </c>
      <c r="F316" s="104" t="str">
        <f t="shared" si="49"/>
        <v>2002-03</v>
      </c>
      <c r="H316" s="115"/>
      <c r="I316" s="26"/>
      <c r="J316" s="98">
        <f t="shared" si="52"/>
        <v>0.71056941388834605</v>
      </c>
      <c r="K316" s="36"/>
      <c r="L316" s="26">
        <v>1</v>
      </c>
      <c r="M316" s="26"/>
      <c r="N316" s="26">
        <v>38832.929782082327</v>
      </c>
      <c r="O316" s="93">
        <f t="shared" si="50"/>
        <v>38832.929782082327</v>
      </c>
      <c r="P316" s="95">
        <f t="shared" si="51"/>
        <v>27593.492154821535</v>
      </c>
      <c r="Q316" s="196">
        <v>1</v>
      </c>
    </row>
    <row r="317" spans="1:17" ht="23" x14ac:dyDescent="0.25">
      <c r="A317" s="243">
        <v>2005</v>
      </c>
      <c r="B317" s="243" t="s">
        <v>554</v>
      </c>
      <c r="C317" s="198"/>
      <c r="D317" s="111" t="s">
        <v>725</v>
      </c>
      <c r="E317" s="33">
        <f t="shared" si="42"/>
        <v>38533</v>
      </c>
      <c r="F317" s="104" t="str">
        <f t="shared" si="49"/>
        <v>2004-05</v>
      </c>
      <c r="H317" s="115"/>
      <c r="I317" s="26"/>
      <c r="J317" s="98">
        <f t="shared" si="52"/>
        <v>0.71056941388834605</v>
      </c>
      <c r="K317" s="36"/>
      <c r="L317" s="26">
        <v>1</v>
      </c>
      <c r="M317" s="26"/>
      <c r="N317" s="26">
        <v>1316004.8426150123</v>
      </c>
      <c r="O317" s="93">
        <f t="shared" si="50"/>
        <v>1316004.8426150123</v>
      </c>
      <c r="P317" s="95">
        <f t="shared" si="51"/>
        <v>935112.7896911744</v>
      </c>
      <c r="Q317" s="196">
        <v>1</v>
      </c>
    </row>
    <row r="318" spans="1:17" x14ac:dyDescent="0.25">
      <c r="C318" s="198"/>
      <c r="D318" s="111"/>
      <c r="E318" s="33"/>
      <c r="F318" s="104"/>
      <c r="H318" s="115"/>
      <c r="I318" s="26"/>
      <c r="J318" s="98"/>
      <c r="K318" s="36"/>
      <c r="L318" s="26"/>
      <c r="M318" s="26"/>
      <c r="N318" s="26"/>
      <c r="O318" s="93"/>
      <c r="P318" s="95"/>
      <c r="Q318" s="196"/>
    </row>
    <row r="319" spans="1:17" x14ac:dyDescent="0.25">
      <c r="C319" s="198"/>
      <c r="D319" s="111"/>
      <c r="E319" s="33"/>
      <c r="F319" s="104"/>
      <c r="H319" s="115"/>
      <c r="I319" s="26"/>
      <c r="J319" s="98"/>
      <c r="K319" s="36"/>
      <c r="L319" s="26"/>
      <c r="M319" s="26"/>
      <c r="N319" s="26"/>
      <c r="O319" s="93"/>
      <c r="P319" s="95"/>
      <c r="Q319" s="196"/>
    </row>
    <row r="320" spans="1:17" x14ac:dyDescent="0.25">
      <c r="C320" s="198"/>
      <c r="D320" s="111"/>
      <c r="E320" s="33"/>
      <c r="F320" s="104"/>
      <c r="H320" s="115"/>
      <c r="I320" s="26"/>
      <c r="J320" s="98"/>
      <c r="K320" s="36"/>
      <c r="L320" s="26"/>
      <c r="M320" s="26"/>
      <c r="N320" s="26"/>
      <c r="O320" s="93"/>
      <c r="P320" s="95"/>
      <c r="Q320" s="196"/>
    </row>
    <row r="321" spans="3:17" x14ac:dyDescent="0.25">
      <c r="C321" s="198"/>
      <c r="D321" s="111"/>
      <c r="E321" s="33"/>
      <c r="F321" s="104"/>
      <c r="H321" s="115"/>
      <c r="I321" s="26"/>
      <c r="J321" s="98"/>
      <c r="K321" s="36"/>
      <c r="L321" s="26"/>
      <c r="M321" s="26"/>
      <c r="N321" s="26"/>
      <c r="O321" s="93"/>
      <c r="P321" s="95"/>
      <c r="Q321" s="196"/>
    </row>
    <row r="322" spans="3:17" x14ac:dyDescent="0.25">
      <c r="C322" s="198"/>
      <c r="D322" s="111"/>
      <c r="E322" s="33"/>
      <c r="F322" s="104"/>
      <c r="H322" s="115"/>
      <c r="I322" s="26"/>
      <c r="J322" s="98"/>
      <c r="K322" s="36"/>
      <c r="L322" s="26"/>
      <c r="M322" s="26"/>
      <c r="N322" s="26"/>
      <c r="O322" s="93"/>
      <c r="P322" s="95"/>
      <c r="Q322" s="196"/>
    </row>
    <row r="323" spans="3:17" x14ac:dyDescent="0.25">
      <c r="C323" s="198"/>
      <c r="D323" s="111"/>
      <c r="E323" s="33"/>
      <c r="F323" s="104"/>
      <c r="H323" s="115"/>
      <c r="I323" s="26"/>
      <c r="J323" s="98"/>
      <c r="K323" s="36"/>
      <c r="L323" s="26"/>
      <c r="M323" s="26"/>
      <c r="N323" s="26"/>
      <c r="O323" s="93"/>
      <c r="P323" s="95"/>
      <c r="Q323" s="196"/>
    </row>
    <row r="324" spans="3:17" x14ac:dyDescent="0.25">
      <c r="C324" s="198"/>
      <c r="D324" s="111"/>
      <c r="E324" s="33"/>
      <c r="F324" s="104"/>
      <c r="H324" s="115"/>
      <c r="I324" s="26"/>
      <c r="J324" s="98"/>
      <c r="K324" s="36"/>
      <c r="L324" s="26"/>
      <c r="M324" s="26"/>
      <c r="N324" s="26"/>
      <c r="O324" s="93"/>
      <c r="P324" s="95"/>
      <c r="Q324" s="196"/>
    </row>
    <row r="325" spans="3:17" x14ac:dyDescent="0.25">
      <c r="C325" s="198"/>
      <c r="D325" s="111"/>
      <c r="E325" s="33"/>
      <c r="F325" s="104"/>
      <c r="H325" s="115"/>
      <c r="I325" s="26"/>
      <c r="J325" s="98"/>
      <c r="K325" s="36"/>
      <c r="L325" s="26"/>
      <c r="M325" s="26"/>
      <c r="N325" s="26"/>
      <c r="O325" s="93"/>
      <c r="P325" s="95"/>
      <c r="Q325" s="196"/>
    </row>
    <row r="326" spans="3:17" x14ac:dyDescent="0.25">
      <c r="C326" s="198"/>
      <c r="D326" s="111"/>
      <c r="E326" s="33"/>
      <c r="F326" s="104"/>
      <c r="H326" s="115"/>
      <c r="I326" s="26"/>
      <c r="J326" s="98"/>
      <c r="K326" s="36"/>
      <c r="L326" s="26"/>
      <c r="M326" s="26"/>
      <c r="N326" s="26"/>
      <c r="O326" s="93"/>
      <c r="P326" s="95"/>
      <c r="Q326" s="196"/>
    </row>
    <row r="327" spans="3:17" x14ac:dyDescent="0.25">
      <c r="C327" s="198"/>
      <c r="D327" s="111"/>
      <c r="E327" s="33"/>
      <c r="F327" s="104"/>
      <c r="H327" s="115"/>
      <c r="I327" s="26"/>
      <c r="J327" s="98"/>
      <c r="K327" s="36"/>
      <c r="L327" s="26"/>
      <c r="M327" s="26"/>
      <c r="N327" s="26"/>
      <c r="O327" s="93"/>
      <c r="P327" s="95"/>
      <c r="Q327" s="196"/>
    </row>
    <row r="328" spans="3:17" x14ac:dyDescent="0.25">
      <c r="C328" s="198"/>
      <c r="D328" s="111"/>
      <c r="E328" s="33"/>
      <c r="F328" s="104"/>
      <c r="H328" s="115"/>
      <c r="I328" s="26"/>
      <c r="J328" s="98"/>
      <c r="K328" s="36"/>
      <c r="L328" s="26"/>
      <c r="M328" s="26"/>
      <c r="N328" s="26"/>
      <c r="O328" s="93"/>
      <c r="P328" s="95"/>
      <c r="Q328" s="196"/>
    </row>
    <row r="329" spans="3:17" x14ac:dyDescent="0.25">
      <c r="C329" s="198"/>
      <c r="D329" s="111"/>
      <c r="E329" s="33"/>
      <c r="F329" s="104"/>
      <c r="H329" s="115"/>
      <c r="I329" s="26"/>
      <c r="J329" s="98"/>
      <c r="K329" s="36"/>
      <c r="L329" s="26"/>
      <c r="M329" s="26"/>
      <c r="N329" s="26"/>
      <c r="O329" s="93"/>
      <c r="P329" s="95"/>
      <c r="Q329" s="196"/>
    </row>
    <row r="330" spans="3:17" x14ac:dyDescent="0.25">
      <c r="C330" s="198"/>
      <c r="D330" s="111"/>
      <c r="E330" s="33"/>
      <c r="F330" s="104"/>
      <c r="H330" s="115"/>
      <c r="I330" s="26"/>
      <c r="J330" s="98"/>
      <c r="K330" s="36"/>
      <c r="L330" s="26"/>
      <c r="M330" s="26"/>
      <c r="N330" s="26"/>
      <c r="O330" s="93"/>
      <c r="P330" s="95"/>
      <c r="Q330" s="196"/>
    </row>
    <row r="331" spans="3:17" x14ac:dyDescent="0.25">
      <c r="C331" s="198"/>
      <c r="D331" s="111"/>
      <c r="E331" s="33"/>
      <c r="F331" s="104"/>
      <c r="H331" s="115"/>
      <c r="I331" s="26"/>
      <c r="J331" s="98"/>
      <c r="K331" s="36"/>
      <c r="L331" s="26"/>
      <c r="M331" s="26"/>
      <c r="N331" s="26"/>
      <c r="O331" s="93"/>
      <c r="P331" s="95"/>
      <c r="Q331" s="196"/>
    </row>
    <row r="332" spans="3:17" x14ac:dyDescent="0.25">
      <c r="C332" s="198"/>
      <c r="D332" s="111"/>
      <c r="E332" s="33"/>
      <c r="F332" s="104"/>
      <c r="H332" s="115"/>
      <c r="I332" s="26"/>
      <c r="J332" s="98"/>
      <c r="K332" s="36"/>
      <c r="L332" s="26"/>
      <c r="M332" s="26"/>
      <c r="N332" s="26"/>
      <c r="O332" s="93"/>
      <c r="P332" s="95"/>
      <c r="Q332" s="196"/>
    </row>
    <row r="333" spans="3:17" x14ac:dyDescent="0.25">
      <c r="C333" s="198"/>
      <c r="D333" s="111"/>
      <c r="E333" s="33"/>
      <c r="F333" s="104"/>
      <c r="H333" s="115"/>
      <c r="I333" s="26"/>
      <c r="J333" s="98"/>
      <c r="K333" s="36"/>
      <c r="L333" s="26"/>
      <c r="M333" s="26"/>
      <c r="N333" s="26"/>
      <c r="O333" s="93"/>
      <c r="P333" s="95"/>
      <c r="Q333" s="196"/>
    </row>
    <row r="334" spans="3:17" x14ac:dyDescent="0.25">
      <c r="C334" s="198"/>
      <c r="D334" s="111"/>
      <c r="E334" s="33"/>
      <c r="F334" s="104"/>
      <c r="H334" s="115"/>
      <c r="I334" s="26"/>
      <c r="J334" s="98"/>
      <c r="K334" s="36"/>
      <c r="L334" s="26"/>
      <c r="M334" s="26"/>
      <c r="N334" s="26"/>
      <c r="O334" s="93"/>
      <c r="P334" s="95"/>
      <c r="Q334" s="196"/>
    </row>
    <row r="335" spans="3:17" x14ac:dyDescent="0.25">
      <c r="C335" s="198"/>
      <c r="D335" s="111"/>
      <c r="E335" s="33"/>
      <c r="F335" s="104"/>
      <c r="H335" s="115"/>
      <c r="I335" s="26"/>
      <c r="J335" s="98"/>
      <c r="K335" s="36"/>
      <c r="L335" s="26"/>
      <c r="M335" s="26"/>
      <c r="N335" s="26"/>
      <c r="O335" s="93"/>
      <c r="P335" s="95"/>
      <c r="Q335" s="196"/>
    </row>
    <row r="336" spans="3:17" x14ac:dyDescent="0.25">
      <c r="C336" s="198"/>
      <c r="D336" s="111"/>
      <c r="E336" s="33"/>
      <c r="F336" s="104"/>
      <c r="H336" s="115"/>
      <c r="I336" s="26"/>
      <c r="J336" s="98"/>
      <c r="K336" s="36"/>
      <c r="L336" s="26"/>
      <c r="M336" s="26"/>
      <c r="N336" s="26"/>
      <c r="O336" s="93"/>
      <c r="P336" s="95"/>
      <c r="Q336" s="196"/>
    </row>
    <row r="337" spans="3:17" x14ac:dyDescent="0.25">
      <c r="C337" s="198"/>
      <c r="D337" s="111"/>
      <c r="E337" s="33"/>
      <c r="F337" s="104"/>
      <c r="H337" s="115"/>
      <c r="I337" s="26"/>
      <c r="J337" s="98"/>
      <c r="K337" s="36"/>
      <c r="L337" s="26"/>
      <c r="M337" s="26"/>
      <c r="N337" s="26"/>
      <c r="O337" s="93"/>
      <c r="P337" s="95"/>
      <c r="Q337" s="196"/>
    </row>
    <row r="338" spans="3:17" x14ac:dyDescent="0.25">
      <c r="C338" s="198"/>
      <c r="D338" s="111"/>
      <c r="E338" s="33"/>
      <c r="F338" s="104"/>
      <c r="H338" s="115"/>
      <c r="I338" s="26"/>
      <c r="J338" s="98"/>
      <c r="K338" s="36"/>
      <c r="L338" s="26"/>
      <c r="M338" s="26"/>
      <c r="N338" s="26"/>
      <c r="O338" s="93"/>
      <c r="P338" s="95"/>
      <c r="Q338" s="196"/>
    </row>
    <row r="339" spans="3:17" x14ac:dyDescent="0.25">
      <c r="C339" s="198"/>
      <c r="D339" s="111"/>
      <c r="E339" s="33"/>
      <c r="F339" s="104"/>
      <c r="H339" s="115"/>
      <c r="I339" s="26"/>
      <c r="J339" s="98"/>
      <c r="K339" s="36"/>
      <c r="L339" s="26"/>
      <c r="M339" s="26"/>
      <c r="N339" s="26"/>
      <c r="O339" s="93"/>
      <c r="P339" s="95"/>
      <c r="Q339" s="196"/>
    </row>
    <row r="340" spans="3:17" x14ac:dyDescent="0.25">
      <c r="C340" s="198"/>
      <c r="D340" s="111"/>
      <c r="E340" s="33"/>
      <c r="F340" s="104"/>
      <c r="H340" s="115"/>
      <c r="I340" s="26"/>
      <c r="J340" s="98"/>
      <c r="K340" s="36"/>
      <c r="L340" s="26"/>
      <c r="M340" s="26"/>
      <c r="N340" s="26"/>
      <c r="O340" s="93"/>
      <c r="P340" s="95"/>
      <c r="Q340" s="196"/>
    </row>
    <row r="341" spans="3:17" x14ac:dyDescent="0.25">
      <c r="C341" s="198"/>
      <c r="D341" s="111"/>
      <c r="E341" s="33"/>
      <c r="F341" s="104"/>
      <c r="H341" s="115"/>
      <c r="I341" s="26"/>
      <c r="J341" s="98"/>
      <c r="K341" s="36"/>
      <c r="L341" s="26"/>
      <c r="M341" s="26"/>
      <c r="N341" s="26"/>
      <c r="O341" s="93"/>
      <c r="P341" s="95"/>
      <c r="Q341" s="196"/>
    </row>
    <row r="342" spans="3:17" x14ac:dyDescent="0.25">
      <c r="C342" s="198"/>
      <c r="D342" s="111"/>
      <c r="E342" s="33"/>
      <c r="F342" s="104"/>
      <c r="H342" s="115"/>
      <c r="I342" s="26"/>
      <c r="J342" s="98"/>
      <c r="K342" s="36"/>
      <c r="L342" s="26"/>
      <c r="M342" s="26"/>
      <c r="N342" s="26"/>
      <c r="O342" s="93"/>
      <c r="P342" s="95"/>
      <c r="Q342" s="196"/>
    </row>
    <row r="343" spans="3:17" x14ac:dyDescent="0.25">
      <c r="C343" s="198"/>
      <c r="D343" s="111"/>
      <c r="E343" s="33"/>
      <c r="F343" s="104"/>
      <c r="H343" s="115"/>
      <c r="I343" s="26"/>
      <c r="J343" s="98"/>
      <c r="K343" s="36"/>
      <c r="L343" s="26"/>
      <c r="M343" s="26"/>
      <c r="N343" s="26"/>
      <c r="O343" s="93"/>
      <c r="P343" s="95"/>
      <c r="Q343" s="196"/>
    </row>
    <row r="344" spans="3:17" x14ac:dyDescent="0.25">
      <c r="C344" s="198"/>
      <c r="D344" s="111"/>
      <c r="E344" s="33"/>
      <c r="F344" s="104"/>
      <c r="H344" s="115"/>
      <c r="I344" s="26"/>
      <c r="J344" s="98"/>
      <c r="K344" s="36"/>
      <c r="L344" s="26"/>
      <c r="M344" s="26"/>
      <c r="N344" s="26"/>
      <c r="O344" s="93"/>
      <c r="P344" s="95"/>
      <c r="Q344" s="196"/>
    </row>
    <row r="345" spans="3:17" x14ac:dyDescent="0.25">
      <c r="C345" s="198"/>
      <c r="D345" s="111"/>
      <c r="E345" s="33"/>
      <c r="F345" s="104"/>
      <c r="H345" s="115"/>
      <c r="I345" s="26"/>
      <c r="J345" s="98"/>
      <c r="K345" s="36"/>
      <c r="L345" s="26"/>
      <c r="M345" s="26"/>
      <c r="N345" s="26"/>
      <c r="O345" s="93"/>
      <c r="P345" s="95"/>
      <c r="Q345" s="196"/>
    </row>
    <row r="346" spans="3:17" x14ac:dyDescent="0.25">
      <c r="C346" s="198"/>
      <c r="D346" s="111"/>
      <c r="E346" s="33"/>
      <c r="F346" s="104"/>
      <c r="H346" s="115"/>
      <c r="I346" s="26"/>
      <c r="J346" s="98"/>
      <c r="K346" s="36"/>
      <c r="L346" s="26"/>
      <c r="M346" s="26"/>
      <c r="N346" s="26"/>
      <c r="O346" s="93"/>
      <c r="P346" s="95"/>
      <c r="Q346" s="196"/>
    </row>
    <row r="347" spans="3:17" x14ac:dyDescent="0.25">
      <c r="C347" s="198"/>
      <c r="D347" s="111"/>
      <c r="E347" s="33"/>
      <c r="F347" s="104"/>
      <c r="H347" s="115"/>
      <c r="I347" s="26"/>
      <c r="J347" s="98"/>
      <c r="K347" s="36"/>
      <c r="L347" s="26"/>
      <c r="M347" s="26"/>
      <c r="N347" s="26"/>
      <c r="O347" s="93"/>
      <c r="P347" s="95"/>
      <c r="Q347" s="196"/>
    </row>
    <row r="348" spans="3:17" x14ac:dyDescent="0.25">
      <c r="C348" s="198"/>
      <c r="D348" s="111"/>
      <c r="E348" s="33"/>
      <c r="F348" s="104"/>
      <c r="H348" s="115"/>
      <c r="I348" s="26"/>
      <c r="J348" s="98"/>
      <c r="K348" s="36"/>
      <c r="L348" s="26"/>
      <c r="M348" s="26"/>
      <c r="N348" s="26"/>
      <c r="O348" s="93"/>
      <c r="P348" s="95"/>
      <c r="Q348" s="196"/>
    </row>
    <row r="349" spans="3:17" x14ac:dyDescent="0.25">
      <c r="C349" s="198"/>
      <c r="D349" s="111"/>
      <c r="E349" s="33"/>
      <c r="F349" s="104"/>
      <c r="H349" s="115"/>
      <c r="I349" s="26"/>
      <c r="J349" s="98"/>
      <c r="K349" s="36"/>
      <c r="L349" s="26"/>
      <c r="M349" s="26"/>
      <c r="N349" s="26"/>
      <c r="O349" s="93"/>
      <c r="P349" s="95"/>
      <c r="Q349" s="196"/>
    </row>
    <row r="350" spans="3:17" x14ac:dyDescent="0.25">
      <c r="C350" s="198"/>
      <c r="D350" s="111"/>
      <c r="E350" s="33"/>
      <c r="F350" s="104"/>
      <c r="H350" s="115"/>
      <c r="I350" s="26"/>
      <c r="J350" s="98"/>
      <c r="K350" s="36"/>
      <c r="L350" s="26"/>
      <c r="M350" s="26"/>
      <c r="N350" s="26"/>
      <c r="O350" s="93"/>
      <c r="P350" s="95"/>
      <c r="Q350" s="196"/>
    </row>
    <row r="351" spans="3:17" x14ac:dyDescent="0.25">
      <c r="C351" s="198"/>
      <c r="D351" s="111"/>
      <c r="E351" s="33"/>
      <c r="F351" s="104"/>
      <c r="H351" s="115"/>
      <c r="I351" s="26"/>
      <c r="J351" s="98"/>
      <c r="K351" s="36"/>
      <c r="L351" s="26"/>
      <c r="M351" s="26"/>
      <c r="N351" s="26"/>
      <c r="O351" s="93"/>
      <c r="P351" s="95"/>
      <c r="Q351" s="196"/>
    </row>
    <row r="352" spans="3:17" x14ac:dyDescent="0.25">
      <c r="C352" s="198"/>
      <c r="D352" s="111"/>
      <c r="E352" s="33"/>
      <c r="F352" s="104"/>
      <c r="H352" s="115"/>
      <c r="I352" s="26"/>
      <c r="J352" s="98"/>
      <c r="K352" s="36"/>
      <c r="L352" s="26"/>
      <c r="M352" s="26"/>
      <c r="N352" s="26"/>
      <c r="O352" s="93"/>
      <c r="P352" s="95"/>
      <c r="Q352" s="196"/>
    </row>
    <row r="353" spans="3:17" x14ac:dyDescent="0.25">
      <c r="C353" s="198"/>
      <c r="D353" s="111"/>
      <c r="E353" s="33"/>
      <c r="F353" s="104"/>
      <c r="H353" s="115"/>
      <c r="I353" s="26"/>
      <c r="J353" s="98"/>
      <c r="K353" s="36"/>
      <c r="L353" s="26"/>
      <c r="M353" s="26"/>
      <c r="N353" s="26"/>
      <c r="O353" s="93"/>
      <c r="P353" s="95"/>
      <c r="Q353" s="196"/>
    </row>
    <row r="354" spans="3:17" x14ac:dyDescent="0.25">
      <c r="C354" s="198"/>
      <c r="D354" s="111"/>
      <c r="E354" s="33"/>
      <c r="F354" s="104"/>
      <c r="H354" s="115"/>
      <c r="I354" s="26"/>
      <c r="J354" s="98"/>
      <c r="K354" s="36"/>
      <c r="L354" s="26"/>
      <c r="M354" s="26"/>
      <c r="N354" s="26"/>
      <c r="O354" s="93"/>
      <c r="P354" s="95"/>
      <c r="Q354" s="196"/>
    </row>
    <row r="355" spans="3:17" x14ac:dyDescent="0.25">
      <c r="C355" s="198"/>
      <c r="D355" s="111"/>
      <c r="E355" s="33"/>
      <c r="F355" s="104"/>
      <c r="H355" s="115"/>
      <c r="I355" s="26"/>
      <c r="J355" s="98"/>
      <c r="K355" s="36"/>
      <c r="L355" s="26"/>
      <c r="M355" s="26"/>
      <c r="N355" s="26"/>
      <c r="O355" s="93"/>
      <c r="P355" s="95"/>
      <c r="Q355" s="196"/>
    </row>
    <row r="356" spans="3:17" x14ac:dyDescent="0.25">
      <c r="C356" s="198"/>
      <c r="D356" s="111"/>
      <c r="E356" s="33"/>
      <c r="F356" s="104"/>
      <c r="H356" s="115"/>
      <c r="I356" s="26"/>
      <c r="J356" s="98"/>
      <c r="K356" s="36"/>
      <c r="L356" s="26"/>
      <c r="M356" s="26"/>
      <c r="N356" s="26"/>
      <c r="O356" s="93"/>
      <c r="P356" s="95"/>
      <c r="Q356" s="196"/>
    </row>
    <row r="357" spans="3:17" x14ac:dyDescent="0.25">
      <c r="C357" s="198"/>
      <c r="D357" s="111"/>
      <c r="E357" s="33"/>
      <c r="F357" s="104"/>
      <c r="H357" s="115"/>
      <c r="I357" s="26"/>
      <c r="J357" s="98"/>
      <c r="K357" s="36"/>
      <c r="L357" s="26"/>
      <c r="M357" s="26"/>
      <c r="N357" s="26"/>
      <c r="O357" s="93"/>
      <c r="P357" s="95"/>
      <c r="Q357" s="196"/>
    </row>
    <row r="358" spans="3:17" x14ac:dyDescent="0.25">
      <c r="C358" s="198"/>
      <c r="D358" s="111"/>
      <c r="E358" s="33"/>
      <c r="F358" s="104"/>
      <c r="H358" s="115"/>
      <c r="I358" s="26"/>
      <c r="J358" s="98"/>
      <c r="K358" s="36"/>
      <c r="L358" s="26"/>
      <c r="M358" s="26"/>
      <c r="N358" s="26"/>
      <c r="O358" s="93"/>
      <c r="P358" s="95"/>
      <c r="Q358" s="196"/>
    </row>
    <row r="359" spans="3:17" x14ac:dyDescent="0.25">
      <c r="C359" s="198"/>
      <c r="D359" s="111"/>
      <c r="E359" s="33"/>
      <c r="F359" s="104"/>
      <c r="H359" s="115"/>
      <c r="I359" s="26"/>
      <c r="J359" s="98"/>
      <c r="K359" s="36"/>
      <c r="L359" s="26"/>
      <c r="M359" s="26"/>
      <c r="N359" s="26"/>
      <c r="O359" s="93"/>
      <c r="P359" s="95"/>
      <c r="Q359" s="196"/>
    </row>
    <row r="360" spans="3:17" x14ac:dyDescent="0.25">
      <c r="C360" s="198"/>
      <c r="D360" s="111"/>
      <c r="E360" s="33"/>
      <c r="F360" s="104"/>
      <c r="H360" s="115"/>
      <c r="I360" s="26"/>
      <c r="J360" s="98"/>
      <c r="K360" s="36"/>
      <c r="L360" s="26"/>
      <c r="M360" s="26"/>
      <c r="N360" s="26"/>
      <c r="O360" s="93"/>
      <c r="P360" s="95"/>
      <c r="Q360" s="196"/>
    </row>
    <row r="361" spans="3:17" x14ac:dyDescent="0.25">
      <c r="C361" s="198"/>
      <c r="D361" s="111"/>
      <c r="E361" s="33"/>
      <c r="F361" s="104"/>
      <c r="H361" s="115"/>
      <c r="I361" s="26"/>
      <c r="J361" s="98"/>
      <c r="K361" s="36"/>
      <c r="L361" s="26"/>
      <c r="M361" s="26"/>
      <c r="N361" s="26"/>
      <c r="O361" s="93"/>
      <c r="P361" s="95"/>
      <c r="Q361" s="196"/>
    </row>
    <row r="362" spans="3:17" x14ac:dyDescent="0.25">
      <c r="C362" s="198"/>
      <c r="D362" s="111"/>
      <c r="E362" s="33"/>
      <c r="F362" s="104"/>
      <c r="H362" s="115"/>
      <c r="I362" s="26"/>
      <c r="J362" s="98"/>
      <c r="K362" s="36"/>
      <c r="L362" s="26"/>
      <c r="M362" s="26"/>
      <c r="N362" s="26"/>
      <c r="O362" s="93"/>
      <c r="P362" s="95"/>
      <c r="Q362" s="196"/>
    </row>
    <row r="363" spans="3:17" x14ac:dyDescent="0.25">
      <c r="C363" s="198"/>
      <c r="D363" s="111"/>
      <c r="E363" s="33"/>
      <c r="F363" s="104"/>
      <c r="H363" s="115"/>
      <c r="I363" s="26"/>
      <c r="J363" s="98"/>
      <c r="K363" s="36"/>
      <c r="L363" s="26"/>
      <c r="M363" s="26"/>
      <c r="N363" s="26"/>
      <c r="O363" s="93"/>
      <c r="P363" s="95"/>
      <c r="Q363" s="196"/>
    </row>
    <row r="364" spans="3:17" x14ac:dyDescent="0.25">
      <c r="C364" s="198"/>
      <c r="D364" s="111"/>
      <c r="E364" s="33"/>
      <c r="F364" s="104"/>
      <c r="H364" s="115"/>
      <c r="I364" s="26"/>
      <c r="J364" s="98"/>
      <c r="K364" s="36"/>
      <c r="L364" s="26"/>
      <c r="M364" s="26"/>
      <c r="N364" s="26"/>
      <c r="O364" s="93"/>
      <c r="P364" s="95"/>
      <c r="Q364" s="196"/>
    </row>
    <row r="365" spans="3:17" x14ac:dyDescent="0.25">
      <c r="C365" s="198"/>
      <c r="D365" s="111"/>
      <c r="E365" s="33"/>
      <c r="F365" s="104"/>
      <c r="H365" s="115"/>
      <c r="I365" s="26"/>
      <c r="J365" s="98"/>
      <c r="K365" s="36"/>
      <c r="L365" s="26"/>
      <c r="M365" s="26"/>
      <c r="N365" s="26"/>
      <c r="O365" s="93"/>
      <c r="P365" s="95"/>
      <c r="Q365" s="196"/>
    </row>
    <row r="366" spans="3:17" x14ac:dyDescent="0.25">
      <c r="C366" s="198"/>
      <c r="D366" s="111"/>
      <c r="E366" s="33"/>
      <c r="F366" s="104"/>
      <c r="H366" s="115"/>
      <c r="I366" s="26"/>
      <c r="J366" s="98"/>
      <c r="K366" s="36"/>
      <c r="L366" s="26"/>
      <c r="M366" s="26"/>
      <c r="N366" s="26"/>
      <c r="O366" s="93"/>
      <c r="P366" s="95"/>
      <c r="Q366" s="196"/>
    </row>
    <row r="367" spans="3:17" x14ac:dyDescent="0.25">
      <c r="C367" s="198"/>
      <c r="D367" s="111"/>
      <c r="E367" s="33"/>
      <c r="F367" s="104"/>
      <c r="H367" s="115"/>
      <c r="I367" s="26"/>
      <c r="J367" s="98"/>
      <c r="K367" s="36"/>
      <c r="L367" s="26"/>
      <c r="M367" s="26"/>
      <c r="N367" s="26"/>
      <c r="O367" s="93"/>
      <c r="P367" s="95"/>
      <c r="Q367" s="196"/>
    </row>
    <row r="368" spans="3:17" x14ac:dyDescent="0.25">
      <c r="C368" s="198"/>
      <c r="D368" s="111"/>
      <c r="E368" s="33"/>
      <c r="F368" s="104"/>
      <c r="H368" s="115"/>
      <c r="I368" s="26"/>
      <c r="J368" s="98"/>
      <c r="K368" s="36"/>
      <c r="L368" s="26"/>
      <c r="M368" s="26"/>
      <c r="N368" s="26"/>
      <c r="O368" s="93"/>
      <c r="P368" s="95"/>
      <c r="Q368" s="196"/>
    </row>
    <row r="369" spans="3:17" x14ac:dyDescent="0.25">
      <c r="C369" s="198"/>
      <c r="D369" s="111"/>
      <c r="E369" s="33"/>
      <c r="F369" s="104"/>
      <c r="H369" s="115"/>
      <c r="I369" s="26"/>
      <c r="J369" s="98"/>
      <c r="K369" s="36"/>
      <c r="L369" s="26"/>
      <c r="M369" s="26"/>
      <c r="N369" s="26"/>
      <c r="O369" s="93"/>
      <c r="P369" s="95"/>
      <c r="Q369" s="196"/>
    </row>
    <row r="370" spans="3:17" x14ac:dyDescent="0.25">
      <c r="C370" s="198"/>
      <c r="D370" s="111"/>
      <c r="E370" s="33"/>
      <c r="F370" s="104"/>
      <c r="H370" s="115"/>
      <c r="I370" s="26"/>
      <c r="J370" s="98"/>
      <c r="K370" s="36"/>
      <c r="L370" s="26"/>
      <c r="M370" s="26"/>
      <c r="N370" s="26"/>
      <c r="O370" s="93"/>
      <c r="P370" s="95"/>
      <c r="Q370" s="196"/>
    </row>
    <row r="371" spans="3:17" x14ac:dyDescent="0.25">
      <c r="C371" s="198"/>
      <c r="D371" s="111"/>
      <c r="E371" s="33"/>
      <c r="F371" s="104"/>
      <c r="H371" s="115"/>
      <c r="I371" s="26"/>
      <c r="J371" s="98"/>
      <c r="K371" s="36"/>
      <c r="L371" s="26"/>
      <c r="M371" s="26"/>
      <c r="N371" s="26"/>
      <c r="O371" s="93"/>
      <c r="P371" s="95"/>
      <c r="Q371" s="196"/>
    </row>
    <row r="372" spans="3:17" x14ac:dyDescent="0.25">
      <c r="C372" s="198"/>
      <c r="D372" s="111"/>
      <c r="E372" s="33"/>
      <c r="F372" s="104"/>
      <c r="H372" s="115"/>
      <c r="I372" s="26"/>
      <c r="J372" s="98"/>
      <c r="K372" s="36"/>
      <c r="L372" s="26"/>
      <c r="M372" s="26"/>
      <c r="N372" s="26"/>
      <c r="O372" s="93"/>
      <c r="P372" s="95"/>
      <c r="Q372" s="196"/>
    </row>
    <row r="373" spans="3:17" x14ac:dyDescent="0.25">
      <c r="C373" s="198"/>
      <c r="D373" s="111"/>
      <c r="E373" s="33"/>
      <c r="F373" s="104"/>
      <c r="H373" s="115"/>
      <c r="I373" s="26"/>
      <c r="J373" s="98"/>
      <c r="K373" s="36"/>
      <c r="L373" s="26"/>
      <c r="M373" s="26"/>
      <c r="N373" s="26"/>
      <c r="O373" s="93"/>
      <c r="P373" s="95"/>
      <c r="Q373" s="196"/>
    </row>
    <row r="374" spans="3:17" x14ac:dyDescent="0.25">
      <c r="C374" s="198"/>
      <c r="D374" s="111"/>
      <c r="E374" s="33"/>
      <c r="F374" s="104"/>
      <c r="H374" s="115"/>
      <c r="I374" s="26"/>
      <c r="J374" s="98"/>
      <c r="K374" s="36"/>
      <c r="L374" s="26"/>
      <c r="M374" s="26"/>
      <c r="N374" s="26"/>
      <c r="O374" s="93"/>
      <c r="P374" s="95"/>
      <c r="Q374" s="196"/>
    </row>
    <row r="375" spans="3:17" x14ac:dyDescent="0.25">
      <c r="C375" s="198"/>
      <c r="D375" s="111"/>
      <c r="E375" s="33"/>
      <c r="F375" s="104"/>
      <c r="H375" s="115"/>
      <c r="I375" s="26"/>
      <c r="J375" s="98"/>
      <c r="K375" s="36"/>
      <c r="L375" s="26"/>
      <c r="M375" s="26"/>
      <c r="N375" s="26"/>
      <c r="O375" s="93"/>
      <c r="P375" s="95"/>
      <c r="Q375" s="196"/>
    </row>
    <row r="376" spans="3:17" x14ac:dyDescent="0.25">
      <c r="C376" s="198"/>
      <c r="D376" s="111"/>
      <c r="E376" s="33"/>
      <c r="F376" s="104"/>
      <c r="H376" s="115"/>
      <c r="I376" s="26"/>
      <c r="J376" s="98"/>
      <c r="K376" s="36"/>
      <c r="L376" s="26"/>
      <c r="M376" s="26"/>
      <c r="N376" s="26"/>
      <c r="O376" s="93"/>
      <c r="P376" s="95"/>
      <c r="Q376" s="196"/>
    </row>
    <row r="377" spans="3:17" x14ac:dyDescent="0.25">
      <c r="C377" s="198"/>
      <c r="D377" s="111"/>
      <c r="E377" s="33"/>
      <c r="F377" s="104"/>
      <c r="H377" s="115"/>
      <c r="I377" s="26"/>
      <c r="J377" s="98"/>
      <c r="K377" s="36"/>
      <c r="L377" s="26"/>
      <c r="M377" s="26"/>
      <c r="N377" s="26"/>
      <c r="O377" s="93"/>
      <c r="P377" s="95"/>
      <c r="Q377" s="196"/>
    </row>
    <row r="378" spans="3:17" x14ac:dyDescent="0.25">
      <c r="C378" s="198"/>
      <c r="D378" s="111"/>
      <c r="E378" s="33"/>
      <c r="F378" s="104"/>
      <c r="H378" s="115"/>
      <c r="I378" s="26"/>
      <c r="J378" s="98"/>
      <c r="K378" s="36"/>
      <c r="L378" s="26"/>
      <c r="M378" s="26"/>
      <c r="N378" s="26"/>
      <c r="O378" s="93"/>
      <c r="P378" s="95"/>
      <c r="Q378" s="196"/>
    </row>
    <row r="379" spans="3:17" x14ac:dyDescent="0.25">
      <c r="C379" s="198"/>
      <c r="D379" s="111"/>
      <c r="E379" s="33"/>
      <c r="F379" s="104"/>
      <c r="H379" s="115"/>
      <c r="I379" s="26"/>
      <c r="J379" s="98"/>
      <c r="K379" s="36"/>
      <c r="L379" s="26"/>
      <c r="M379" s="26"/>
      <c r="N379" s="26"/>
      <c r="O379" s="93"/>
      <c r="P379" s="95"/>
      <c r="Q379" s="196"/>
    </row>
    <row r="380" spans="3:17" x14ac:dyDescent="0.25">
      <c r="C380" s="198"/>
      <c r="D380" s="111"/>
      <c r="E380" s="33"/>
      <c r="F380" s="104"/>
      <c r="H380" s="115"/>
      <c r="I380" s="26"/>
      <c r="J380" s="98"/>
      <c r="K380" s="36"/>
      <c r="L380" s="26"/>
      <c r="M380" s="26"/>
      <c r="N380" s="26"/>
      <c r="O380" s="93"/>
      <c r="P380" s="95"/>
      <c r="Q380" s="196"/>
    </row>
    <row r="381" spans="3:17" x14ac:dyDescent="0.25">
      <c r="C381" s="198"/>
      <c r="D381" s="111"/>
      <c r="E381" s="33"/>
      <c r="F381" s="104"/>
      <c r="H381" s="115"/>
      <c r="I381" s="26"/>
      <c r="J381" s="98"/>
      <c r="K381" s="36"/>
      <c r="L381" s="26"/>
      <c r="M381" s="26"/>
      <c r="N381" s="26"/>
      <c r="O381" s="93"/>
      <c r="P381" s="95"/>
      <c r="Q381" s="196"/>
    </row>
    <row r="382" spans="3:17" x14ac:dyDescent="0.25">
      <c r="C382" s="198"/>
      <c r="D382" s="111"/>
      <c r="E382" s="33"/>
      <c r="F382" s="104"/>
      <c r="H382" s="115"/>
      <c r="I382" s="26"/>
      <c r="J382" s="98"/>
      <c r="K382" s="36"/>
      <c r="L382" s="26"/>
      <c r="M382" s="26"/>
      <c r="N382" s="26"/>
      <c r="O382" s="93"/>
      <c r="P382" s="95"/>
      <c r="Q382" s="196"/>
    </row>
    <row r="383" spans="3:17" x14ac:dyDescent="0.25">
      <c r="C383" s="198"/>
      <c r="D383" s="111"/>
      <c r="E383" s="33"/>
      <c r="F383" s="104"/>
      <c r="H383" s="115"/>
      <c r="I383" s="26"/>
      <c r="J383" s="98"/>
      <c r="K383" s="36"/>
      <c r="L383" s="26"/>
      <c r="M383" s="26"/>
      <c r="N383" s="26"/>
      <c r="O383" s="93"/>
      <c r="P383" s="95"/>
      <c r="Q383" s="196"/>
    </row>
    <row r="384" spans="3:17" x14ac:dyDescent="0.25">
      <c r="C384" s="198"/>
      <c r="D384" s="111"/>
      <c r="E384" s="33"/>
      <c r="F384" s="104"/>
      <c r="H384" s="115"/>
      <c r="I384" s="26"/>
      <c r="J384" s="98"/>
      <c r="K384" s="36"/>
      <c r="L384" s="26"/>
      <c r="M384" s="26"/>
      <c r="N384" s="26"/>
      <c r="O384" s="93"/>
      <c r="P384" s="95"/>
      <c r="Q384" s="196"/>
    </row>
    <row r="385" spans="3:17" x14ac:dyDescent="0.25">
      <c r="C385" s="198"/>
      <c r="D385" s="111"/>
      <c r="E385" s="33"/>
      <c r="F385" s="104"/>
      <c r="H385" s="115"/>
      <c r="I385" s="26"/>
      <c r="J385" s="98"/>
      <c r="K385" s="36"/>
      <c r="L385" s="26"/>
      <c r="M385" s="26"/>
      <c r="N385" s="26"/>
      <c r="O385" s="93"/>
      <c r="P385" s="95"/>
      <c r="Q385" s="196"/>
    </row>
    <row r="386" spans="3:17" x14ac:dyDescent="0.25">
      <c r="C386" s="198"/>
      <c r="D386" s="111"/>
      <c r="E386" s="33"/>
      <c r="F386" s="104"/>
      <c r="H386" s="115"/>
      <c r="I386" s="26"/>
      <c r="J386" s="98"/>
      <c r="K386" s="36"/>
      <c r="L386" s="26"/>
      <c r="M386" s="26"/>
      <c r="N386" s="26"/>
      <c r="O386" s="93"/>
      <c r="P386" s="95"/>
      <c r="Q386" s="196"/>
    </row>
    <row r="387" spans="3:17" x14ac:dyDescent="0.25">
      <c r="C387" s="198"/>
      <c r="D387" s="111"/>
      <c r="E387" s="33"/>
      <c r="F387" s="104"/>
      <c r="H387" s="115"/>
      <c r="I387" s="26"/>
      <c r="J387" s="98"/>
      <c r="K387" s="36"/>
      <c r="L387" s="26"/>
      <c r="M387" s="26"/>
      <c r="N387" s="26"/>
      <c r="O387" s="93"/>
      <c r="P387" s="95"/>
      <c r="Q387" s="196"/>
    </row>
    <row r="388" spans="3:17" x14ac:dyDescent="0.25">
      <c r="C388" s="198"/>
      <c r="D388" s="111"/>
      <c r="E388" s="33"/>
      <c r="F388" s="104"/>
      <c r="H388" s="115"/>
      <c r="I388" s="26"/>
      <c r="J388" s="98"/>
      <c r="K388" s="36"/>
      <c r="L388" s="26"/>
      <c r="M388" s="26"/>
      <c r="N388" s="26"/>
      <c r="O388" s="93"/>
      <c r="P388" s="95"/>
      <c r="Q388" s="196"/>
    </row>
    <row r="389" spans="3:17" x14ac:dyDescent="0.25">
      <c r="C389" s="198"/>
      <c r="D389" s="111"/>
      <c r="E389" s="33"/>
      <c r="F389" s="104"/>
      <c r="H389" s="115"/>
      <c r="I389" s="26"/>
      <c r="J389" s="98"/>
      <c r="K389" s="36"/>
      <c r="L389" s="26"/>
      <c r="M389" s="26"/>
      <c r="N389" s="26"/>
      <c r="O389" s="93"/>
      <c r="P389" s="95"/>
      <c r="Q389" s="196"/>
    </row>
    <row r="390" spans="3:17" x14ac:dyDescent="0.25">
      <c r="C390" s="198"/>
      <c r="D390" s="111"/>
      <c r="E390" s="33"/>
      <c r="F390" s="104"/>
      <c r="H390" s="115"/>
      <c r="I390" s="26"/>
      <c r="J390" s="98"/>
      <c r="K390" s="36"/>
      <c r="L390" s="26"/>
      <c r="M390" s="26"/>
      <c r="N390" s="26"/>
      <c r="O390" s="93"/>
      <c r="P390" s="95"/>
      <c r="Q390" s="196"/>
    </row>
    <row r="391" spans="3:17" x14ac:dyDescent="0.25">
      <c r="C391" s="198"/>
      <c r="D391" s="111"/>
      <c r="E391" s="33"/>
      <c r="F391" s="104"/>
      <c r="H391" s="115"/>
      <c r="I391" s="26"/>
      <c r="J391" s="98"/>
      <c r="K391" s="36"/>
      <c r="L391" s="26"/>
      <c r="M391" s="26"/>
      <c r="N391" s="26"/>
      <c r="O391" s="93"/>
      <c r="P391" s="95"/>
      <c r="Q391" s="196"/>
    </row>
    <row r="392" spans="3:17" x14ac:dyDescent="0.25">
      <c r="C392" s="198"/>
      <c r="D392" s="111"/>
      <c r="E392" s="33"/>
      <c r="F392" s="104"/>
      <c r="H392" s="115"/>
      <c r="I392" s="26"/>
      <c r="J392" s="98"/>
      <c r="K392" s="36"/>
      <c r="L392" s="26"/>
      <c r="M392" s="26"/>
      <c r="N392" s="26"/>
      <c r="O392" s="93"/>
      <c r="P392" s="95"/>
      <c r="Q392" s="196"/>
    </row>
    <row r="393" spans="3:17" x14ac:dyDescent="0.25">
      <c r="C393" s="198"/>
      <c r="D393" s="111"/>
      <c r="E393" s="33"/>
      <c r="F393" s="104"/>
      <c r="H393" s="115"/>
      <c r="I393" s="26"/>
      <c r="J393" s="98"/>
      <c r="K393" s="36"/>
      <c r="L393" s="26"/>
      <c r="M393" s="26"/>
      <c r="N393" s="26"/>
      <c r="O393" s="93"/>
      <c r="P393" s="95"/>
      <c r="Q393" s="196"/>
    </row>
    <row r="394" spans="3:17" x14ac:dyDescent="0.25">
      <c r="C394" s="198"/>
      <c r="D394" s="111"/>
      <c r="E394" s="33"/>
      <c r="F394" s="104"/>
      <c r="H394" s="115"/>
      <c r="I394" s="26"/>
      <c r="J394" s="98"/>
      <c r="K394" s="36"/>
      <c r="L394" s="26"/>
      <c r="M394" s="26"/>
      <c r="N394" s="26"/>
      <c r="O394" s="93"/>
      <c r="P394" s="95"/>
      <c r="Q394" s="196"/>
    </row>
    <row r="395" spans="3:17" x14ac:dyDescent="0.25">
      <c r="C395" s="198"/>
      <c r="D395" s="111"/>
      <c r="E395" s="33"/>
      <c r="F395" s="104"/>
      <c r="H395" s="115"/>
      <c r="I395" s="26"/>
      <c r="J395" s="98"/>
      <c r="K395" s="36"/>
      <c r="L395" s="26"/>
      <c r="M395" s="26"/>
      <c r="N395" s="26"/>
      <c r="O395" s="93"/>
      <c r="P395" s="95"/>
      <c r="Q395" s="196"/>
    </row>
    <row r="396" spans="3:17" x14ac:dyDescent="0.25">
      <c r="C396" s="198"/>
      <c r="D396" s="111"/>
      <c r="E396" s="33"/>
      <c r="F396" s="104"/>
      <c r="H396" s="115"/>
      <c r="I396" s="26"/>
      <c r="J396" s="98"/>
      <c r="K396" s="36"/>
      <c r="L396" s="26"/>
      <c r="M396" s="26"/>
      <c r="N396" s="26"/>
      <c r="O396" s="93"/>
      <c r="P396" s="95"/>
      <c r="Q396" s="196"/>
    </row>
    <row r="397" spans="3:17" x14ac:dyDescent="0.25">
      <c r="C397" s="198"/>
      <c r="D397" s="111"/>
      <c r="E397" s="33"/>
      <c r="F397" s="104"/>
      <c r="H397" s="115"/>
      <c r="I397" s="26"/>
      <c r="J397" s="98"/>
      <c r="K397" s="36"/>
      <c r="L397" s="26"/>
      <c r="M397" s="26"/>
      <c r="N397" s="26"/>
      <c r="O397" s="93"/>
      <c r="P397" s="95"/>
      <c r="Q397" s="196"/>
    </row>
    <row r="398" spans="3:17" x14ac:dyDescent="0.25">
      <c r="C398" s="198"/>
      <c r="D398" s="111"/>
      <c r="E398" s="33"/>
      <c r="F398" s="104"/>
      <c r="H398" s="115"/>
      <c r="I398" s="26"/>
      <c r="J398" s="98"/>
      <c r="K398" s="36"/>
      <c r="L398" s="26"/>
      <c r="M398" s="26"/>
      <c r="N398" s="26"/>
      <c r="O398" s="93"/>
      <c r="P398" s="95"/>
      <c r="Q398" s="196"/>
    </row>
    <row r="399" spans="3:17" x14ac:dyDescent="0.25">
      <c r="C399" s="198"/>
      <c r="D399" s="111"/>
      <c r="E399" s="33"/>
      <c r="F399" s="104"/>
      <c r="H399" s="115"/>
      <c r="I399" s="26"/>
      <c r="J399" s="98"/>
      <c r="K399" s="36"/>
      <c r="L399" s="26"/>
      <c r="M399" s="26"/>
      <c r="N399" s="26"/>
      <c r="O399" s="93"/>
      <c r="P399" s="95"/>
      <c r="Q399" s="196"/>
    </row>
    <row r="400" spans="3:17" x14ac:dyDescent="0.25">
      <c r="C400" s="198"/>
      <c r="D400" s="111"/>
      <c r="E400" s="33"/>
      <c r="F400" s="104"/>
      <c r="H400" s="115"/>
      <c r="I400" s="26"/>
      <c r="J400" s="98"/>
      <c r="K400" s="36"/>
      <c r="L400" s="26"/>
      <c r="M400" s="26"/>
      <c r="N400" s="26"/>
      <c r="O400" s="93"/>
      <c r="P400" s="95"/>
      <c r="Q400" s="196"/>
    </row>
    <row r="401" spans="3:17" x14ac:dyDescent="0.25">
      <c r="C401" s="198"/>
      <c r="D401" s="111"/>
      <c r="E401" s="33"/>
      <c r="F401" s="104"/>
      <c r="H401" s="115"/>
      <c r="I401" s="26"/>
      <c r="J401" s="98"/>
      <c r="K401" s="36"/>
      <c r="L401" s="26"/>
      <c r="M401" s="26"/>
      <c r="N401" s="26"/>
      <c r="O401" s="93"/>
      <c r="P401" s="95"/>
      <c r="Q401" s="196"/>
    </row>
    <row r="402" spans="3:17" x14ac:dyDescent="0.25">
      <c r="C402" s="198"/>
      <c r="D402" s="111"/>
      <c r="E402" s="33"/>
      <c r="F402" s="104"/>
      <c r="H402" s="115"/>
      <c r="I402" s="26"/>
      <c r="J402" s="98"/>
      <c r="K402" s="36"/>
      <c r="L402" s="26"/>
      <c r="M402" s="26"/>
      <c r="N402" s="26"/>
      <c r="O402" s="93"/>
      <c r="P402" s="95"/>
      <c r="Q402" s="196"/>
    </row>
    <row r="403" spans="3:17" x14ac:dyDescent="0.25">
      <c r="C403" s="198"/>
      <c r="D403" s="111"/>
      <c r="E403" s="33"/>
      <c r="F403" s="104"/>
      <c r="H403" s="115"/>
      <c r="I403" s="26"/>
      <c r="J403" s="98"/>
      <c r="K403" s="36"/>
      <c r="L403" s="26"/>
      <c r="M403" s="26"/>
      <c r="N403" s="26"/>
      <c r="O403" s="93"/>
      <c r="P403" s="95"/>
      <c r="Q403" s="196"/>
    </row>
    <row r="404" spans="3:17" x14ac:dyDescent="0.25">
      <c r="C404" s="198"/>
      <c r="D404" s="111"/>
      <c r="E404" s="33"/>
      <c r="F404" s="104"/>
      <c r="H404" s="115"/>
      <c r="I404" s="26"/>
      <c r="J404" s="98"/>
      <c r="K404" s="36"/>
      <c r="L404" s="26"/>
      <c r="M404" s="26"/>
      <c r="N404" s="26"/>
      <c r="O404" s="93"/>
      <c r="P404" s="95"/>
      <c r="Q404" s="196"/>
    </row>
    <row r="405" spans="3:17" x14ac:dyDescent="0.25">
      <c r="C405" s="198"/>
      <c r="D405" s="111"/>
      <c r="E405" s="33"/>
      <c r="F405" s="104"/>
      <c r="H405" s="115"/>
      <c r="I405" s="26"/>
      <c r="J405" s="98"/>
      <c r="K405" s="36"/>
      <c r="L405" s="26"/>
      <c r="M405" s="26"/>
      <c r="N405" s="26"/>
      <c r="O405" s="93"/>
      <c r="P405" s="95"/>
      <c r="Q405" s="196"/>
    </row>
    <row r="406" spans="3:17" x14ac:dyDescent="0.25">
      <c r="C406" s="198"/>
      <c r="D406" s="111"/>
      <c r="E406" s="33"/>
      <c r="F406" s="104"/>
      <c r="H406" s="115"/>
      <c r="I406" s="26"/>
      <c r="J406" s="98"/>
      <c r="K406" s="36"/>
      <c r="L406" s="26"/>
      <c r="M406" s="26"/>
      <c r="N406" s="26"/>
      <c r="O406" s="93"/>
      <c r="P406" s="95"/>
      <c r="Q406" s="196"/>
    </row>
    <row r="407" spans="3:17" x14ac:dyDescent="0.25">
      <c r="C407" s="198"/>
      <c r="D407" s="111"/>
      <c r="E407" s="33"/>
      <c r="F407" s="104"/>
      <c r="H407" s="115"/>
      <c r="I407" s="26"/>
      <c r="J407" s="98"/>
      <c r="K407" s="36"/>
      <c r="L407" s="26"/>
      <c r="M407" s="26"/>
      <c r="N407" s="26"/>
      <c r="O407" s="93"/>
      <c r="P407" s="95"/>
      <c r="Q407" s="196"/>
    </row>
    <row r="408" spans="3:17" x14ac:dyDescent="0.25">
      <c r="C408" s="198"/>
      <c r="D408" s="111"/>
      <c r="E408" s="33"/>
      <c r="F408" s="104"/>
      <c r="H408" s="115"/>
      <c r="I408" s="26"/>
      <c r="J408" s="98"/>
      <c r="K408" s="36"/>
      <c r="L408" s="26"/>
      <c r="M408" s="26"/>
      <c r="N408" s="26"/>
      <c r="O408" s="93"/>
      <c r="P408" s="95"/>
      <c r="Q408" s="196"/>
    </row>
    <row r="409" spans="3:17" x14ac:dyDescent="0.25">
      <c r="C409" s="198"/>
      <c r="D409" s="111"/>
      <c r="E409" s="33"/>
      <c r="F409" s="104"/>
      <c r="H409" s="115"/>
      <c r="I409" s="26"/>
      <c r="J409" s="98"/>
      <c r="K409" s="36"/>
      <c r="L409" s="26"/>
      <c r="M409" s="26"/>
      <c r="N409" s="26"/>
      <c r="O409" s="93"/>
      <c r="P409" s="95"/>
      <c r="Q409" s="196"/>
    </row>
    <row r="410" spans="3:17" x14ac:dyDescent="0.25">
      <c r="C410" s="198"/>
      <c r="D410" s="111"/>
      <c r="E410" s="33"/>
      <c r="F410" s="104"/>
      <c r="H410" s="115"/>
      <c r="I410" s="26"/>
      <c r="J410" s="98"/>
      <c r="K410" s="36"/>
      <c r="L410" s="26"/>
      <c r="M410" s="26"/>
      <c r="N410" s="26"/>
      <c r="O410" s="93"/>
      <c r="P410" s="95"/>
      <c r="Q410" s="196"/>
    </row>
    <row r="411" spans="3:17" x14ac:dyDescent="0.25">
      <c r="C411" s="198"/>
      <c r="D411" s="111"/>
      <c r="E411" s="33"/>
      <c r="F411" s="104"/>
      <c r="H411" s="115"/>
      <c r="I411" s="26"/>
      <c r="J411" s="98"/>
      <c r="K411" s="36"/>
      <c r="L411" s="26"/>
      <c r="M411" s="26"/>
      <c r="N411" s="26"/>
      <c r="O411" s="93"/>
      <c r="P411" s="95"/>
      <c r="Q411" s="196"/>
    </row>
    <row r="412" spans="3:17" x14ac:dyDescent="0.25">
      <c r="C412" s="198"/>
      <c r="D412" s="111"/>
      <c r="E412" s="33"/>
      <c r="F412" s="104"/>
      <c r="H412" s="115"/>
      <c r="I412" s="26"/>
      <c r="J412" s="98"/>
      <c r="K412" s="36"/>
      <c r="L412" s="26"/>
      <c r="M412" s="26"/>
      <c r="N412" s="26"/>
      <c r="O412" s="93"/>
      <c r="P412" s="95"/>
      <c r="Q412" s="196"/>
    </row>
    <row r="413" spans="3:17" x14ac:dyDescent="0.25">
      <c r="C413" s="198"/>
      <c r="D413" s="111"/>
      <c r="E413" s="33"/>
      <c r="F413" s="104"/>
      <c r="H413" s="115"/>
      <c r="I413" s="26"/>
      <c r="J413" s="98"/>
      <c r="K413" s="36"/>
      <c r="L413" s="26"/>
      <c r="M413" s="26"/>
      <c r="N413" s="26"/>
      <c r="O413" s="93"/>
      <c r="P413" s="95"/>
      <c r="Q413" s="196"/>
    </row>
    <row r="414" spans="3:17" x14ac:dyDescent="0.25">
      <c r="C414" s="198"/>
      <c r="D414" s="111"/>
      <c r="E414" s="33"/>
      <c r="F414" s="104"/>
      <c r="H414" s="115"/>
      <c r="I414" s="26"/>
      <c r="J414" s="98"/>
      <c r="K414" s="36"/>
      <c r="L414" s="26"/>
      <c r="M414" s="26"/>
      <c r="N414" s="26"/>
      <c r="O414" s="93"/>
      <c r="P414" s="95"/>
      <c r="Q414" s="196"/>
    </row>
    <row r="415" spans="3:17" x14ac:dyDescent="0.25">
      <c r="C415" s="198"/>
      <c r="D415" s="111"/>
      <c r="E415" s="33"/>
      <c r="F415" s="104"/>
      <c r="H415" s="115"/>
      <c r="I415" s="26"/>
      <c r="J415" s="98"/>
      <c r="K415" s="36"/>
      <c r="L415" s="26"/>
      <c r="M415" s="26"/>
      <c r="N415" s="26"/>
      <c r="O415" s="93"/>
      <c r="P415" s="95"/>
      <c r="Q415" s="196"/>
    </row>
    <row r="416" spans="3:17" x14ac:dyDescent="0.25">
      <c r="C416" s="198"/>
      <c r="D416" s="111"/>
      <c r="E416" s="33"/>
      <c r="F416" s="104"/>
      <c r="H416" s="115"/>
      <c r="I416" s="26"/>
      <c r="J416" s="98"/>
      <c r="K416" s="36"/>
      <c r="L416" s="26"/>
      <c r="M416" s="26"/>
      <c r="N416" s="26"/>
      <c r="O416" s="93"/>
      <c r="P416" s="95"/>
      <c r="Q416" s="196"/>
    </row>
    <row r="417" spans="3:17" x14ac:dyDescent="0.25">
      <c r="C417" s="198"/>
      <c r="D417" s="111"/>
      <c r="E417" s="33"/>
      <c r="F417" s="104"/>
      <c r="H417" s="115"/>
      <c r="I417" s="26"/>
      <c r="J417" s="98"/>
      <c r="K417" s="36"/>
      <c r="L417" s="26"/>
      <c r="M417" s="26"/>
      <c r="N417" s="26"/>
      <c r="O417" s="93"/>
      <c r="P417" s="95"/>
      <c r="Q417" s="196"/>
    </row>
    <row r="418" spans="3:17" x14ac:dyDescent="0.25">
      <c r="C418" s="198"/>
      <c r="D418" s="111"/>
      <c r="E418" s="33"/>
      <c r="F418" s="104"/>
      <c r="H418" s="115"/>
      <c r="I418" s="26"/>
      <c r="J418" s="98"/>
      <c r="K418" s="36"/>
      <c r="L418" s="26"/>
      <c r="M418" s="26"/>
      <c r="N418" s="26"/>
      <c r="O418" s="93"/>
      <c r="P418" s="95"/>
      <c r="Q418" s="196"/>
    </row>
    <row r="419" spans="3:17" x14ac:dyDescent="0.25">
      <c r="C419" s="198"/>
      <c r="D419" s="111"/>
      <c r="E419" s="33"/>
      <c r="F419" s="104"/>
      <c r="H419" s="115"/>
      <c r="I419" s="26"/>
      <c r="J419" s="98"/>
      <c r="K419" s="36"/>
      <c r="L419" s="26"/>
      <c r="M419" s="26"/>
      <c r="N419" s="26"/>
      <c r="O419" s="93"/>
      <c r="P419" s="95"/>
      <c r="Q419" s="196"/>
    </row>
    <row r="420" spans="3:17" x14ac:dyDescent="0.25">
      <c r="C420" s="198"/>
      <c r="D420" s="111"/>
      <c r="E420" s="33"/>
      <c r="F420" s="104"/>
      <c r="H420" s="115"/>
      <c r="I420" s="26"/>
      <c r="J420" s="98"/>
      <c r="K420" s="36"/>
      <c r="L420" s="26"/>
      <c r="M420" s="26"/>
      <c r="N420" s="26"/>
      <c r="O420" s="93"/>
      <c r="P420" s="95"/>
      <c r="Q420" s="196"/>
    </row>
    <row r="421" spans="3:17" x14ac:dyDescent="0.25">
      <c r="C421" s="198"/>
      <c r="D421" s="111"/>
      <c r="E421" s="33"/>
      <c r="F421" s="104"/>
      <c r="H421" s="115"/>
      <c r="I421" s="26"/>
      <c r="J421" s="98"/>
      <c r="K421" s="36"/>
      <c r="L421" s="26"/>
      <c r="M421" s="26"/>
      <c r="N421" s="26"/>
      <c r="O421" s="93"/>
      <c r="P421" s="95"/>
      <c r="Q421" s="196"/>
    </row>
    <row r="422" spans="3:17" x14ac:dyDescent="0.25">
      <c r="C422" s="198"/>
      <c r="D422" s="111"/>
      <c r="E422" s="33"/>
      <c r="F422" s="104"/>
      <c r="H422" s="115"/>
      <c r="I422" s="26"/>
      <c r="J422" s="98"/>
      <c r="K422" s="36"/>
      <c r="L422" s="26"/>
      <c r="M422" s="26"/>
      <c r="N422" s="26"/>
      <c r="O422" s="93"/>
      <c r="P422" s="95"/>
      <c r="Q422" s="196"/>
    </row>
    <row r="423" spans="3:17" x14ac:dyDescent="0.25">
      <c r="C423" s="198"/>
      <c r="D423" s="111"/>
      <c r="E423" s="33"/>
      <c r="F423" s="104"/>
      <c r="H423" s="115"/>
      <c r="I423" s="26"/>
      <c r="J423" s="98"/>
      <c r="K423" s="36"/>
      <c r="L423" s="26"/>
      <c r="M423" s="26"/>
      <c r="N423" s="26"/>
      <c r="O423" s="93"/>
      <c r="P423" s="95"/>
      <c r="Q423" s="196"/>
    </row>
    <row r="424" spans="3:17" x14ac:dyDescent="0.25">
      <c r="C424" s="198"/>
      <c r="D424" s="111"/>
      <c r="E424" s="33"/>
      <c r="F424" s="104"/>
      <c r="H424" s="115"/>
      <c r="I424" s="26"/>
      <c r="J424" s="98"/>
      <c r="K424" s="36"/>
      <c r="L424" s="26"/>
      <c r="M424" s="26"/>
      <c r="N424" s="26"/>
      <c r="O424" s="93"/>
      <c r="P424" s="95"/>
      <c r="Q424" s="196"/>
    </row>
    <row r="425" spans="3:17" x14ac:dyDescent="0.25">
      <c r="C425" s="198"/>
      <c r="D425" s="111"/>
      <c r="E425" s="33"/>
      <c r="F425" s="104"/>
      <c r="H425" s="115"/>
      <c r="I425" s="26"/>
      <c r="J425" s="98"/>
      <c r="K425" s="36"/>
      <c r="L425" s="26"/>
      <c r="M425" s="26"/>
      <c r="N425" s="26"/>
      <c r="O425" s="93"/>
      <c r="P425" s="95"/>
      <c r="Q425" s="196"/>
    </row>
    <row r="426" spans="3:17" x14ac:dyDescent="0.25">
      <c r="C426" s="198"/>
      <c r="D426" s="111"/>
      <c r="E426" s="33"/>
      <c r="F426" s="104"/>
      <c r="H426" s="115"/>
      <c r="I426" s="26"/>
      <c r="J426" s="98"/>
      <c r="K426" s="36"/>
      <c r="L426" s="26"/>
      <c r="M426" s="26"/>
      <c r="N426" s="26"/>
      <c r="O426" s="93"/>
      <c r="P426" s="95"/>
      <c r="Q426" s="196"/>
    </row>
    <row r="427" spans="3:17" x14ac:dyDescent="0.25">
      <c r="C427" s="198"/>
      <c r="D427" s="111"/>
      <c r="E427" s="33"/>
      <c r="F427" s="104"/>
      <c r="H427" s="115"/>
      <c r="I427" s="26"/>
      <c r="J427" s="98"/>
      <c r="K427" s="36"/>
      <c r="L427" s="26"/>
      <c r="M427" s="26"/>
      <c r="N427" s="26"/>
      <c r="O427" s="93"/>
      <c r="P427" s="95"/>
      <c r="Q427" s="196"/>
    </row>
    <row r="428" spans="3:17" x14ac:dyDescent="0.25">
      <c r="C428" s="198"/>
      <c r="D428" s="111"/>
      <c r="E428" s="33"/>
      <c r="F428" s="104"/>
      <c r="H428" s="115"/>
      <c r="I428" s="26"/>
      <c r="J428" s="98"/>
      <c r="K428" s="36"/>
      <c r="L428" s="26"/>
      <c r="M428" s="26"/>
      <c r="N428" s="26"/>
      <c r="O428" s="93"/>
      <c r="P428" s="95"/>
      <c r="Q428" s="196"/>
    </row>
    <row r="429" spans="3:17" x14ac:dyDescent="0.25">
      <c r="C429" s="198"/>
      <c r="D429" s="111"/>
      <c r="E429" s="33"/>
      <c r="F429" s="104"/>
      <c r="H429" s="115"/>
      <c r="I429" s="26"/>
      <c r="J429" s="98"/>
      <c r="K429" s="36"/>
      <c r="L429" s="26"/>
      <c r="M429" s="26"/>
      <c r="N429" s="26"/>
      <c r="O429" s="93"/>
      <c r="P429" s="95"/>
      <c r="Q429" s="196"/>
    </row>
    <row r="430" spans="3:17" x14ac:dyDescent="0.25">
      <c r="C430" s="198"/>
      <c r="D430" s="111"/>
      <c r="E430" s="33"/>
      <c r="F430" s="104"/>
      <c r="H430" s="115"/>
      <c r="I430" s="26"/>
      <c r="J430" s="98"/>
      <c r="K430" s="36"/>
      <c r="L430" s="26"/>
      <c r="M430" s="26"/>
      <c r="N430" s="26"/>
      <c r="O430" s="93"/>
      <c r="P430" s="95"/>
      <c r="Q430" s="196"/>
    </row>
    <row r="431" spans="3:17" x14ac:dyDescent="0.25">
      <c r="C431" s="198"/>
      <c r="D431" s="111"/>
      <c r="E431" s="33"/>
      <c r="F431" s="104"/>
      <c r="H431" s="115"/>
      <c r="I431" s="26"/>
      <c r="J431" s="98"/>
      <c r="K431" s="36"/>
      <c r="L431" s="26"/>
      <c r="M431" s="26"/>
      <c r="N431" s="26"/>
      <c r="O431" s="93"/>
      <c r="P431" s="95"/>
      <c r="Q431" s="196"/>
    </row>
    <row r="432" spans="3:17" x14ac:dyDescent="0.25">
      <c r="C432" s="198"/>
      <c r="D432" s="111"/>
      <c r="E432" s="33"/>
      <c r="F432" s="104"/>
      <c r="H432" s="115"/>
      <c r="I432" s="26"/>
      <c r="J432" s="98"/>
      <c r="K432" s="36"/>
      <c r="L432" s="26"/>
      <c r="M432" s="26"/>
      <c r="N432" s="26"/>
      <c r="O432" s="93"/>
      <c r="P432" s="95"/>
      <c r="Q432" s="196"/>
    </row>
    <row r="433" spans="3:17" x14ac:dyDescent="0.25">
      <c r="C433" s="198"/>
      <c r="D433" s="111"/>
      <c r="E433" s="33"/>
      <c r="F433" s="104"/>
      <c r="H433" s="115"/>
      <c r="I433" s="26"/>
      <c r="J433" s="98"/>
      <c r="K433" s="36"/>
      <c r="L433" s="26"/>
      <c r="M433" s="26"/>
      <c r="N433" s="26"/>
      <c r="O433" s="93"/>
      <c r="P433" s="95"/>
      <c r="Q433" s="196"/>
    </row>
    <row r="434" spans="3:17" x14ac:dyDescent="0.25">
      <c r="C434" s="198"/>
      <c r="D434" s="111"/>
      <c r="E434" s="33"/>
      <c r="F434" s="104"/>
      <c r="H434" s="115"/>
      <c r="I434" s="26"/>
      <c r="J434" s="98"/>
      <c r="K434" s="36"/>
      <c r="L434" s="26"/>
      <c r="M434" s="26"/>
      <c r="N434" s="26"/>
      <c r="O434" s="93"/>
      <c r="P434" s="95"/>
      <c r="Q434" s="196"/>
    </row>
    <row r="435" spans="3:17" x14ac:dyDescent="0.25">
      <c r="C435" s="198"/>
      <c r="D435" s="111"/>
      <c r="E435" s="33"/>
      <c r="F435" s="104"/>
      <c r="H435" s="115"/>
      <c r="I435" s="26"/>
      <c r="J435" s="98"/>
      <c r="K435" s="36"/>
      <c r="L435" s="26"/>
      <c r="M435" s="26"/>
      <c r="N435" s="26"/>
      <c r="O435" s="93"/>
      <c r="P435" s="95"/>
      <c r="Q435" s="196"/>
    </row>
    <row r="436" spans="3:17" x14ac:dyDescent="0.25">
      <c r="C436" s="198"/>
      <c r="D436" s="111"/>
      <c r="E436" s="33"/>
      <c r="F436" s="104"/>
      <c r="H436" s="115"/>
      <c r="I436" s="26"/>
      <c r="J436" s="98"/>
      <c r="K436" s="36"/>
      <c r="L436" s="26"/>
      <c r="M436" s="26"/>
      <c r="N436" s="26"/>
      <c r="O436" s="93"/>
      <c r="P436" s="95"/>
      <c r="Q436" s="196"/>
    </row>
    <row r="437" spans="3:17" x14ac:dyDescent="0.25">
      <c r="C437" s="198"/>
      <c r="D437" s="111"/>
      <c r="E437" s="33"/>
      <c r="F437" s="104"/>
      <c r="H437" s="115"/>
      <c r="I437" s="26"/>
      <c r="J437" s="98"/>
      <c r="K437" s="36"/>
      <c r="L437" s="26"/>
      <c r="M437" s="26"/>
      <c r="N437" s="26"/>
      <c r="O437" s="93"/>
      <c r="P437" s="95"/>
      <c r="Q437" s="196"/>
    </row>
    <row r="438" spans="3:17" x14ac:dyDescent="0.25">
      <c r="C438" s="198"/>
      <c r="D438" s="111"/>
      <c r="E438" s="33"/>
      <c r="F438" s="104"/>
      <c r="H438" s="115"/>
      <c r="I438" s="26"/>
      <c r="J438" s="98"/>
      <c r="K438" s="36"/>
      <c r="L438" s="26"/>
      <c r="M438" s="26"/>
      <c r="N438" s="26"/>
      <c r="O438" s="93"/>
      <c r="P438" s="95"/>
      <c r="Q438" s="196"/>
    </row>
    <row r="439" spans="3:17" x14ac:dyDescent="0.25">
      <c r="C439" s="198"/>
      <c r="D439" s="111"/>
      <c r="E439" s="33"/>
      <c r="F439" s="104"/>
      <c r="H439" s="115"/>
      <c r="I439" s="26"/>
      <c r="J439" s="98"/>
      <c r="K439" s="36"/>
      <c r="L439" s="26"/>
      <c r="M439" s="26"/>
      <c r="N439" s="26"/>
      <c r="O439" s="93"/>
      <c r="P439" s="95"/>
      <c r="Q439" s="196"/>
    </row>
    <row r="440" spans="3:17" x14ac:dyDescent="0.25">
      <c r="C440" s="198"/>
      <c r="D440" s="111"/>
      <c r="E440" s="33"/>
      <c r="F440" s="104"/>
      <c r="H440" s="115"/>
      <c r="I440" s="26"/>
      <c r="J440" s="98"/>
      <c r="K440" s="36"/>
      <c r="L440" s="26"/>
      <c r="M440" s="26"/>
      <c r="N440" s="26"/>
      <c r="O440" s="93"/>
      <c r="P440" s="95"/>
      <c r="Q440" s="196"/>
    </row>
    <row r="441" spans="3:17" x14ac:dyDescent="0.25">
      <c r="C441" s="198"/>
      <c r="D441" s="111"/>
      <c r="E441" s="33"/>
      <c r="F441" s="104"/>
      <c r="H441" s="115"/>
      <c r="I441" s="26"/>
      <c r="J441" s="98"/>
      <c r="K441" s="36"/>
      <c r="L441" s="26"/>
      <c r="M441" s="26"/>
      <c r="N441" s="26"/>
      <c r="O441" s="93"/>
      <c r="P441" s="95"/>
      <c r="Q441" s="196"/>
    </row>
    <row r="442" spans="3:17" x14ac:dyDescent="0.25">
      <c r="C442" s="198"/>
      <c r="D442" s="111"/>
      <c r="E442" s="33"/>
      <c r="F442" s="104"/>
      <c r="H442" s="115"/>
      <c r="I442" s="26"/>
      <c r="J442" s="98"/>
      <c r="K442" s="36"/>
      <c r="L442" s="26"/>
      <c r="M442" s="26"/>
      <c r="N442" s="26"/>
      <c r="O442" s="93"/>
      <c r="P442" s="95"/>
      <c r="Q442" s="196"/>
    </row>
    <row r="443" spans="3:17" x14ac:dyDescent="0.25">
      <c r="C443" s="198"/>
      <c r="D443" s="111"/>
      <c r="E443" s="33"/>
      <c r="F443" s="104"/>
      <c r="H443" s="115"/>
      <c r="I443" s="26"/>
      <c r="J443" s="98"/>
      <c r="K443" s="36"/>
      <c r="L443" s="26"/>
      <c r="M443" s="26"/>
      <c r="N443" s="26"/>
      <c r="O443" s="93"/>
      <c r="P443" s="95"/>
      <c r="Q443" s="196"/>
    </row>
    <row r="444" spans="3:17" x14ac:dyDescent="0.25">
      <c r="C444" s="198"/>
      <c r="D444" s="111"/>
      <c r="E444" s="33"/>
      <c r="F444" s="104"/>
      <c r="H444" s="115"/>
      <c r="I444" s="26"/>
      <c r="J444" s="98"/>
      <c r="K444" s="36"/>
      <c r="L444" s="26"/>
      <c r="M444" s="26"/>
      <c r="N444" s="26"/>
      <c r="O444" s="93"/>
      <c r="P444" s="95"/>
      <c r="Q444" s="196"/>
    </row>
    <row r="445" spans="3:17" x14ac:dyDescent="0.25">
      <c r="C445" s="198"/>
      <c r="D445" s="111"/>
      <c r="E445" s="33"/>
      <c r="F445" s="104"/>
      <c r="H445" s="115"/>
      <c r="I445" s="26"/>
      <c r="J445" s="98"/>
      <c r="K445" s="36"/>
      <c r="L445" s="26"/>
      <c r="M445" s="26"/>
      <c r="N445" s="26"/>
      <c r="O445" s="93"/>
      <c r="P445" s="95"/>
      <c r="Q445" s="196"/>
    </row>
    <row r="446" spans="3:17" x14ac:dyDescent="0.25">
      <c r="C446" s="198"/>
      <c r="D446" s="111"/>
      <c r="E446" s="33"/>
      <c r="F446" s="104"/>
      <c r="H446" s="115"/>
      <c r="I446" s="26"/>
      <c r="J446" s="98"/>
      <c r="K446" s="36"/>
      <c r="L446" s="26"/>
      <c r="M446" s="26"/>
      <c r="N446" s="26"/>
      <c r="O446" s="93"/>
      <c r="P446" s="95"/>
      <c r="Q446" s="196"/>
    </row>
    <row r="447" spans="3:17" x14ac:dyDescent="0.25">
      <c r="C447" s="198"/>
      <c r="D447" s="111"/>
      <c r="E447" s="33"/>
      <c r="F447" s="104"/>
      <c r="H447" s="115"/>
      <c r="I447" s="26"/>
      <c r="J447" s="98"/>
      <c r="K447" s="36"/>
      <c r="L447" s="26"/>
      <c r="M447" s="26"/>
      <c r="N447" s="26"/>
      <c r="O447" s="93"/>
      <c r="P447" s="95"/>
      <c r="Q447" s="196"/>
    </row>
    <row r="448" spans="3:17" x14ac:dyDescent="0.25">
      <c r="C448" s="198"/>
      <c r="D448" s="111"/>
      <c r="E448" s="33"/>
      <c r="F448" s="104"/>
      <c r="H448" s="115"/>
      <c r="I448" s="26"/>
      <c r="J448" s="98"/>
      <c r="K448" s="36"/>
      <c r="L448" s="26"/>
      <c r="M448" s="26"/>
      <c r="N448" s="26"/>
      <c r="O448" s="93"/>
      <c r="P448" s="95"/>
      <c r="Q448" s="196"/>
    </row>
    <row r="449" spans="3:17" x14ac:dyDescent="0.25">
      <c r="C449" s="198"/>
      <c r="D449" s="111"/>
      <c r="E449" s="33"/>
      <c r="F449" s="104"/>
      <c r="H449" s="115"/>
      <c r="I449" s="26"/>
      <c r="J449" s="98"/>
      <c r="K449" s="36"/>
      <c r="L449" s="26"/>
      <c r="M449" s="26"/>
      <c r="N449" s="26"/>
      <c r="O449" s="93"/>
      <c r="P449" s="95"/>
      <c r="Q449" s="196"/>
    </row>
    <row r="450" spans="3:17" x14ac:dyDescent="0.25">
      <c r="C450" s="198"/>
      <c r="D450" s="111"/>
      <c r="E450" s="33"/>
      <c r="F450" s="104"/>
      <c r="H450" s="115"/>
      <c r="I450" s="26"/>
      <c r="J450" s="98"/>
      <c r="K450" s="36"/>
      <c r="L450" s="26"/>
      <c r="M450" s="26"/>
      <c r="N450" s="26"/>
      <c r="O450" s="93"/>
      <c r="P450" s="95"/>
      <c r="Q450" s="196"/>
    </row>
    <row r="451" spans="3:17" x14ac:dyDescent="0.25">
      <c r="C451" s="198"/>
      <c r="D451" s="111"/>
      <c r="E451" s="33"/>
      <c r="F451" s="104"/>
      <c r="H451" s="115"/>
      <c r="I451" s="26"/>
      <c r="J451" s="98"/>
      <c r="K451" s="36"/>
      <c r="L451" s="26"/>
      <c r="M451" s="26"/>
      <c r="N451" s="26"/>
      <c r="O451" s="93"/>
      <c r="P451" s="95"/>
      <c r="Q451" s="196"/>
    </row>
    <row r="452" spans="3:17" x14ac:dyDescent="0.25">
      <c r="C452" s="198"/>
      <c r="D452" s="111"/>
      <c r="E452" s="33"/>
      <c r="F452" s="104"/>
      <c r="H452" s="115"/>
      <c r="I452" s="26"/>
      <c r="J452" s="98"/>
      <c r="K452" s="36"/>
      <c r="L452" s="26"/>
      <c r="M452" s="26"/>
      <c r="N452" s="26"/>
      <c r="O452" s="93"/>
      <c r="P452" s="95"/>
      <c r="Q452" s="196"/>
    </row>
    <row r="453" spans="3:17" x14ac:dyDescent="0.25">
      <c r="C453" s="198"/>
      <c r="D453" s="111"/>
      <c r="E453" s="33"/>
      <c r="F453" s="104"/>
      <c r="H453" s="115"/>
      <c r="I453" s="26"/>
      <c r="J453" s="98"/>
      <c r="K453" s="36"/>
      <c r="L453" s="26"/>
      <c r="M453" s="26"/>
      <c r="N453" s="26"/>
      <c r="O453" s="93"/>
      <c r="P453" s="95"/>
      <c r="Q453" s="196"/>
    </row>
    <row r="454" spans="3:17" x14ac:dyDescent="0.25">
      <c r="C454" s="198"/>
      <c r="D454" s="111"/>
      <c r="E454" s="33"/>
      <c r="F454" s="104"/>
      <c r="H454" s="115"/>
      <c r="I454" s="26"/>
      <c r="J454" s="98"/>
      <c r="K454" s="36"/>
      <c r="L454" s="26"/>
      <c r="M454" s="26"/>
      <c r="N454" s="26"/>
      <c r="O454" s="93"/>
      <c r="P454" s="95"/>
      <c r="Q454" s="196"/>
    </row>
    <row r="455" spans="3:17" x14ac:dyDescent="0.25">
      <c r="C455" s="198"/>
      <c r="D455" s="111"/>
      <c r="E455" s="33"/>
      <c r="F455" s="104"/>
      <c r="H455" s="115"/>
      <c r="I455" s="26"/>
      <c r="J455" s="98"/>
      <c r="K455" s="36"/>
      <c r="L455" s="26"/>
      <c r="M455" s="26"/>
      <c r="N455" s="26"/>
      <c r="O455" s="93"/>
      <c r="P455" s="95"/>
      <c r="Q455" s="196"/>
    </row>
    <row r="456" spans="3:17" x14ac:dyDescent="0.25">
      <c r="C456" s="198"/>
      <c r="D456" s="111"/>
      <c r="E456" s="33"/>
      <c r="F456" s="104"/>
      <c r="H456" s="115"/>
      <c r="I456" s="26"/>
      <c r="J456" s="98"/>
      <c r="K456" s="36"/>
      <c r="L456" s="26"/>
      <c r="M456" s="26"/>
      <c r="N456" s="26"/>
      <c r="O456" s="93"/>
      <c r="P456" s="95"/>
      <c r="Q456" s="196"/>
    </row>
    <row r="457" spans="3:17" x14ac:dyDescent="0.25">
      <c r="C457" s="198"/>
      <c r="D457" s="111"/>
      <c r="E457" s="33"/>
      <c r="F457" s="104"/>
      <c r="H457" s="115"/>
      <c r="I457" s="26"/>
      <c r="J457" s="98"/>
      <c r="K457" s="36"/>
      <c r="L457" s="26"/>
      <c r="M457" s="26"/>
      <c r="N457" s="26"/>
      <c r="O457" s="93"/>
      <c r="P457" s="95"/>
      <c r="Q457" s="196"/>
    </row>
    <row r="458" spans="3:17" x14ac:dyDescent="0.25">
      <c r="C458" s="198"/>
      <c r="D458" s="111"/>
      <c r="E458" s="33"/>
      <c r="F458" s="104"/>
      <c r="H458" s="115"/>
      <c r="I458" s="26"/>
      <c r="J458" s="98"/>
      <c r="K458" s="36"/>
      <c r="L458" s="26"/>
      <c r="M458" s="26"/>
      <c r="N458" s="26"/>
      <c r="O458" s="93"/>
      <c r="P458" s="95"/>
      <c r="Q458" s="196"/>
    </row>
    <row r="459" spans="3:17" x14ac:dyDescent="0.25">
      <c r="C459" s="198"/>
      <c r="D459" s="111"/>
      <c r="E459" s="33"/>
      <c r="F459" s="104"/>
      <c r="H459" s="115"/>
      <c r="I459" s="26"/>
      <c r="J459" s="98"/>
      <c r="K459" s="36"/>
      <c r="L459" s="26"/>
      <c r="M459" s="26"/>
      <c r="N459" s="26"/>
      <c r="O459" s="93"/>
      <c r="P459" s="95"/>
      <c r="Q459" s="196"/>
    </row>
    <row r="460" spans="3:17" x14ac:dyDescent="0.25">
      <c r="C460" s="198"/>
      <c r="D460" s="111"/>
      <c r="E460" s="33"/>
      <c r="F460" s="104"/>
      <c r="H460" s="115"/>
      <c r="I460" s="26"/>
      <c r="J460" s="98"/>
      <c r="K460" s="36"/>
      <c r="L460" s="26"/>
      <c r="M460" s="26"/>
      <c r="N460" s="26"/>
      <c r="O460" s="93"/>
      <c r="P460" s="95"/>
      <c r="Q460" s="196"/>
    </row>
    <row r="461" spans="3:17" x14ac:dyDescent="0.25">
      <c r="C461" s="198"/>
      <c r="D461" s="111"/>
      <c r="E461" s="33"/>
      <c r="F461" s="104"/>
      <c r="H461" s="115"/>
      <c r="I461" s="26"/>
      <c r="J461" s="98"/>
      <c r="K461" s="36"/>
      <c r="L461" s="26"/>
      <c r="M461" s="26"/>
      <c r="N461" s="26"/>
      <c r="O461" s="93"/>
      <c r="P461" s="95"/>
      <c r="Q461" s="196"/>
    </row>
    <row r="462" spans="3:17" x14ac:dyDescent="0.25">
      <c r="C462" s="198"/>
      <c r="D462" s="111"/>
      <c r="E462" s="33"/>
      <c r="F462" s="104"/>
      <c r="H462" s="115"/>
      <c r="I462" s="26"/>
      <c r="J462" s="98"/>
      <c r="K462" s="36"/>
      <c r="L462" s="26"/>
      <c r="M462" s="26"/>
      <c r="N462" s="26"/>
      <c r="O462" s="93"/>
      <c r="P462" s="95"/>
      <c r="Q462" s="196"/>
    </row>
    <row r="463" spans="3:17" x14ac:dyDescent="0.25">
      <c r="C463" s="198"/>
      <c r="D463" s="111"/>
      <c r="E463" s="33"/>
      <c r="F463" s="104"/>
      <c r="H463" s="115"/>
      <c r="I463" s="26"/>
      <c r="J463" s="98"/>
      <c r="K463" s="36"/>
      <c r="L463" s="26"/>
      <c r="M463" s="26"/>
      <c r="N463" s="26"/>
      <c r="O463" s="93"/>
      <c r="P463" s="95"/>
      <c r="Q463" s="196"/>
    </row>
    <row r="464" spans="3:17" x14ac:dyDescent="0.25">
      <c r="C464" s="198"/>
      <c r="D464" s="111"/>
      <c r="E464" s="33"/>
      <c r="F464" s="104"/>
      <c r="H464" s="115"/>
      <c r="I464" s="26"/>
      <c r="J464" s="98"/>
      <c r="K464" s="36"/>
      <c r="L464" s="26"/>
      <c r="M464" s="26"/>
      <c r="N464" s="26"/>
      <c r="O464" s="93"/>
      <c r="P464" s="95"/>
      <c r="Q464" s="196"/>
    </row>
    <row r="465" spans="3:17" x14ac:dyDescent="0.25">
      <c r="C465" s="198"/>
      <c r="D465" s="111"/>
      <c r="E465" s="33"/>
      <c r="F465" s="104"/>
      <c r="H465" s="115"/>
      <c r="I465" s="26"/>
      <c r="J465" s="98"/>
      <c r="K465" s="36"/>
      <c r="L465" s="26"/>
      <c r="M465" s="26"/>
      <c r="N465" s="26"/>
      <c r="O465" s="93"/>
      <c r="P465" s="95"/>
      <c r="Q465" s="196"/>
    </row>
    <row r="466" spans="3:17" x14ac:dyDescent="0.25">
      <c r="C466" s="198"/>
      <c r="D466" s="111"/>
      <c r="E466" s="33"/>
      <c r="F466" s="104"/>
      <c r="H466" s="115"/>
      <c r="I466" s="26"/>
      <c r="J466" s="98"/>
      <c r="K466" s="36"/>
      <c r="L466" s="26"/>
      <c r="M466" s="26"/>
      <c r="N466" s="26"/>
      <c r="O466" s="93"/>
      <c r="P466" s="95"/>
      <c r="Q466" s="196"/>
    </row>
    <row r="467" spans="3:17" x14ac:dyDescent="0.25">
      <c r="C467" s="198"/>
      <c r="D467" s="111"/>
      <c r="E467" s="33"/>
      <c r="F467" s="104"/>
      <c r="H467" s="115"/>
      <c r="I467" s="26"/>
      <c r="J467" s="98"/>
      <c r="K467" s="36"/>
      <c r="L467" s="26"/>
      <c r="M467" s="26"/>
      <c r="N467" s="26"/>
      <c r="O467" s="93"/>
      <c r="P467" s="95"/>
      <c r="Q467" s="196"/>
    </row>
    <row r="468" spans="3:17" x14ac:dyDescent="0.25">
      <c r="C468" s="198"/>
      <c r="D468" s="111"/>
      <c r="E468" s="33"/>
      <c r="F468" s="104"/>
      <c r="H468" s="115"/>
      <c r="I468" s="26"/>
      <c r="J468" s="98"/>
      <c r="K468" s="36"/>
      <c r="L468" s="26"/>
      <c r="M468" s="26"/>
      <c r="N468" s="26"/>
      <c r="O468" s="93"/>
      <c r="P468" s="95"/>
      <c r="Q468" s="196"/>
    </row>
    <row r="469" spans="3:17" x14ac:dyDescent="0.25">
      <c r="C469" s="198"/>
      <c r="D469" s="111"/>
      <c r="E469" s="33"/>
      <c r="F469" s="104"/>
      <c r="H469" s="115"/>
      <c r="I469" s="26"/>
      <c r="J469" s="98"/>
      <c r="K469" s="36"/>
      <c r="L469" s="26"/>
      <c r="M469" s="26"/>
      <c r="N469" s="26"/>
      <c r="O469" s="93"/>
      <c r="P469" s="95"/>
      <c r="Q469" s="196"/>
    </row>
    <row r="470" spans="3:17" x14ac:dyDescent="0.25">
      <c r="C470" s="198"/>
      <c r="D470" s="111"/>
      <c r="E470" s="33"/>
      <c r="F470" s="104"/>
      <c r="H470" s="115"/>
      <c r="I470" s="26"/>
      <c r="J470" s="98"/>
      <c r="K470" s="36"/>
      <c r="L470" s="26"/>
      <c r="M470" s="26"/>
      <c r="N470" s="26"/>
      <c r="O470" s="93"/>
      <c r="P470" s="95"/>
      <c r="Q470" s="196"/>
    </row>
    <row r="471" spans="3:17" x14ac:dyDescent="0.25">
      <c r="C471" s="198"/>
      <c r="D471" s="111"/>
      <c r="E471" s="33"/>
      <c r="F471" s="104"/>
      <c r="H471" s="115"/>
      <c r="I471" s="26"/>
      <c r="J471" s="98"/>
      <c r="K471" s="36"/>
      <c r="L471" s="26"/>
      <c r="M471" s="26"/>
      <c r="N471" s="26"/>
      <c r="O471" s="93"/>
      <c r="P471" s="95"/>
      <c r="Q471" s="196"/>
    </row>
    <row r="472" spans="3:17" x14ac:dyDescent="0.25">
      <c r="C472" s="198"/>
      <c r="D472" s="111"/>
      <c r="E472" s="33"/>
      <c r="F472" s="104"/>
      <c r="H472" s="115"/>
      <c r="I472" s="26"/>
      <c r="J472" s="98"/>
      <c r="K472" s="36"/>
      <c r="L472" s="26"/>
      <c r="M472" s="26"/>
      <c r="N472" s="26"/>
      <c r="O472" s="93"/>
      <c r="P472" s="95"/>
      <c r="Q472" s="196"/>
    </row>
    <row r="473" spans="3:17" x14ac:dyDescent="0.25">
      <c r="C473" s="198"/>
      <c r="D473" s="111"/>
      <c r="E473" s="33"/>
      <c r="F473" s="104"/>
      <c r="H473" s="115"/>
      <c r="I473" s="26"/>
      <c r="J473" s="98"/>
      <c r="K473" s="36"/>
      <c r="L473" s="26"/>
      <c r="M473" s="26"/>
      <c r="N473" s="26"/>
      <c r="O473" s="93"/>
      <c r="P473" s="95"/>
      <c r="Q473" s="196"/>
    </row>
    <row r="474" spans="3:17" x14ac:dyDescent="0.25">
      <c r="C474" s="198"/>
      <c r="D474" s="111"/>
      <c r="E474" s="33"/>
      <c r="F474" s="104"/>
      <c r="H474" s="115"/>
      <c r="I474" s="26"/>
      <c r="J474" s="98"/>
      <c r="K474" s="36"/>
      <c r="L474" s="26"/>
      <c r="M474" s="26"/>
      <c r="N474" s="26"/>
      <c r="O474" s="93"/>
      <c r="P474" s="95"/>
      <c r="Q474" s="196"/>
    </row>
    <row r="475" spans="3:17" x14ac:dyDescent="0.25">
      <c r="C475" s="198"/>
      <c r="D475" s="111"/>
      <c r="E475" s="33"/>
      <c r="F475" s="104"/>
      <c r="H475" s="115"/>
      <c r="I475" s="26"/>
      <c r="J475" s="98"/>
      <c r="K475" s="36"/>
      <c r="L475" s="26"/>
      <c r="M475" s="26"/>
      <c r="N475" s="26"/>
      <c r="O475" s="93"/>
      <c r="P475" s="95"/>
      <c r="Q475" s="196"/>
    </row>
    <row r="476" spans="3:17" x14ac:dyDescent="0.25">
      <c r="C476" s="198"/>
      <c r="D476" s="111"/>
      <c r="E476" s="33"/>
      <c r="F476" s="104"/>
      <c r="H476" s="115"/>
      <c r="I476" s="26"/>
      <c r="J476" s="98"/>
      <c r="K476" s="36"/>
      <c r="L476" s="26"/>
      <c r="M476" s="26"/>
      <c r="N476" s="26"/>
      <c r="O476" s="93"/>
      <c r="P476" s="95"/>
      <c r="Q476" s="196"/>
    </row>
    <row r="477" spans="3:17" x14ac:dyDescent="0.25">
      <c r="C477" s="198"/>
      <c r="D477" s="111"/>
      <c r="E477" s="33"/>
      <c r="F477" s="104"/>
      <c r="H477" s="115"/>
      <c r="I477" s="26"/>
      <c r="J477" s="98"/>
      <c r="K477" s="36"/>
      <c r="L477" s="26"/>
      <c r="M477" s="26"/>
      <c r="N477" s="26"/>
      <c r="O477" s="93"/>
      <c r="P477" s="95"/>
      <c r="Q477" s="196"/>
    </row>
    <row r="478" spans="3:17" x14ac:dyDescent="0.25">
      <c r="C478" s="198"/>
      <c r="D478" s="111"/>
      <c r="E478" s="33"/>
      <c r="F478" s="104"/>
      <c r="H478" s="115"/>
      <c r="I478" s="26"/>
      <c r="J478" s="98"/>
      <c r="K478" s="36"/>
      <c r="L478" s="26"/>
      <c r="M478" s="26"/>
      <c r="N478" s="26"/>
      <c r="O478" s="93"/>
      <c r="P478" s="95"/>
      <c r="Q478" s="196"/>
    </row>
    <row r="479" spans="3:17" x14ac:dyDescent="0.25">
      <c r="C479" s="198"/>
      <c r="D479" s="111"/>
      <c r="E479" s="33"/>
      <c r="F479" s="104"/>
      <c r="H479" s="115"/>
      <c r="I479" s="26"/>
      <c r="J479" s="98"/>
      <c r="K479" s="36"/>
      <c r="L479" s="26"/>
      <c r="M479" s="26"/>
      <c r="N479" s="26"/>
      <c r="O479" s="93"/>
      <c r="P479" s="95"/>
      <c r="Q479" s="196"/>
    </row>
    <row r="480" spans="3:17" x14ac:dyDescent="0.25">
      <c r="C480" s="198"/>
      <c r="D480" s="111"/>
      <c r="E480" s="33"/>
      <c r="F480" s="104"/>
      <c r="H480" s="115"/>
      <c r="I480" s="26"/>
      <c r="J480" s="98"/>
      <c r="K480" s="36"/>
      <c r="L480" s="26"/>
      <c r="M480" s="26"/>
      <c r="N480" s="26"/>
      <c r="O480" s="93"/>
      <c r="P480" s="95"/>
      <c r="Q480" s="196"/>
    </row>
    <row r="481" spans="3:17" x14ac:dyDescent="0.25">
      <c r="C481" s="198"/>
      <c r="D481" s="111"/>
      <c r="E481" s="33"/>
      <c r="F481" s="104"/>
      <c r="H481" s="115"/>
      <c r="I481" s="26"/>
      <c r="J481" s="98"/>
      <c r="K481" s="36"/>
      <c r="L481" s="26"/>
      <c r="M481" s="26"/>
      <c r="N481" s="26"/>
      <c r="O481" s="93"/>
      <c r="P481" s="95"/>
      <c r="Q481" s="196"/>
    </row>
    <row r="482" spans="3:17" x14ac:dyDescent="0.25">
      <c r="C482" s="198"/>
      <c r="D482" s="111"/>
      <c r="E482" s="33"/>
      <c r="F482" s="104"/>
      <c r="H482" s="115"/>
      <c r="I482" s="26"/>
      <c r="J482" s="98"/>
      <c r="K482" s="36"/>
      <c r="L482" s="26"/>
      <c r="M482" s="26"/>
      <c r="N482" s="26"/>
      <c r="O482" s="93"/>
      <c r="P482" s="95"/>
      <c r="Q482" s="196"/>
    </row>
    <row r="483" spans="3:17" x14ac:dyDescent="0.25">
      <c r="C483" s="198"/>
      <c r="D483" s="111"/>
      <c r="E483" s="33"/>
      <c r="F483" s="104"/>
      <c r="H483" s="115"/>
      <c r="I483" s="26"/>
      <c r="J483" s="98"/>
      <c r="K483" s="36"/>
      <c r="L483" s="26"/>
      <c r="M483" s="26"/>
      <c r="N483" s="26"/>
      <c r="O483" s="93"/>
      <c r="P483" s="95"/>
      <c r="Q483" s="196"/>
    </row>
    <row r="484" spans="3:17" x14ac:dyDescent="0.25">
      <c r="C484" s="198"/>
      <c r="D484" s="111"/>
      <c r="E484" s="33"/>
      <c r="F484" s="104"/>
      <c r="H484" s="115"/>
      <c r="I484" s="26"/>
      <c r="J484" s="98"/>
      <c r="K484" s="36"/>
      <c r="L484" s="26"/>
      <c r="M484" s="26"/>
      <c r="N484" s="26"/>
      <c r="O484" s="93"/>
      <c r="P484" s="95"/>
      <c r="Q484" s="196"/>
    </row>
    <row r="485" spans="3:17" x14ac:dyDescent="0.25">
      <c r="C485" s="198"/>
      <c r="D485" s="111"/>
      <c r="E485" s="33"/>
      <c r="F485" s="104"/>
      <c r="H485" s="115"/>
      <c r="I485" s="26"/>
      <c r="J485" s="98"/>
      <c r="K485" s="36"/>
      <c r="L485" s="26"/>
      <c r="M485" s="26"/>
      <c r="N485" s="26"/>
      <c r="O485" s="93"/>
      <c r="P485" s="95"/>
      <c r="Q485" s="196"/>
    </row>
    <row r="486" spans="3:17" x14ac:dyDescent="0.25">
      <c r="C486" s="198"/>
      <c r="D486" s="111"/>
      <c r="E486" s="33"/>
      <c r="F486" s="104"/>
      <c r="H486" s="115"/>
      <c r="I486" s="26"/>
      <c r="J486" s="98"/>
      <c r="K486" s="36"/>
      <c r="L486" s="26"/>
      <c r="M486" s="26"/>
      <c r="N486" s="26"/>
      <c r="O486" s="93"/>
      <c r="P486" s="95"/>
      <c r="Q486" s="196"/>
    </row>
    <row r="487" spans="3:17" x14ac:dyDescent="0.25">
      <c r="C487" s="198"/>
      <c r="D487" s="111"/>
      <c r="E487" s="33"/>
      <c r="F487" s="104"/>
      <c r="H487" s="115"/>
      <c r="I487" s="26"/>
      <c r="J487" s="98"/>
      <c r="K487" s="36"/>
      <c r="L487" s="26"/>
      <c r="M487" s="26"/>
      <c r="N487" s="26"/>
      <c r="O487" s="93"/>
      <c r="P487" s="95"/>
      <c r="Q487" s="196"/>
    </row>
    <row r="488" spans="3:17" x14ac:dyDescent="0.25">
      <c r="C488" s="198"/>
      <c r="D488" s="111"/>
      <c r="E488" s="33"/>
      <c r="F488" s="104"/>
      <c r="H488" s="115"/>
      <c r="I488" s="26"/>
      <c r="J488" s="98"/>
      <c r="K488" s="36"/>
      <c r="L488" s="26"/>
      <c r="M488" s="26"/>
      <c r="N488" s="26"/>
      <c r="O488" s="93"/>
      <c r="P488" s="95"/>
      <c r="Q488" s="196"/>
    </row>
    <row r="489" spans="3:17" x14ac:dyDescent="0.25">
      <c r="C489" s="198"/>
      <c r="D489" s="111"/>
      <c r="E489" s="33"/>
      <c r="F489" s="104"/>
      <c r="H489" s="115"/>
      <c r="I489" s="26"/>
      <c r="J489" s="98"/>
      <c r="K489" s="36"/>
      <c r="L489" s="26"/>
      <c r="M489" s="26"/>
      <c r="N489" s="26"/>
      <c r="O489" s="93"/>
      <c r="P489" s="95"/>
      <c r="Q489" s="196"/>
    </row>
    <row r="490" spans="3:17" x14ac:dyDescent="0.25">
      <c r="C490" s="198"/>
      <c r="D490" s="111"/>
      <c r="E490" s="33"/>
      <c r="F490" s="104"/>
      <c r="H490" s="115"/>
      <c r="I490" s="26"/>
      <c r="J490" s="98"/>
      <c r="K490" s="36"/>
      <c r="L490" s="26"/>
      <c r="M490" s="26"/>
      <c r="N490" s="26"/>
      <c r="O490" s="93"/>
      <c r="P490" s="95"/>
      <c r="Q490" s="196"/>
    </row>
    <row r="491" spans="3:17" x14ac:dyDescent="0.25">
      <c r="C491" s="198"/>
      <c r="D491" s="111"/>
      <c r="E491" s="33"/>
      <c r="F491" s="104"/>
      <c r="H491" s="115"/>
      <c r="I491" s="26"/>
      <c r="J491" s="98"/>
      <c r="K491" s="36"/>
      <c r="L491" s="26"/>
      <c r="M491" s="26"/>
      <c r="N491" s="26"/>
      <c r="O491" s="93"/>
      <c r="P491" s="95"/>
      <c r="Q491" s="196"/>
    </row>
    <row r="492" spans="3:17" x14ac:dyDescent="0.25">
      <c r="C492" s="198"/>
      <c r="D492" s="111"/>
      <c r="E492" s="33"/>
      <c r="F492" s="104"/>
      <c r="H492" s="115"/>
      <c r="I492" s="26"/>
      <c r="J492" s="98"/>
      <c r="K492" s="36"/>
      <c r="L492" s="26"/>
      <c r="M492" s="26"/>
      <c r="N492" s="26"/>
      <c r="O492" s="93"/>
      <c r="P492" s="95"/>
      <c r="Q492" s="196"/>
    </row>
    <row r="493" spans="3:17" x14ac:dyDescent="0.25">
      <c r="C493" s="198"/>
      <c r="D493" s="111"/>
      <c r="E493" s="33"/>
      <c r="F493" s="104"/>
      <c r="H493" s="115"/>
      <c r="I493" s="26"/>
      <c r="J493" s="98"/>
      <c r="K493" s="36"/>
      <c r="L493" s="26"/>
      <c r="M493" s="26"/>
      <c r="N493" s="26"/>
      <c r="O493" s="93"/>
      <c r="P493" s="95"/>
      <c r="Q493" s="196"/>
    </row>
    <row r="494" spans="3:17" x14ac:dyDescent="0.25">
      <c r="C494" s="198"/>
      <c r="D494" s="111"/>
      <c r="E494" s="33"/>
      <c r="F494" s="104"/>
      <c r="H494" s="115"/>
      <c r="I494" s="26"/>
      <c r="J494" s="98"/>
      <c r="K494" s="36"/>
      <c r="L494" s="26"/>
      <c r="M494" s="26"/>
      <c r="N494" s="26"/>
      <c r="O494" s="93"/>
      <c r="P494" s="95"/>
      <c r="Q494" s="196"/>
    </row>
    <row r="495" spans="3:17" x14ac:dyDescent="0.25">
      <c r="C495" s="198"/>
      <c r="D495" s="111"/>
      <c r="E495" s="33"/>
      <c r="F495" s="104"/>
      <c r="H495" s="115"/>
      <c r="I495" s="26"/>
      <c r="J495" s="98"/>
      <c r="K495" s="36"/>
      <c r="L495" s="26"/>
      <c r="M495" s="26"/>
      <c r="N495" s="26"/>
      <c r="O495" s="93"/>
      <c r="P495" s="95"/>
      <c r="Q495" s="196"/>
    </row>
    <row r="496" spans="3:17" x14ac:dyDescent="0.25">
      <c r="C496" s="198"/>
      <c r="D496" s="111"/>
      <c r="E496" s="33"/>
      <c r="F496" s="104"/>
      <c r="H496" s="115"/>
      <c r="I496" s="26"/>
      <c r="J496" s="98"/>
      <c r="K496" s="36"/>
      <c r="L496" s="26"/>
      <c r="M496" s="26"/>
      <c r="N496" s="26"/>
      <c r="O496" s="93"/>
      <c r="P496" s="95"/>
      <c r="Q496" s="196"/>
    </row>
    <row r="497" spans="3:17" x14ac:dyDescent="0.25">
      <c r="C497" s="198"/>
      <c r="D497" s="111"/>
      <c r="E497" s="33"/>
      <c r="F497" s="104"/>
      <c r="H497" s="115"/>
      <c r="I497" s="26"/>
      <c r="J497" s="98"/>
      <c r="K497" s="36"/>
      <c r="L497" s="26"/>
      <c r="M497" s="26"/>
      <c r="N497" s="26"/>
      <c r="O497" s="93"/>
      <c r="P497" s="95"/>
      <c r="Q497" s="196"/>
    </row>
    <row r="498" spans="3:17" x14ac:dyDescent="0.25">
      <c r="C498" s="198"/>
      <c r="D498" s="111"/>
      <c r="E498" s="33"/>
      <c r="F498" s="104"/>
      <c r="H498" s="115"/>
      <c r="I498" s="26"/>
      <c r="J498" s="98"/>
      <c r="K498" s="36"/>
      <c r="L498" s="26"/>
      <c r="M498" s="26"/>
      <c r="N498" s="26"/>
      <c r="O498" s="93"/>
      <c r="P498" s="95"/>
      <c r="Q498" s="196"/>
    </row>
    <row r="499" spans="3:17" x14ac:dyDescent="0.25">
      <c r="C499" s="198"/>
      <c r="D499" s="111"/>
      <c r="E499" s="33"/>
      <c r="F499" s="104"/>
      <c r="H499" s="115"/>
      <c r="I499" s="26"/>
      <c r="J499" s="98"/>
      <c r="K499" s="36"/>
      <c r="L499" s="26"/>
      <c r="M499" s="26"/>
      <c r="N499" s="26"/>
      <c r="O499" s="93"/>
      <c r="P499" s="95"/>
      <c r="Q499" s="196"/>
    </row>
    <row r="500" spans="3:17" x14ac:dyDescent="0.25">
      <c r="C500" s="198"/>
      <c r="D500" s="111"/>
      <c r="E500" s="33"/>
      <c r="F500" s="104"/>
      <c r="H500" s="115"/>
      <c r="I500" s="26"/>
      <c r="J500" s="98"/>
      <c r="K500" s="36"/>
      <c r="L500" s="26"/>
      <c r="M500" s="26"/>
      <c r="N500" s="26"/>
      <c r="O500" s="93"/>
      <c r="P500" s="95"/>
      <c r="Q500" s="196"/>
    </row>
    <row r="501" spans="3:17" x14ac:dyDescent="0.25">
      <c r="C501" s="198"/>
      <c r="D501" s="111"/>
      <c r="E501" s="33"/>
      <c r="F501" s="104"/>
      <c r="H501" s="115"/>
      <c r="I501" s="26"/>
      <c r="J501" s="98"/>
      <c r="K501" s="36"/>
      <c r="L501" s="26"/>
      <c r="M501" s="26"/>
      <c r="N501" s="26"/>
      <c r="O501" s="93"/>
      <c r="P501" s="95"/>
      <c r="Q501" s="196"/>
    </row>
    <row r="502" spans="3:17" x14ac:dyDescent="0.25">
      <c r="C502" s="198"/>
      <c r="D502" s="111"/>
      <c r="E502" s="33"/>
      <c r="F502" s="104"/>
      <c r="H502" s="115"/>
      <c r="I502" s="26"/>
      <c r="J502" s="98"/>
      <c r="K502" s="36"/>
      <c r="L502" s="26"/>
      <c r="M502" s="26"/>
      <c r="N502" s="26"/>
      <c r="O502" s="93"/>
      <c r="P502" s="95"/>
      <c r="Q502" s="196"/>
    </row>
    <row r="503" spans="3:17" x14ac:dyDescent="0.25">
      <c r="C503" s="198"/>
      <c r="D503" s="111"/>
      <c r="E503" s="33"/>
      <c r="F503" s="104"/>
      <c r="H503" s="115"/>
      <c r="I503" s="26"/>
      <c r="J503" s="98"/>
      <c r="K503" s="36"/>
      <c r="L503" s="26"/>
      <c r="M503" s="26"/>
      <c r="N503" s="26"/>
      <c r="O503" s="93"/>
      <c r="P503" s="95"/>
      <c r="Q503" s="196"/>
    </row>
    <row r="504" spans="3:17" x14ac:dyDescent="0.25">
      <c r="C504" s="198"/>
      <c r="D504" s="111"/>
      <c r="E504" s="33"/>
      <c r="F504" s="104"/>
      <c r="H504" s="115"/>
      <c r="I504" s="26"/>
      <c r="J504" s="98"/>
      <c r="K504" s="36"/>
      <c r="L504" s="26"/>
      <c r="M504" s="26"/>
      <c r="N504" s="26"/>
      <c r="O504" s="93"/>
      <c r="P504" s="95"/>
      <c r="Q504" s="196"/>
    </row>
    <row r="505" spans="3:17" x14ac:dyDescent="0.25">
      <c r="C505" s="198"/>
      <c r="D505" s="111"/>
      <c r="E505" s="33"/>
      <c r="F505" s="104"/>
      <c r="H505" s="115"/>
      <c r="I505" s="26"/>
      <c r="J505" s="98"/>
      <c r="K505" s="36"/>
      <c r="L505" s="26"/>
      <c r="M505" s="26"/>
      <c r="N505" s="26"/>
      <c r="O505" s="93"/>
      <c r="P505" s="95"/>
      <c r="Q505" s="196"/>
    </row>
    <row r="506" spans="3:17" x14ac:dyDescent="0.25">
      <c r="C506" s="198"/>
      <c r="D506" s="111"/>
      <c r="E506" s="33"/>
      <c r="F506" s="104"/>
      <c r="H506" s="115"/>
      <c r="I506" s="26"/>
      <c r="J506" s="98"/>
      <c r="K506" s="36"/>
      <c r="L506" s="26"/>
      <c r="M506" s="26"/>
      <c r="N506" s="26"/>
      <c r="O506" s="93"/>
      <c r="P506" s="95"/>
      <c r="Q506" s="196"/>
    </row>
    <row r="507" spans="3:17" x14ac:dyDescent="0.25">
      <c r="C507" s="198"/>
      <c r="D507" s="111"/>
      <c r="E507" s="33"/>
      <c r="F507" s="104"/>
      <c r="H507" s="115"/>
      <c r="I507" s="26"/>
      <c r="J507" s="98"/>
      <c r="K507" s="36"/>
      <c r="L507" s="26"/>
      <c r="M507" s="26"/>
      <c r="N507" s="26"/>
      <c r="O507" s="93"/>
      <c r="P507" s="95"/>
      <c r="Q507" s="196"/>
    </row>
    <row r="508" spans="3:17" x14ac:dyDescent="0.25">
      <c r="C508" s="198"/>
      <c r="D508" s="111"/>
      <c r="E508" s="33"/>
      <c r="F508" s="104"/>
      <c r="H508" s="115"/>
      <c r="I508" s="26"/>
      <c r="J508" s="98"/>
      <c r="K508" s="36"/>
      <c r="L508" s="26"/>
      <c r="M508" s="26"/>
      <c r="N508" s="26"/>
      <c r="O508" s="93"/>
      <c r="P508" s="95"/>
      <c r="Q508" s="196"/>
    </row>
    <row r="509" spans="3:17" x14ac:dyDescent="0.25">
      <c r="C509" s="198"/>
      <c r="D509" s="111"/>
      <c r="E509" s="33"/>
      <c r="F509" s="104"/>
      <c r="H509" s="115"/>
      <c r="I509" s="26"/>
      <c r="J509" s="98"/>
      <c r="K509" s="36"/>
      <c r="L509" s="26"/>
      <c r="M509" s="26"/>
      <c r="N509" s="26"/>
      <c r="O509" s="93"/>
      <c r="P509" s="95"/>
      <c r="Q509" s="196"/>
    </row>
    <row r="510" spans="3:17" x14ac:dyDescent="0.25">
      <c r="C510" s="198"/>
      <c r="D510" s="111"/>
      <c r="E510" s="33"/>
      <c r="F510" s="104"/>
      <c r="H510" s="115"/>
      <c r="I510" s="26"/>
      <c r="J510" s="98"/>
      <c r="K510" s="36"/>
      <c r="L510" s="26"/>
      <c r="M510" s="26"/>
      <c r="N510" s="26"/>
      <c r="O510" s="93"/>
      <c r="P510" s="95"/>
      <c r="Q510" s="196"/>
    </row>
    <row r="511" spans="3:17" x14ac:dyDescent="0.25">
      <c r="C511" s="198"/>
      <c r="D511" s="111"/>
      <c r="E511" s="33"/>
      <c r="F511" s="104"/>
      <c r="H511" s="115"/>
      <c r="I511" s="26"/>
      <c r="J511" s="98"/>
      <c r="K511" s="36"/>
      <c r="L511" s="26"/>
      <c r="M511" s="26"/>
      <c r="N511" s="26"/>
      <c r="O511" s="93"/>
      <c r="P511" s="95"/>
      <c r="Q511" s="196"/>
    </row>
    <row r="512" spans="3:17" x14ac:dyDescent="0.25">
      <c r="C512" s="198"/>
      <c r="D512" s="111"/>
      <c r="E512" s="33"/>
      <c r="F512" s="104"/>
      <c r="H512" s="115"/>
      <c r="I512" s="26"/>
      <c r="J512" s="98"/>
      <c r="K512" s="36"/>
      <c r="L512" s="26"/>
      <c r="M512" s="26"/>
      <c r="N512" s="26"/>
      <c r="O512" s="93"/>
      <c r="P512" s="95"/>
      <c r="Q512" s="196"/>
    </row>
    <row r="513" spans="3:17" x14ac:dyDescent="0.25">
      <c r="C513" s="198"/>
      <c r="D513" s="111"/>
      <c r="E513" s="33"/>
      <c r="F513" s="104"/>
      <c r="H513" s="115"/>
      <c r="I513" s="26"/>
      <c r="J513" s="98"/>
      <c r="K513" s="36"/>
      <c r="L513" s="26"/>
      <c r="M513" s="26"/>
      <c r="N513" s="26"/>
      <c r="O513" s="93"/>
      <c r="P513" s="95"/>
      <c r="Q513" s="196"/>
    </row>
    <row r="514" spans="3:17" x14ac:dyDescent="0.25">
      <c r="C514" s="198"/>
      <c r="D514" s="111"/>
      <c r="E514" s="33"/>
      <c r="F514" s="104"/>
      <c r="H514" s="115"/>
      <c r="I514" s="26"/>
      <c r="J514" s="98"/>
      <c r="K514" s="36"/>
      <c r="L514" s="26"/>
      <c r="M514" s="26"/>
      <c r="N514" s="26"/>
      <c r="O514" s="93"/>
      <c r="P514" s="95"/>
      <c r="Q514" s="196"/>
    </row>
    <row r="515" spans="3:17" x14ac:dyDescent="0.25">
      <c r="C515" s="198"/>
      <c r="D515" s="111"/>
      <c r="E515" s="33"/>
      <c r="F515" s="104"/>
      <c r="H515" s="115"/>
      <c r="I515" s="26"/>
      <c r="J515" s="98"/>
      <c r="K515" s="36"/>
      <c r="L515" s="26"/>
      <c r="M515" s="26"/>
      <c r="N515" s="26"/>
      <c r="O515" s="93"/>
      <c r="P515" s="95"/>
      <c r="Q515" s="196"/>
    </row>
    <row r="516" spans="3:17" x14ac:dyDescent="0.25">
      <c r="C516" s="198"/>
      <c r="D516" s="111"/>
      <c r="E516" s="33"/>
      <c r="F516" s="104"/>
      <c r="H516" s="115"/>
      <c r="I516" s="26"/>
      <c r="J516" s="98"/>
      <c r="K516" s="36"/>
      <c r="L516" s="26"/>
      <c r="M516" s="26"/>
      <c r="N516" s="26"/>
      <c r="O516" s="93"/>
      <c r="P516" s="95"/>
      <c r="Q516" s="196"/>
    </row>
    <row r="517" spans="3:17" x14ac:dyDescent="0.25">
      <c r="C517" s="198"/>
      <c r="D517" s="111"/>
      <c r="E517" s="33"/>
      <c r="F517" s="104"/>
      <c r="H517" s="115"/>
      <c r="I517" s="26"/>
      <c r="J517" s="98"/>
      <c r="K517" s="36"/>
      <c r="L517" s="26"/>
      <c r="M517" s="26"/>
      <c r="N517" s="26"/>
      <c r="O517" s="93"/>
      <c r="P517" s="95"/>
      <c r="Q517" s="196"/>
    </row>
    <row r="518" spans="3:17" x14ac:dyDescent="0.25">
      <c r="C518" s="198"/>
      <c r="D518" s="111"/>
      <c r="E518" s="33"/>
      <c r="F518" s="104"/>
      <c r="H518" s="115"/>
      <c r="I518" s="26"/>
      <c r="J518" s="98"/>
      <c r="K518" s="36"/>
      <c r="L518" s="26"/>
      <c r="M518" s="26"/>
      <c r="N518" s="26"/>
      <c r="O518" s="93"/>
      <c r="P518" s="95"/>
      <c r="Q518" s="196"/>
    </row>
    <row r="519" spans="3:17" x14ac:dyDescent="0.25">
      <c r="C519" s="198"/>
      <c r="D519" s="111"/>
      <c r="E519" s="33"/>
      <c r="F519" s="104"/>
      <c r="H519" s="115"/>
      <c r="I519" s="26"/>
      <c r="J519" s="98"/>
      <c r="K519" s="36"/>
      <c r="L519" s="26"/>
      <c r="M519" s="26"/>
      <c r="N519" s="26"/>
      <c r="O519" s="93"/>
      <c r="P519" s="95"/>
      <c r="Q519" s="196"/>
    </row>
    <row r="520" spans="3:17" x14ac:dyDescent="0.25">
      <c r="C520" s="198"/>
      <c r="D520" s="111"/>
      <c r="E520" s="33"/>
      <c r="F520" s="104"/>
      <c r="H520" s="115"/>
      <c r="I520" s="26"/>
      <c r="J520" s="98"/>
      <c r="K520" s="36"/>
      <c r="L520" s="26"/>
      <c r="M520" s="26"/>
      <c r="N520" s="26"/>
      <c r="O520" s="93"/>
      <c r="P520" s="95"/>
      <c r="Q520" s="196"/>
    </row>
    <row r="521" spans="3:17" x14ac:dyDescent="0.25">
      <c r="C521" s="198"/>
      <c r="D521" s="111"/>
      <c r="E521" s="33"/>
      <c r="F521" s="104"/>
      <c r="H521" s="115"/>
      <c r="I521" s="26"/>
      <c r="J521" s="98"/>
      <c r="K521" s="36"/>
      <c r="L521" s="26"/>
      <c r="M521" s="26"/>
      <c r="N521" s="26"/>
      <c r="O521" s="93"/>
      <c r="P521" s="95"/>
      <c r="Q521" s="196"/>
    </row>
    <row r="522" spans="3:17" x14ac:dyDescent="0.25">
      <c r="C522" s="198"/>
      <c r="D522" s="111"/>
      <c r="E522" s="33"/>
      <c r="F522" s="104"/>
      <c r="H522" s="115"/>
      <c r="I522" s="26"/>
      <c r="J522" s="98"/>
      <c r="K522" s="36"/>
      <c r="L522" s="26"/>
      <c r="M522" s="26"/>
      <c r="N522" s="26"/>
      <c r="O522" s="93"/>
      <c r="P522" s="95"/>
      <c r="Q522" s="196"/>
    </row>
    <row r="523" spans="3:17" x14ac:dyDescent="0.25">
      <c r="C523" s="198"/>
      <c r="D523" s="111"/>
      <c r="E523" s="33"/>
      <c r="F523" s="104"/>
      <c r="H523" s="115"/>
      <c r="I523" s="26"/>
      <c r="J523" s="98"/>
      <c r="K523" s="36"/>
      <c r="L523" s="26"/>
      <c r="M523" s="26"/>
      <c r="N523" s="26"/>
      <c r="O523" s="93"/>
      <c r="P523" s="95"/>
      <c r="Q523" s="196"/>
    </row>
    <row r="524" spans="3:17" x14ac:dyDescent="0.25">
      <c r="C524" s="198"/>
      <c r="D524" s="111"/>
      <c r="E524" s="33"/>
      <c r="F524" s="104"/>
      <c r="H524" s="115"/>
      <c r="I524" s="26"/>
      <c r="J524" s="98"/>
      <c r="K524" s="36"/>
      <c r="L524" s="26"/>
      <c r="M524" s="26"/>
      <c r="N524" s="26"/>
      <c r="O524" s="93"/>
      <c r="P524" s="95"/>
      <c r="Q524" s="196"/>
    </row>
    <row r="525" spans="3:17" x14ac:dyDescent="0.25">
      <c r="C525" s="198"/>
      <c r="D525" s="111"/>
      <c r="E525" s="33"/>
      <c r="F525" s="104"/>
      <c r="H525" s="115"/>
      <c r="I525" s="26"/>
      <c r="J525" s="98"/>
      <c r="K525" s="36"/>
      <c r="L525" s="26"/>
      <c r="M525" s="26"/>
      <c r="N525" s="26"/>
      <c r="O525" s="93"/>
      <c r="P525" s="95"/>
      <c r="Q525" s="196"/>
    </row>
    <row r="526" spans="3:17" x14ac:dyDescent="0.25">
      <c r="C526" s="198"/>
      <c r="D526" s="111"/>
      <c r="E526" s="33"/>
      <c r="F526" s="104"/>
      <c r="H526" s="115"/>
      <c r="I526" s="26"/>
      <c r="J526" s="98"/>
      <c r="K526" s="36"/>
      <c r="L526" s="26"/>
      <c r="M526" s="26"/>
      <c r="N526" s="26"/>
      <c r="O526" s="93"/>
      <c r="P526" s="95"/>
      <c r="Q526" s="196"/>
    </row>
    <row r="527" spans="3:17" x14ac:dyDescent="0.25">
      <c r="C527" s="198"/>
      <c r="D527" s="111"/>
      <c r="E527" s="33"/>
      <c r="F527" s="104"/>
      <c r="H527" s="115"/>
      <c r="I527" s="26"/>
      <c r="J527" s="98"/>
      <c r="K527" s="36"/>
      <c r="L527" s="26"/>
      <c r="M527" s="26"/>
      <c r="N527" s="26"/>
      <c r="O527" s="93"/>
      <c r="P527" s="95"/>
      <c r="Q527" s="196"/>
    </row>
    <row r="528" spans="3:17" x14ac:dyDescent="0.25">
      <c r="C528" s="198"/>
      <c r="D528" s="111"/>
      <c r="E528" s="33"/>
      <c r="F528" s="104"/>
      <c r="H528" s="115"/>
      <c r="I528" s="26"/>
      <c r="J528" s="98"/>
      <c r="K528" s="36"/>
      <c r="L528" s="26"/>
      <c r="M528" s="26"/>
      <c r="N528" s="26"/>
      <c r="O528" s="93"/>
      <c r="P528" s="95"/>
      <c r="Q528" s="196"/>
    </row>
    <row r="529" spans="3:17" x14ac:dyDescent="0.25">
      <c r="C529" s="198"/>
      <c r="D529" s="111"/>
      <c r="E529" s="33"/>
      <c r="F529" s="104"/>
      <c r="H529" s="115"/>
      <c r="I529" s="26"/>
      <c r="J529" s="98"/>
      <c r="K529" s="36"/>
      <c r="L529" s="26"/>
      <c r="M529" s="26"/>
      <c r="N529" s="26"/>
      <c r="O529" s="93"/>
      <c r="P529" s="95"/>
      <c r="Q529" s="196"/>
    </row>
    <row r="530" spans="3:17" x14ac:dyDescent="0.25">
      <c r="C530" s="198"/>
      <c r="D530" s="111"/>
      <c r="E530" s="33"/>
      <c r="F530" s="104"/>
      <c r="H530" s="115"/>
      <c r="I530" s="26"/>
      <c r="J530" s="98"/>
      <c r="K530" s="36"/>
      <c r="L530" s="26"/>
      <c r="M530" s="26"/>
      <c r="N530" s="26"/>
      <c r="O530" s="93"/>
      <c r="P530" s="95"/>
      <c r="Q530" s="196"/>
    </row>
    <row r="531" spans="3:17" x14ac:dyDescent="0.25">
      <c r="C531" s="198"/>
      <c r="D531" s="111"/>
      <c r="E531" s="33"/>
      <c r="F531" s="104"/>
      <c r="H531" s="115"/>
      <c r="I531" s="26"/>
      <c r="J531" s="98"/>
      <c r="K531" s="36"/>
      <c r="L531" s="26"/>
      <c r="M531" s="26"/>
      <c r="N531" s="26"/>
      <c r="O531" s="93"/>
      <c r="P531" s="95"/>
      <c r="Q531" s="196"/>
    </row>
    <row r="532" spans="3:17" x14ac:dyDescent="0.25">
      <c r="C532" s="198"/>
      <c r="D532" s="111"/>
      <c r="E532" s="33"/>
      <c r="F532" s="104"/>
      <c r="H532" s="115"/>
      <c r="I532" s="26"/>
      <c r="J532" s="98"/>
      <c r="K532" s="36"/>
      <c r="L532" s="26"/>
      <c r="M532" s="26"/>
      <c r="N532" s="26"/>
      <c r="O532" s="93"/>
      <c r="P532" s="95"/>
      <c r="Q532" s="196"/>
    </row>
    <row r="533" spans="3:17" x14ac:dyDescent="0.25">
      <c r="C533" s="198"/>
      <c r="D533" s="111"/>
      <c r="E533" s="33"/>
      <c r="F533" s="104"/>
      <c r="H533" s="115"/>
      <c r="I533" s="26"/>
      <c r="J533" s="98"/>
      <c r="K533" s="36"/>
      <c r="L533" s="26"/>
      <c r="M533" s="26"/>
      <c r="N533" s="26"/>
      <c r="O533" s="93"/>
      <c r="P533" s="95"/>
      <c r="Q533" s="196"/>
    </row>
    <row r="534" spans="3:17" x14ac:dyDescent="0.25">
      <c r="C534" s="198"/>
      <c r="D534" s="111"/>
      <c r="E534" s="33"/>
      <c r="F534" s="104"/>
      <c r="H534" s="115"/>
      <c r="I534" s="26"/>
      <c r="J534" s="98"/>
      <c r="K534" s="36"/>
      <c r="L534" s="26"/>
      <c r="M534" s="26"/>
      <c r="N534" s="26"/>
      <c r="O534" s="93"/>
      <c r="P534" s="95"/>
      <c r="Q534" s="196"/>
    </row>
    <row r="535" spans="3:17" x14ac:dyDescent="0.25">
      <c r="C535" s="198"/>
      <c r="D535" s="111"/>
      <c r="E535" s="33"/>
      <c r="F535" s="104"/>
      <c r="H535" s="115"/>
      <c r="I535" s="26"/>
      <c r="J535" s="98"/>
      <c r="K535" s="36"/>
      <c r="L535" s="26"/>
      <c r="M535" s="26"/>
      <c r="N535" s="26"/>
      <c r="O535" s="93"/>
      <c r="P535" s="95"/>
      <c r="Q535" s="196"/>
    </row>
    <row r="536" spans="3:17" x14ac:dyDescent="0.25">
      <c r="C536" s="198"/>
      <c r="D536" s="111"/>
      <c r="E536" s="33"/>
      <c r="F536" s="104"/>
      <c r="H536" s="115"/>
      <c r="I536" s="26"/>
      <c r="J536" s="98"/>
      <c r="K536" s="36"/>
      <c r="L536" s="26"/>
      <c r="M536" s="26"/>
      <c r="N536" s="26"/>
      <c r="O536" s="93"/>
      <c r="P536" s="95"/>
      <c r="Q536" s="196"/>
    </row>
    <row r="537" spans="3:17" x14ac:dyDescent="0.25">
      <c r="C537" s="198"/>
      <c r="D537" s="111"/>
      <c r="E537" s="33"/>
      <c r="F537" s="104"/>
      <c r="H537" s="115"/>
      <c r="I537" s="26"/>
      <c r="J537" s="98"/>
      <c r="K537" s="36"/>
      <c r="L537" s="26"/>
      <c r="M537" s="26"/>
      <c r="N537" s="26"/>
      <c r="O537" s="93"/>
      <c r="P537" s="95"/>
      <c r="Q537" s="196"/>
    </row>
    <row r="538" spans="3:17" x14ac:dyDescent="0.25">
      <c r="C538" s="198"/>
      <c r="D538" s="111"/>
      <c r="E538" s="33"/>
      <c r="F538" s="104"/>
      <c r="H538" s="115"/>
      <c r="I538" s="26"/>
      <c r="J538" s="98"/>
      <c r="K538" s="36"/>
      <c r="L538" s="26"/>
      <c r="M538" s="26"/>
      <c r="N538" s="26"/>
      <c r="O538" s="93"/>
      <c r="P538" s="95"/>
      <c r="Q538" s="196"/>
    </row>
    <row r="539" spans="3:17" x14ac:dyDescent="0.25">
      <c r="C539" s="198"/>
      <c r="D539" s="111"/>
      <c r="E539" s="33"/>
      <c r="F539" s="104"/>
      <c r="H539" s="115"/>
      <c r="I539" s="26"/>
      <c r="J539" s="98"/>
      <c r="K539" s="36"/>
      <c r="L539" s="26"/>
      <c r="M539" s="26"/>
      <c r="N539" s="26"/>
      <c r="O539" s="93"/>
      <c r="P539" s="95"/>
      <c r="Q539" s="196"/>
    </row>
    <row r="540" spans="3:17" x14ac:dyDescent="0.25">
      <c r="C540" s="198"/>
      <c r="D540" s="111"/>
      <c r="E540" s="33"/>
      <c r="F540" s="104"/>
      <c r="H540" s="115"/>
      <c r="I540" s="26"/>
      <c r="J540" s="98"/>
      <c r="K540" s="36"/>
      <c r="L540" s="26"/>
      <c r="M540" s="26"/>
      <c r="N540" s="26"/>
      <c r="O540" s="93"/>
      <c r="P540" s="95"/>
      <c r="Q540" s="196"/>
    </row>
    <row r="541" spans="3:17" x14ac:dyDescent="0.25">
      <c r="C541" s="198"/>
      <c r="D541" s="111"/>
      <c r="E541" s="33"/>
      <c r="F541" s="104"/>
      <c r="H541" s="115"/>
      <c r="I541" s="26"/>
      <c r="J541" s="98"/>
      <c r="K541" s="36"/>
      <c r="L541" s="26"/>
      <c r="M541" s="26"/>
      <c r="N541" s="26"/>
      <c r="O541" s="93"/>
      <c r="P541" s="95"/>
      <c r="Q541" s="196"/>
    </row>
    <row r="542" spans="3:17" x14ac:dyDescent="0.25">
      <c r="C542" s="198"/>
      <c r="D542" s="111"/>
      <c r="E542" s="33"/>
      <c r="F542" s="104"/>
      <c r="H542" s="115"/>
      <c r="I542" s="26"/>
      <c r="J542" s="98"/>
      <c r="K542" s="36"/>
      <c r="L542" s="26"/>
      <c r="M542" s="26"/>
      <c r="N542" s="26"/>
      <c r="O542" s="93"/>
      <c r="P542" s="95"/>
      <c r="Q542" s="196"/>
    </row>
    <row r="543" spans="3:17" x14ac:dyDescent="0.25">
      <c r="C543" s="198"/>
      <c r="D543" s="111"/>
      <c r="E543" s="33"/>
      <c r="F543" s="104"/>
      <c r="H543" s="115"/>
      <c r="I543" s="26"/>
      <c r="J543" s="98"/>
      <c r="K543" s="36"/>
      <c r="L543" s="26"/>
      <c r="M543" s="26"/>
      <c r="N543" s="26"/>
      <c r="O543" s="93"/>
      <c r="P543" s="95"/>
      <c r="Q543" s="196"/>
    </row>
    <row r="544" spans="3:17" x14ac:dyDescent="0.25">
      <c r="C544" s="198"/>
      <c r="D544" s="111"/>
      <c r="E544" s="33"/>
      <c r="F544" s="104"/>
      <c r="H544" s="115"/>
      <c r="I544" s="26"/>
      <c r="J544" s="98"/>
      <c r="K544" s="36"/>
      <c r="L544" s="26"/>
      <c r="M544" s="26"/>
      <c r="N544" s="26"/>
      <c r="O544" s="93"/>
      <c r="P544" s="95"/>
      <c r="Q544" s="196"/>
    </row>
    <row r="545" spans="3:17" x14ac:dyDescent="0.25">
      <c r="C545" s="198"/>
      <c r="D545" s="111"/>
      <c r="E545" s="33"/>
      <c r="F545" s="104"/>
      <c r="H545" s="115"/>
      <c r="I545" s="26"/>
      <c r="J545" s="98"/>
      <c r="K545" s="36"/>
      <c r="L545" s="26"/>
      <c r="M545" s="26"/>
      <c r="N545" s="26"/>
      <c r="O545" s="93"/>
      <c r="P545" s="95"/>
      <c r="Q545" s="196"/>
    </row>
    <row r="546" spans="3:17" x14ac:dyDescent="0.25">
      <c r="C546" s="198"/>
      <c r="D546" s="111"/>
      <c r="E546" s="33"/>
      <c r="F546" s="104"/>
      <c r="H546" s="115"/>
      <c r="I546" s="26"/>
      <c r="J546" s="98"/>
      <c r="K546" s="36"/>
      <c r="L546" s="26"/>
      <c r="M546" s="26"/>
      <c r="N546" s="26"/>
      <c r="O546" s="93"/>
      <c r="P546" s="95"/>
      <c r="Q546" s="196"/>
    </row>
    <row r="547" spans="3:17" x14ac:dyDescent="0.25">
      <c r="C547" s="198"/>
      <c r="D547" s="111"/>
      <c r="E547" s="33"/>
      <c r="F547" s="104"/>
      <c r="H547" s="115"/>
      <c r="I547" s="26"/>
      <c r="J547" s="98"/>
      <c r="K547" s="36"/>
      <c r="L547" s="26"/>
      <c r="M547" s="26"/>
      <c r="N547" s="26"/>
      <c r="O547" s="93"/>
      <c r="P547" s="95"/>
      <c r="Q547" s="196"/>
    </row>
    <row r="548" spans="3:17" x14ac:dyDescent="0.25">
      <c r="C548" s="198"/>
      <c r="D548" s="111"/>
      <c r="E548" s="33"/>
      <c r="F548" s="104"/>
      <c r="H548" s="115"/>
      <c r="I548" s="26"/>
      <c r="J548" s="98"/>
      <c r="K548" s="36"/>
      <c r="L548" s="26"/>
      <c r="M548" s="26"/>
      <c r="N548" s="26"/>
      <c r="O548" s="93"/>
      <c r="P548" s="95"/>
      <c r="Q548" s="196"/>
    </row>
    <row r="549" spans="3:17" x14ac:dyDescent="0.25">
      <c r="C549" s="198"/>
      <c r="D549" s="111"/>
      <c r="E549" s="33"/>
      <c r="F549" s="104"/>
      <c r="H549" s="115"/>
      <c r="I549" s="26"/>
      <c r="J549" s="98"/>
      <c r="K549" s="36"/>
      <c r="L549" s="26"/>
      <c r="M549" s="26"/>
      <c r="N549" s="26"/>
      <c r="O549" s="93"/>
      <c r="P549" s="95"/>
      <c r="Q549" s="196"/>
    </row>
    <row r="550" spans="3:17" x14ac:dyDescent="0.25">
      <c r="C550" s="198"/>
      <c r="D550" s="111"/>
      <c r="E550" s="33"/>
      <c r="F550" s="104"/>
      <c r="H550" s="115"/>
      <c r="I550" s="26"/>
      <c r="J550" s="98"/>
      <c r="K550" s="36"/>
      <c r="L550" s="26"/>
      <c r="M550" s="26"/>
      <c r="N550" s="26"/>
      <c r="O550" s="93"/>
      <c r="P550" s="95"/>
      <c r="Q550" s="196"/>
    </row>
    <row r="551" spans="3:17" x14ac:dyDescent="0.25">
      <c r="C551" s="198"/>
      <c r="D551" s="111"/>
      <c r="E551" s="33"/>
      <c r="F551" s="104"/>
      <c r="H551" s="115"/>
      <c r="I551" s="26"/>
      <c r="J551" s="98"/>
      <c r="K551" s="36"/>
      <c r="L551" s="26"/>
      <c r="M551" s="26"/>
      <c r="N551" s="26"/>
      <c r="O551" s="93"/>
      <c r="P551" s="95"/>
      <c r="Q551" s="196"/>
    </row>
    <row r="552" spans="3:17" x14ac:dyDescent="0.25">
      <c r="C552" s="198"/>
      <c r="D552" s="111"/>
      <c r="E552" s="33"/>
      <c r="F552" s="104"/>
      <c r="H552" s="115"/>
      <c r="I552" s="26"/>
      <c r="J552" s="98"/>
      <c r="K552" s="36"/>
      <c r="L552" s="26"/>
      <c r="M552" s="26"/>
      <c r="N552" s="26"/>
      <c r="O552" s="93"/>
      <c r="P552" s="95"/>
      <c r="Q552" s="196"/>
    </row>
    <row r="553" spans="3:17" x14ac:dyDescent="0.25">
      <c r="C553" s="198"/>
      <c r="D553" s="111"/>
      <c r="E553" s="33"/>
      <c r="F553" s="104"/>
      <c r="H553" s="115"/>
      <c r="I553" s="26"/>
      <c r="J553" s="98"/>
      <c r="K553" s="36"/>
      <c r="L553" s="26"/>
      <c r="M553" s="26"/>
      <c r="N553" s="26"/>
      <c r="O553" s="93"/>
      <c r="P553" s="95"/>
      <c r="Q553" s="196"/>
    </row>
    <row r="554" spans="3:17" x14ac:dyDescent="0.25">
      <c r="C554" s="198"/>
      <c r="D554" s="111"/>
      <c r="E554" s="33"/>
      <c r="F554" s="104"/>
      <c r="H554" s="115"/>
      <c r="I554" s="26"/>
      <c r="J554" s="98"/>
      <c r="K554" s="36"/>
      <c r="L554" s="26"/>
      <c r="M554" s="26"/>
      <c r="N554" s="26"/>
      <c r="O554" s="93"/>
      <c r="P554" s="95"/>
      <c r="Q554" s="196"/>
    </row>
    <row r="555" spans="3:17" x14ac:dyDescent="0.25">
      <c r="C555" s="198"/>
      <c r="D555" s="111"/>
      <c r="E555" s="33"/>
      <c r="F555" s="104"/>
      <c r="H555" s="115"/>
      <c r="I555" s="26"/>
      <c r="J555" s="98"/>
      <c r="K555" s="36"/>
      <c r="L555" s="26"/>
      <c r="M555" s="26"/>
      <c r="N555" s="26"/>
      <c r="O555" s="93"/>
      <c r="P555" s="95"/>
      <c r="Q555" s="196"/>
    </row>
    <row r="556" spans="3:17" x14ac:dyDescent="0.25">
      <c r="C556" s="198"/>
      <c r="D556" s="111"/>
      <c r="E556" s="33"/>
      <c r="F556" s="104"/>
      <c r="H556" s="115"/>
      <c r="I556" s="26"/>
      <c r="J556" s="98"/>
      <c r="K556" s="36"/>
      <c r="L556" s="26"/>
      <c r="M556" s="26"/>
      <c r="N556" s="26"/>
      <c r="O556" s="93"/>
      <c r="P556" s="95"/>
      <c r="Q556" s="196"/>
    </row>
    <row r="557" spans="3:17" x14ac:dyDescent="0.25">
      <c r="C557" s="198"/>
      <c r="D557" s="111"/>
      <c r="E557" s="33"/>
      <c r="F557" s="104"/>
      <c r="H557" s="115"/>
      <c r="I557" s="26"/>
      <c r="J557" s="98"/>
      <c r="K557" s="36"/>
      <c r="L557" s="26"/>
      <c r="M557" s="26"/>
      <c r="N557" s="26"/>
      <c r="O557" s="93"/>
      <c r="P557" s="95"/>
      <c r="Q557" s="196"/>
    </row>
    <row r="558" spans="3:17" x14ac:dyDescent="0.25">
      <c r="C558" s="198"/>
      <c r="D558" s="111"/>
      <c r="E558" s="33"/>
      <c r="F558" s="104"/>
      <c r="H558" s="115"/>
      <c r="I558" s="26"/>
      <c r="J558" s="98"/>
      <c r="K558" s="36"/>
      <c r="L558" s="26"/>
      <c r="M558" s="26"/>
      <c r="N558" s="26"/>
      <c r="O558" s="93"/>
      <c r="P558" s="95"/>
      <c r="Q558" s="196"/>
    </row>
    <row r="559" spans="3:17" x14ac:dyDescent="0.25">
      <c r="C559" s="198"/>
      <c r="D559" s="111"/>
      <c r="E559" s="33"/>
      <c r="F559" s="104"/>
      <c r="H559" s="115"/>
      <c r="I559" s="26"/>
      <c r="J559" s="98"/>
      <c r="K559" s="36"/>
      <c r="L559" s="26"/>
      <c r="M559" s="26"/>
      <c r="N559" s="26"/>
      <c r="O559" s="93"/>
      <c r="P559" s="95"/>
      <c r="Q559" s="196"/>
    </row>
    <row r="560" spans="3:17" x14ac:dyDescent="0.25">
      <c r="C560" s="198"/>
      <c r="D560" s="111"/>
      <c r="E560" s="33"/>
      <c r="F560" s="104"/>
      <c r="H560" s="115"/>
      <c r="I560" s="26"/>
      <c r="J560" s="98"/>
      <c r="K560" s="36"/>
      <c r="L560" s="26"/>
      <c r="M560" s="26"/>
      <c r="N560" s="26"/>
      <c r="O560" s="93"/>
      <c r="P560" s="95"/>
      <c r="Q560" s="196"/>
    </row>
    <row r="561" spans="3:17" x14ac:dyDescent="0.25">
      <c r="C561" s="198"/>
      <c r="D561" s="111"/>
      <c r="E561" s="33"/>
      <c r="F561" s="104"/>
      <c r="H561" s="115"/>
      <c r="I561" s="26"/>
      <c r="J561" s="98"/>
      <c r="K561" s="36"/>
      <c r="L561" s="26"/>
      <c r="M561" s="26"/>
      <c r="N561" s="26"/>
      <c r="O561" s="93"/>
      <c r="P561" s="95"/>
      <c r="Q561" s="196"/>
    </row>
    <row r="562" spans="3:17" x14ac:dyDescent="0.25">
      <c r="C562" s="198"/>
      <c r="D562" s="111"/>
      <c r="E562" s="33"/>
      <c r="F562" s="104"/>
      <c r="H562" s="115"/>
      <c r="I562" s="26"/>
      <c r="J562" s="98"/>
      <c r="K562" s="36"/>
      <c r="L562" s="26"/>
      <c r="M562" s="26"/>
      <c r="N562" s="26"/>
      <c r="O562" s="93"/>
      <c r="P562" s="95"/>
      <c r="Q562" s="196"/>
    </row>
    <row r="563" spans="3:17" x14ac:dyDescent="0.25">
      <c r="C563" s="198"/>
      <c r="D563" s="111"/>
      <c r="E563" s="33"/>
      <c r="F563" s="104"/>
      <c r="H563" s="115"/>
      <c r="I563" s="26"/>
      <c r="J563" s="98"/>
      <c r="K563" s="36"/>
      <c r="L563" s="26"/>
      <c r="M563" s="26"/>
      <c r="N563" s="26"/>
      <c r="O563" s="93"/>
      <c r="P563" s="95"/>
      <c r="Q563" s="196"/>
    </row>
    <row r="564" spans="3:17" x14ac:dyDescent="0.25">
      <c r="C564" s="198"/>
      <c r="D564" s="111"/>
      <c r="E564" s="33"/>
      <c r="F564" s="104"/>
      <c r="H564" s="115"/>
      <c r="I564" s="26"/>
      <c r="J564" s="98"/>
      <c r="K564" s="36"/>
      <c r="L564" s="26"/>
      <c r="M564" s="26"/>
      <c r="N564" s="26"/>
      <c r="O564" s="93"/>
      <c r="P564" s="95"/>
      <c r="Q564" s="196"/>
    </row>
    <row r="565" spans="3:17" x14ac:dyDescent="0.25">
      <c r="C565" s="198"/>
      <c r="D565" s="111"/>
      <c r="E565" s="33"/>
      <c r="F565" s="104"/>
      <c r="H565" s="115"/>
      <c r="I565" s="26"/>
      <c r="J565" s="98"/>
      <c r="K565" s="36"/>
      <c r="L565" s="26"/>
      <c r="M565" s="26"/>
      <c r="N565" s="26"/>
      <c r="O565" s="93"/>
      <c r="P565" s="95"/>
      <c r="Q565" s="196"/>
    </row>
    <row r="566" spans="3:17" x14ac:dyDescent="0.25">
      <c r="C566" s="198"/>
      <c r="D566" s="111"/>
      <c r="E566" s="33"/>
      <c r="F566" s="104"/>
      <c r="H566" s="115"/>
      <c r="I566" s="26"/>
      <c r="J566" s="98"/>
      <c r="K566" s="36"/>
      <c r="L566" s="26"/>
      <c r="M566" s="26"/>
      <c r="N566" s="26"/>
      <c r="O566" s="93"/>
      <c r="P566" s="95"/>
      <c r="Q566" s="196"/>
    </row>
    <row r="567" spans="3:17" x14ac:dyDescent="0.25">
      <c r="C567" s="198"/>
      <c r="D567" s="111"/>
      <c r="E567" s="33"/>
      <c r="F567" s="104"/>
      <c r="H567" s="115"/>
      <c r="I567" s="26"/>
      <c r="J567" s="98"/>
      <c r="K567" s="36"/>
      <c r="L567" s="26"/>
      <c r="M567" s="26"/>
      <c r="N567" s="26"/>
      <c r="O567" s="93"/>
      <c r="P567" s="95"/>
      <c r="Q567" s="196"/>
    </row>
    <row r="568" spans="3:17" x14ac:dyDescent="0.25">
      <c r="C568" s="198"/>
      <c r="D568" s="111"/>
      <c r="E568" s="33"/>
      <c r="F568" s="104"/>
      <c r="H568" s="115"/>
      <c r="I568" s="26"/>
      <c r="J568" s="98"/>
      <c r="K568" s="36"/>
      <c r="L568" s="26"/>
      <c r="M568" s="26"/>
      <c r="N568" s="26"/>
      <c r="O568" s="93"/>
      <c r="P568" s="95"/>
      <c r="Q568" s="196"/>
    </row>
    <row r="569" spans="3:17" x14ac:dyDescent="0.25">
      <c r="C569" s="198"/>
      <c r="D569" s="111"/>
      <c r="E569" s="33"/>
      <c r="F569" s="104"/>
      <c r="H569" s="115"/>
      <c r="I569" s="26"/>
      <c r="J569" s="98"/>
      <c r="K569" s="36"/>
      <c r="L569" s="26"/>
      <c r="M569" s="26"/>
      <c r="N569" s="26"/>
      <c r="O569" s="93"/>
      <c r="P569" s="95"/>
      <c r="Q569" s="196"/>
    </row>
    <row r="570" spans="3:17" x14ac:dyDescent="0.25">
      <c r="C570" s="198"/>
      <c r="D570" s="111"/>
      <c r="E570" s="33"/>
      <c r="F570" s="104"/>
      <c r="H570" s="115"/>
      <c r="I570" s="26"/>
      <c r="J570" s="98"/>
      <c r="K570" s="36"/>
      <c r="L570" s="26"/>
      <c r="M570" s="26"/>
      <c r="N570" s="26"/>
      <c r="O570" s="93"/>
      <c r="P570" s="95"/>
      <c r="Q570" s="196"/>
    </row>
    <row r="571" spans="3:17" x14ac:dyDescent="0.25">
      <c r="C571" s="198"/>
      <c r="D571" s="111"/>
      <c r="E571" s="33"/>
      <c r="F571" s="104"/>
      <c r="H571" s="115"/>
      <c r="I571" s="26"/>
      <c r="J571" s="98"/>
      <c r="K571" s="36"/>
      <c r="L571" s="26"/>
      <c r="M571" s="26"/>
      <c r="N571" s="26"/>
      <c r="O571" s="93"/>
      <c r="P571" s="95"/>
      <c r="Q571" s="196"/>
    </row>
    <row r="572" spans="3:17" x14ac:dyDescent="0.25">
      <c r="C572" s="198"/>
      <c r="D572" s="111"/>
      <c r="E572" s="33"/>
      <c r="F572" s="104"/>
      <c r="H572" s="115"/>
      <c r="I572" s="26"/>
      <c r="J572" s="98"/>
      <c r="K572" s="36"/>
      <c r="L572" s="26"/>
      <c r="M572" s="26"/>
      <c r="N572" s="26"/>
      <c r="O572" s="93"/>
      <c r="P572" s="95"/>
      <c r="Q572" s="196"/>
    </row>
    <row r="573" spans="3:17" x14ac:dyDescent="0.25">
      <c r="C573" s="198"/>
      <c r="D573" s="111"/>
      <c r="E573" s="33"/>
      <c r="F573" s="104"/>
      <c r="H573" s="115"/>
      <c r="I573" s="26"/>
      <c r="J573" s="98"/>
      <c r="K573" s="36"/>
      <c r="L573" s="26"/>
      <c r="M573" s="26"/>
      <c r="N573" s="26"/>
      <c r="O573" s="93"/>
      <c r="P573" s="95"/>
      <c r="Q573" s="196"/>
    </row>
    <row r="574" spans="3:17" x14ac:dyDescent="0.25">
      <c r="C574" s="198"/>
      <c r="D574" s="111"/>
      <c r="E574" s="33"/>
      <c r="F574" s="104"/>
      <c r="H574" s="115"/>
      <c r="I574" s="26"/>
      <c r="J574" s="98"/>
      <c r="K574" s="36"/>
      <c r="L574" s="26"/>
      <c r="M574" s="26"/>
      <c r="N574" s="26"/>
      <c r="O574" s="93"/>
      <c r="P574" s="95"/>
      <c r="Q574" s="196"/>
    </row>
    <row r="575" spans="3:17" x14ac:dyDescent="0.25">
      <c r="C575" s="198"/>
      <c r="D575" s="111"/>
      <c r="E575" s="33"/>
      <c r="F575" s="104"/>
      <c r="H575" s="115"/>
      <c r="I575" s="26"/>
      <c r="J575" s="98"/>
      <c r="K575" s="36"/>
      <c r="L575" s="26"/>
      <c r="M575" s="26"/>
      <c r="N575" s="26"/>
      <c r="O575" s="93"/>
      <c r="P575" s="95"/>
      <c r="Q575" s="196"/>
    </row>
    <row r="576" spans="3:17" x14ac:dyDescent="0.25">
      <c r="C576" s="198"/>
      <c r="D576" s="111"/>
      <c r="E576" s="33"/>
      <c r="F576" s="104"/>
      <c r="H576" s="115"/>
      <c r="I576" s="26"/>
      <c r="J576" s="98"/>
      <c r="K576" s="36"/>
      <c r="L576" s="26"/>
      <c r="M576" s="26"/>
      <c r="N576" s="26"/>
      <c r="O576" s="93"/>
      <c r="P576" s="95"/>
      <c r="Q576" s="196"/>
    </row>
    <row r="577" spans="3:17" x14ac:dyDescent="0.25">
      <c r="C577" s="198"/>
      <c r="D577" s="111"/>
      <c r="E577" s="33"/>
      <c r="F577" s="104"/>
      <c r="H577" s="115"/>
      <c r="I577" s="26"/>
      <c r="J577" s="98"/>
      <c r="K577" s="36"/>
      <c r="L577" s="26"/>
      <c r="M577" s="26"/>
      <c r="N577" s="26"/>
      <c r="O577" s="93"/>
      <c r="P577" s="95"/>
      <c r="Q577" s="196"/>
    </row>
    <row r="578" spans="3:17" x14ac:dyDescent="0.25">
      <c r="C578" s="198"/>
      <c r="D578" s="111"/>
      <c r="E578" s="33"/>
      <c r="F578" s="104"/>
      <c r="H578" s="115"/>
      <c r="I578" s="26"/>
      <c r="J578" s="98"/>
      <c r="K578" s="36"/>
      <c r="L578" s="26"/>
      <c r="M578" s="26"/>
      <c r="N578" s="26"/>
      <c r="O578" s="93"/>
      <c r="P578" s="95"/>
      <c r="Q578" s="196"/>
    </row>
    <row r="579" spans="3:17" x14ac:dyDescent="0.25">
      <c r="C579" s="198"/>
      <c r="D579" s="111"/>
      <c r="E579" s="33"/>
      <c r="F579" s="104"/>
      <c r="H579" s="115"/>
      <c r="I579" s="26"/>
      <c r="J579" s="98"/>
      <c r="K579" s="36"/>
      <c r="L579" s="26"/>
      <c r="M579" s="26"/>
      <c r="N579" s="26"/>
      <c r="O579" s="93"/>
      <c r="P579" s="95"/>
      <c r="Q579" s="196"/>
    </row>
    <row r="580" spans="3:17" x14ac:dyDescent="0.25">
      <c r="C580" s="198"/>
      <c r="D580" s="111"/>
      <c r="E580" s="33"/>
      <c r="F580" s="104"/>
      <c r="H580" s="115"/>
      <c r="I580" s="26"/>
      <c r="J580" s="98"/>
      <c r="K580" s="36"/>
      <c r="L580" s="26"/>
      <c r="M580" s="26"/>
      <c r="N580" s="26"/>
      <c r="O580" s="93"/>
      <c r="P580" s="95"/>
      <c r="Q580" s="196"/>
    </row>
    <row r="581" spans="3:17" x14ac:dyDescent="0.25">
      <c r="C581" s="198"/>
      <c r="D581" s="111"/>
      <c r="E581" s="33"/>
      <c r="F581" s="104"/>
      <c r="H581" s="115"/>
      <c r="I581" s="26"/>
      <c r="J581" s="98"/>
      <c r="K581" s="36"/>
      <c r="L581" s="26"/>
      <c r="M581" s="26"/>
      <c r="N581" s="26"/>
      <c r="O581" s="93"/>
      <c r="P581" s="95"/>
      <c r="Q581" s="196"/>
    </row>
    <row r="582" spans="3:17" x14ac:dyDescent="0.25">
      <c r="C582" s="198"/>
      <c r="D582" s="111"/>
      <c r="E582" s="33"/>
      <c r="F582" s="104"/>
      <c r="H582" s="115"/>
      <c r="I582" s="26"/>
      <c r="J582" s="98"/>
      <c r="K582" s="36"/>
      <c r="L582" s="26"/>
      <c r="M582" s="26"/>
      <c r="N582" s="26"/>
      <c r="O582" s="93"/>
      <c r="P582" s="95"/>
      <c r="Q582" s="196"/>
    </row>
    <row r="583" spans="3:17" x14ac:dyDescent="0.25">
      <c r="C583" s="198"/>
      <c r="D583" s="111"/>
      <c r="E583" s="33"/>
      <c r="F583" s="104"/>
      <c r="H583" s="115"/>
      <c r="I583" s="26"/>
      <c r="J583" s="98"/>
      <c r="K583" s="36"/>
      <c r="L583" s="26"/>
      <c r="M583" s="26"/>
      <c r="N583" s="26"/>
      <c r="O583" s="93"/>
      <c r="P583" s="95"/>
      <c r="Q583" s="196"/>
    </row>
    <row r="584" spans="3:17" x14ac:dyDescent="0.25">
      <c r="C584" s="198"/>
      <c r="D584" s="111"/>
      <c r="E584" s="33"/>
      <c r="F584" s="104"/>
      <c r="H584" s="115"/>
      <c r="I584" s="26"/>
      <c r="J584" s="98"/>
      <c r="K584" s="36"/>
      <c r="L584" s="26"/>
      <c r="M584" s="26"/>
      <c r="N584" s="26"/>
      <c r="O584" s="93"/>
      <c r="P584" s="95"/>
      <c r="Q584" s="196"/>
    </row>
    <row r="585" spans="3:17" x14ac:dyDescent="0.25">
      <c r="C585" s="198"/>
      <c r="D585" s="111"/>
      <c r="E585" s="33"/>
      <c r="F585" s="104"/>
      <c r="H585" s="115"/>
      <c r="I585" s="26"/>
      <c r="J585" s="98"/>
      <c r="K585" s="36"/>
      <c r="L585" s="26"/>
      <c r="M585" s="26"/>
      <c r="N585" s="26"/>
      <c r="O585" s="93"/>
      <c r="P585" s="95"/>
      <c r="Q585" s="196"/>
    </row>
    <row r="586" spans="3:17" x14ac:dyDescent="0.25">
      <c r="C586" s="198"/>
      <c r="D586" s="111"/>
      <c r="E586" s="33"/>
      <c r="F586" s="104"/>
      <c r="H586" s="115"/>
      <c r="I586" s="26"/>
      <c r="J586" s="98"/>
      <c r="K586" s="36"/>
      <c r="L586" s="26"/>
      <c r="M586" s="26"/>
      <c r="N586" s="26"/>
      <c r="O586" s="93"/>
      <c r="P586" s="95"/>
      <c r="Q586" s="196"/>
    </row>
    <row r="587" spans="3:17" x14ac:dyDescent="0.25">
      <c r="C587" s="198"/>
      <c r="D587" s="111"/>
      <c r="E587" s="33"/>
      <c r="F587" s="104"/>
      <c r="H587" s="115"/>
      <c r="I587" s="26"/>
      <c r="J587" s="98"/>
      <c r="K587" s="36"/>
      <c r="L587" s="26"/>
      <c r="M587" s="26"/>
      <c r="N587" s="26"/>
      <c r="O587" s="93"/>
      <c r="P587" s="95"/>
      <c r="Q587" s="196"/>
    </row>
    <row r="588" spans="3:17" x14ac:dyDescent="0.25">
      <c r="C588" s="198"/>
      <c r="D588" s="111"/>
      <c r="E588" s="33"/>
      <c r="F588" s="104"/>
      <c r="H588" s="115"/>
      <c r="I588" s="26"/>
      <c r="J588" s="98"/>
      <c r="K588" s="36"/>
      <c r="L588" s="26"/>
      <c r="M588" s="26"/>
      <c r="N588" s="26"/>
      <c r="O588" s="93"/>
      <c r="P588" s="95"/>
      <c r="Q588" s="196"/>
    </row>
    <row r="589" spans="3:17" x14ac:dyDescent="0.25">
      <c r="C589" s="198"/>
      <c r="D589" s="111"/>
      <c r="E589" s="33"/>
      <c r="F589" s="104"/>
      <c r="H589" s="115"/>
      <c r="I589" s="26"/>
      <c r="J589" s="98"/>
      <c r="K589" s="36"/>
      <c r="L589" s="26"/>
      <c r="M589" s="26"/>
      <c r="N589" s="26"/>
      <c r="O589" s="93"/>
      <c r="P589" s="95"/>
      <c r="Q589" s="196"/>
    </row>
    <row r="590" spans="3:17" x14ac:dyDescent="0.25">
      <c r="C590" s="198"/>
      <c r="D590" s="111"/>
      <c r="E590" s="33"/>
      <c r="F590" s="104"/>
      <c r="H590" s="115"/>
      <c r="I590" s="26"/>
      <c r="J590" s="98"/>
      <c r="K590" s="36"/>
      <c r="L590" s="26"/>
      <c r="M590" s="26"/>
      <c r="N590" s="26"/>
      <c r="O590" s="93"/>
      <c r="P590" s="95"/>
      <c r="Q590" s="196"/>
    </row>
    <row r="591" spans="3:17" x14ac:dyDescent="0.25">
      <c r="C591" s="198"/>
      <c r="D591" s="111"/>
      <c r="E591" s="33"/>
      <c r="F591" s="104"/>
      <c r="H591" s="115"/>
      <c r="I591" s="26"/>
      <c r="J591" s="98"/>
      <c r="K591" s="36"/>
      <c r="L591" s="26"/>
      <c r="M591" s="26"/>
      <c r="N591" s="26"/>
      <c r="O591" s="93"/>
      <c r="P591" s="95"/>
      <c r="Q591" s="196"/>
    </row>
    <row r="592" spans="3:17" x14ac:dyDescent="0.25">
      <c r="C592" s="198"/>
      <c r="D592" s="111"/>
      <c r="E592" s="33"/>
      <c r="F592" s="104"/>
      <c r="H592" s="115"/>
      <c r="I592" s="26"/>
      <c r="J592" s="98"/>
      <c r="K592" s="36"/>
      <c r="L592" s="26"/>
      <c r="M592" s="26"/>
      <c r="N592" s="26"/>
      <c r="O592" s="93"/>
      <c r="P592" s="95"/>
      <c r="Q592" s="196"/>
    </row>
    <row r="593" spans="3:17" x14ac:dyDescent="0.25">
      <c r="C593" s="198"/>
      <c r="D593" s="111"/>
      <c r="E593" s="33"/>
      <c r="F593" s="104"/>
      <c r="H593" s="115"/>
      <c r="I593" s="26"/>
      <c r="J593" s="98"/>
      <c r="K593" s="36"/>
      <c r="L593" s="26"/>
      <c r="M593" s="26"/>
      <c r="N593" s="26"/>
      <c r="O593" s="93"/>
      <c r="P593" s="95"/>
      <c r="Q593" s="196"/>
    </row>
    <row r="594" spans="3:17" x14ac:dyDescent="0.25">
      <c r="C594" s="198"/>
      <c r="D594" s="111"/>
      <c r="E594" s="33"/>
      <c r="F594" s="104"/>
      <c r="H594" s="115"/>
      <c r="I594" s="26"/>
      <c r="J594" s="98"/>
      <c r="K594" s="36"/>
      <c r="L594" s="26"/>
      <c r="M594" s="26"/>
      <c r="N594" s="26"/>
      <c r="O594" s="93"/>
      <c r="P594" s="95"/>
      <c r="Q594" s="196"/>
    </row>
    <row r="595" spans="3:17" x14ac:dyDescent="0.25">
      <c r="C595" s="198"/>
      <c r="D595" s="111"/>
      <c r="E595" s="33"/>
      <c r="F595" s="104"/>
      <c r="H595" s="115"/>
      <c r="I595" s="26"/>
      <c r="J595" s="98"/>
      <c r="K595" s="36"/>
      <c r="L595" s="26"/>
      <c r="M595" s="26"/>
      <c r="N595" s="26"/>
      <c r="O595" s="93"/>
      <c r="P595" s="95"/>
      <c r="Q595" s="196"/>
    </row>
    <row r="596" spans="3:17" x14ac:dyDescent="0.25">
      <c r="C596" s="198"/>
      <c r="D596" s="111"/>
      <c r="E596" s="33"/>
      <c r="F596" s="104"/>
      <c r="H596" s="115"/>
      <c r="I596" s="26"/>
      <c r="J596" s="98"/>
      <c r="K596" s="36"/>
      <c r="L596" s="26"/>
      <c r="M596" s="26"/>
      <c r="N596" s="26"/>
      <c r="O596" s="93"/>
      <c r="P596" s="95"/>
      <c r="Q596" s="196"/>
    </row>
    <row r="597" spans="3:17" x14ac:dyDescent="0.25">
      <c r="C597" s="198"/>
      <c r="D597" s="111"/>
      <c r="E597" s="33"/>
      <c r="F597" s="104"/>
      <c r="H597" s="115"/>
      <c r="I597" s="26"/>
      <c r="J597" s="98"/>
      <c r="K597" s="36"/>
      <c r="L597" s="26"/>
      <c r="M597" s="26"/>
      <c r="N597" s="26"/>
      <c r="O597" s="93"/>
      <c r="P597" s="95"/>
      <c r="Q597" s="196"/>
    </row>
    <row r="598" spans="3:17" x14ac:dyDescent="0.25">
      <c r="C598" s="198"/>
      <c r="D598" s="111"/>
      <c r="E598" s="33"/>
      <c r="F598" s="104"/>
      <c r="H598" s="115"/>
      <c r="I598" s="26"/>
      <c r="J598" s="98"/>
      <c r="K598" s="36"/>
      <c r="L598" s="26"/>
      <c r="M598" s="26"/>
      <c r="N598" s="26"/>
      <c r="O598" s="93"/>
      <c r="P598" s="95"/>
      <c r="Q598" s="196"/>
    </row>
    <row r="599" spans="3:17" x14ac:dyDescent="0.25">
      <c r="C599" s="198"/>
      <c r="D599" s="111"/>
      <c r="E599" s="33"/>
      <c r="F599" s="104"/>
      <c r="H599" s="115"/>
      <c r="I599" s="26"/>
      <c r="J599" s="98"/>
      <c r="K599" s="36"/>
      <c r="L599" s="26"/>
      <c r="M599" s="26"/>
      <c r="N599" s="26"/>
      <c r="O599" s="93"/>
      <c r="P599" s="95"/>
      <c r="Q599" s="196"/>
    </row>
    <row r="600" spans="3:17" x14ac:dyDescent="0.25">
      <c r="C600" s="198"/>
      <c r="D600" s="111"/>
      <c r="E600" s="33"/>
      <c r="F600" s="104"/>
      <c r="H600" s="115"/>
      <c r="I600" s="26"/>
      <c r="J600" s="98"/>
      <c r="K600" s="36"/>
      <c r="L600" s="26"/>
      <c r="M600" s="26"/>
      <c r="N600" s="26"/>
      <c r="O600" s="93"/>
      <c r="P600" s="95"/>
      <c r="Q600" s="196"/>
    </row>
    <row r="601" spans="3:17" x14ac:dyDescent="0.25">
      <c r="C601" s="198"/>
      <c r="D601" s="111"/>
      <c r="E601" s="33"/>
      <c r="F601" s="104"/>
      <c r="H601" s="115"/>
      <c r="I601" s="26"/>
      <c r="J601" s="98"/>
      <c r="K601" s="36"/>
      <c r="L601" s="26"/>
      <c r="M601" s="26"/>
      <c r="N601" s="26"/>
      <c r="O601" s="93"/>
      <c r="P601" s="95"/>
      <c r="Q601" s="196"/>
    </row>
    <row r="602" spans="3:17" x14ac:dyDescent="0.25">
      <c r="C602" s="198"/>
      <c r="D602" s="111"/>
      <c r="E602" s="33"/>
      <c r="F602" s="104"/>
      <c r="H602" s="115"/>
      <c r="I602" s="26"/>
      <c r="J602" s="98"/>
      <c r="K602" s="36"/>
      <c r="L602" s="26"/>
      <c r="M602" s="26"/>
      <c r="N602" s="26"/>
      <c r="O602" s="93"/>
      <c r="P602" s="95"/>
      <c r="Q602" s="196"/>
    </row>
    <row r="603" spans="3:17" x14ac:dyDescent="0.25">
      <c r="C603" s="198"/>
      <c r="D603" s="111"/>
      <c r="E603" s="33"/>
      <c r="F603" s="104"/>
      <c r="H603" s="115"/>
      <c r="I603" s="26"/>
      <c r="J603" s="98"/>
      <c r="K603" s="36"/>
      <c r="L603" s="26"/>
      <c r="M603" s="26"/>
      <c r="N603" s="26"/>
      <c r="O603" s="93"/>
      <c r="P603" s="95"/>
      <c r="Q603" s="196"/>
    </row>
    <row r="604" spans="3:17" x14ac:dyDescent="0.25">
      <c r="C604" s="198"/>
      <c r="D604" s="111"/>
      <c r="E604" s="33"/>
      <c r="F604" s="104"/>
      <c r="H604" s="115"/>
      <c r="I604" s="26"/>
      <c r="J604" s="98"/>
      <c r="K604" s="36"/>
      <c r="L604" s="26"/>
      <c r="M604" s="26"/>
      <c r="N604" s="26"/>
      <c r="O604" s="93"/>
      <c r="P604" s="95"/>
      <c r="Q604" s="196"/>
    </row>
    <row r="605" spans="3:17" x14ac:dyDescent="0.25">
      <c r="C605" s="198"/>
      <c r="D605" s="111"/>
      <c r="E605" s="33"/>
      <c r="F605" s="104"/>
      <c r="H605" s="115"/>
      <c r="I605" s="26"/>
      <c r="J605" s="98"/>
      <c r="K605" s="36"/>
      <c r="L605" s="26"/>
      <c r="M605" s="26"/>
      <c r="N605" s="26"/>
      <c r="O605" s="93"/>
      <c r="P605" s="95"/>
      <c r="Q605" s="196"/>
    </row>
    <row r="606" spans="3:17" x14ac:dyDescent="0.25">
      <c r="C606" s="198"/>
      <c r="D606" s="111"/>
      <c r="E606" s="33"/>
      <c r="F606" s="104"/>
      <c r="H606" s="115"/>
      <c r="I606" s="26"/>
      <c r="J606" s="98"/>
      <c r="K606" s="36"/>
      <c r="L606" s="26"/>
      <c r="M606" s="26"/>
      <c r="N606" s="26"/>
      <c r="O606" s="93"/>
      <c r="P606" s="95"/>
      <c r="Q606" s="196"/>
    </row>
    <row r="607" spans="3:17" x14ac:dyDescent="0.25">
      <c r="C607" s="198"/>
      <c r="D607" s="111"/>
      <c r="E607" s="33"/>
      <c r="F607" s="104"/>
      <c r="H607" s="115"/>
      <c r="I607" s="26"/>
      <c r="J607" s="98"/>
      <c r="K607" s="36"/>
      <c r="L607" s="26"/>
      <c r="M607" s="26"/>
      <c r="N607" s="26"/>
      <c r="O607" s="93"/>
      <c r="P607" s="95"/>
      <c r="Q607" s="196"/>
    </row>
    <row r="608" spans="3:17" x14ac:dyDescent="0.25">
      <c r="C608" s="198"/>
      <c r="D608" s="111"/>
      <c r="E608" s="33"/>
      <c r="F608" s="104"/>
      <c r="H608" s="115"/>
      <c r="I608" s="26"/>
      <c r="J608" s="98"/>
      <c r="K608" s="36"/>
      <c r="L608" s="26"/>
      <c r="M608" s="26"/>
      <c r="N608" s="26"/>
      <c r="O608" s="93"/>
      <c r="P608" s="95"/>
      <c r="Q608" s="196"/>
    </row>
    <row r="609" spans="3:17" x14ac:dyDescent="0.25">
      <c r="C609" s="198"/>
      <c r="D609" s="111"/>
      <c r="E609" s="33"/>
      <c r="F609" s="104"/>
      <c r="H609" s="115"/>
      <c r="I609" s="26"/>
      <c r="J609" s="98"/>
      <c r="K609" s="36"/>
      <c r="L609" s="26"/>
      <c r="M609" s="26"/>
      <c r="N609" s="26"/>
      <c r="O609" s="93"/>
      <c r="P609" s="95"/>
      <c r="Q609" s="196"/>
    </row>
    <row r="610" spans="3:17" x14ac:dyDescent="0.25">
      <c r="C610" s="198"/>
      <c r="D610" s="111"/>
      <c r="E610" s="33"/>
      <c r="F610" s="104"/>
      <c r="H610" s="115"/>
      <c r="I610" s="26"/>
      <c r="J610" s="98"/>
      <c r="K610" s="36"/>
      <c r="L610" s="26"/>
      <c r="M610" s="26"/>
      <c r="N610" s="26"/>
      <c r="O610" s="93"/>
      <c r="P610" s="95"/>
      <c r="Q610" s="196"/>
    </row>
    <row r="611" spans="3:17" x14ac:dyDescent="0.25">
      <c r="C611" s="198"/>
      <c r="D611" s="111"/>
      <c r="E611" s="33"/>
      <c r="F611" s="104"/>
      <c r="H611" s="115"/>
      <c r="I611" s="26"/>
      <c r="J611" s="98"/>
      <c r="K611" s="36"/>
      <c r="L611" s="26"/>
      <c r="M611" s="26"/>
      <c r="N611" s="26"/>
      <c r="O611" s="93"/>
      <c r="P611" s="95"/>
      <c r="Q611" s="196"/>
    </row>
    <row r="612" spans="3:17" x14ac:dyDescent="0.25">
      <c r="C612" s="198"/>
      <c r="D612" s="111"/>
      <c r="E612" s="33"/>
      <c r="F612" s="104"/>
      <c r="H612" s="115"/>
      <c r="I612" s="26"/>
      <c r="J612" s="98"/>
      <c r="K612" s="36"/>
      <c r="L612" s="26"/>
      <c r="M612" s="26"/>
      <c r="N612" s="26"/>
      <c r="O612" s="93"/>
      <c r="P612" s="95"/>
      <c r="Q612" s="196"/>
    </row>
    <row r="613" spans="3:17" x14ac:dyDescent="0.25">
      <c r="C613" s="198"/>
      <c r="D613" s="111"/>
      <c r="E613" s="33"/>
      <c r="F613" s="104"/>
      <c r="H613" s="115"/>
      <c r="I613" s="26"/>
      <c r="J613" s="98"/>
      <c r="K613" s="36"/>
      <c r="L613" s="26"/>
      <c r="M613" s="26"/>
      <c r="N613" s="26"/>
      <c r="O613" s="93"/>
      <c r="P613" s="95"/>
      <c r="Q613" s="196"/>
    </row>
    <row r="614" spans="3:17" x14ac:dyDescent="0.25">
      <c r="C614" s="198"/>
      <c r="D614" s="111"/>
      <c r="E614" s="33"/>
      <c r="F614" s="104"/>
      <c r="H614" s="115"/>
      <c r="I614" s="26"/>
      <c r="J614" s="98"/>
      <c r="K614" s="36"/>
      <c r="L614" s="26"/>
      <c r="M614" s="26"/>
      <c r="N614" s="26"/>
      <c r="O614" s="93"/>
      <c r="P614" s="95"/>
      <c r="Q614" s="196"/>
    </row>
    <row r="615" spans="3:17" x14ac:dyDescent="0.25">
      <c r="C615" s="198"/>
      <c r="D615" s="111"/>
      <c r="E615" s="33"/>
      <c r="F615" s="104"/>
      <c r="H615" s="115"/>
      <c r="I615" s="26"/>
      <c r="J615" s="98"/>
      <c r="K615" s="36"/>
      <c r="L615" s="26"/>
      <c r="M615" s="26"/>
      <c r="N615" s="26"/>
      <c r="O615" s="93"/>
      <c r="P615" s="95"/>
      <c r="Q615" s="196"/>
    </row>
    <row r="616" spans="3:17" x14ac:dyDescent="0.25">
      <c r="C616" s="198"/>
      <c r="D616" s="111"/>
      <c r="E616" s="33"/>
      <c r="F616" s="104"/>
      <c r="H616" s="115"/>
      <c r="I616" s="26"/>
      <c r="J616" s="98"/>
      <c r="K616" s="36"/>
      <c r="L616" s="26"/>
      <c r="M616" s="26"/>
      <c r="N616" s="26"/>
      <c r="O616" s="93"/>
      <c r="P616" s="95"/>
      <c r="Q616" s="196"/>
    </row>
    <row r="617" spans="3:17" x14ac:dyDescent="0.25">
      <c r="C617" s="198"/>
      <c r="D617" s="111"/>
      <c r="E617" s="33"/>
      <c r="F617" s="104"/>
      <c r="H617" s="115"/>
      <c r="I617" s="26"/>
      <c r="J617" s="98"/>
      <c r="K617" s="36"/>
      <c r="L617" s="26"/>
      <c r="M617" s="26"/>
      <c r="N617" s="26"/>
      <c r="O617" s="93"/>
      <c r="P617" s="95"/>
      <c r="Q617" s="196"/>
    </row>
    <row r="618" spans="3:17" x14ac:dyDescent="0.25">
      <c r="C618" s="198"/>
      <c r="D618" s="111"/>
      <c r="E618" s="33"/>
      <c r="F618" s="104"/>
      <c r="H618" s="115"/>
      <c r="I618" s="26"/>
      <c r="J618" s="98"/>
      <c r="K618" s="36"/>
      <c r="L618" s="26"/>
      <c r="M618" s="26"/>
      <c r="N618" s="26"/>
      <c r="O618" s="93"/>
      <c r="P618" s="95"/>
      <c r="Q618" s="196"/>
    </row>
    <row r="619" spans="3:17" x14ac:dyDescent="0.25">
      <c r="C619" s="198"/>
      <c r="D619" s="111"/>
      <c r="E619" s="33"/>
      <c r="F619" s="104"/>
      <c r="H619" s="115"/>
      <c r="I619" s="26"/>
      <c r="J619" s="98"/>
      <c r="K619" s="36"/>
      <c r="L619" s="26"/>
      <c r="M619" s="26"/>
      <c r="N619" s="26"/>
      <c r="O619" s="93"/>
      <c r="P619" s="95"/>
      <c r="Q619" s="196"/>
    </row>
    <row r="620" spans="3:17" x14ac:dyDescent="0.25">
      <c r="C620" s="198"/>
      <c r="D620" s="111"/>
      <c r="E620" s="33"/>
      <c r="F620" s="104"/>
      <c r="H620" s="115"/>
      <c r="I620" s="26"/>
      <c r="J620" s="98"/>
      <c r="K620" s="36"/>
      <c r="L620" s="26"/>
      <c r="M620" s="26"/>
      <c r="N620" s="26"/>
      <c r="O620" s="93"/>
      <c r="P620" s="95"/>
      <c r="Q620" s="196"/>
    </row>
    <row r="621" spans="3:17" x14ac:dyDescent="0.25">
      <c r="C621" s="198"/>
      <c r="D621" s="111"/>
      <c r="E621" s="33"/>
      <c r="F621" s="104"/>
      <c r="H621" s="115"/>
      <c r="I621" s="26"/>
      <c r="J621" s="98"/>
      <c r="K621" s="36"/>
      <c r="L621" s="26"/>
      <c r="M621" s="26"/>
      <c r="N621" s="26"/>
      <c r="O621" s="93"/>
      <c r="P621" s="95"/>
      <c r="Q621" s="196"/>
    </row>
    <row r="622" spans="3:17" x14ac:dyDescent="0.25">
      <c r="C622" s="198"/>
      <c r="D622" s="111"/>
      <c r="E622" s="33"/>
      <c r="F622" s="104"/>
      <c r="H622" s="115"/>
      <c r="I622" s="26"/>
      <c r="J622" s="98"/>
      <c r="K622" s="36"/>
      <c r="L622" s="26"/>
      <c r="M622" s="26"/>
      <c r="N622" s="26"/>
      <c r="O622" s="93"/>
      <c r="P622" s="95"/>
      <c r="Q622" s="196"/>
    </row>
    <row r="623" spans="3:17" x14ac:dyDescent="0.25">
      <c r="C623" s="198"/>
      <c r="D623" s="111"/>
      <c r="E623" s="33"/>
      <c r="F623" s="104"/>
      <c r="H623" s="115"/>
      <c r="I623" s="26"/>
      <c r="J623" s="98"/>
      <c r="K623" s="36"/>
      <c r="L623" s="26"/>
      <c r="M623" s="26"/>
      <c r="N623" s="26"/>
      <c r="O623" s="93"/>
      <c r="P623" s="95"/>
      <c r="Q623" s="196"/>
    </row>
    <row r="624" spans="3:17" x14ac:dyDescent="0.25">
      <c r="C624" s="198"/>
      <c r="D624" s="111"/>
      <c r="E624" s="33"/>
      <c r="F624" s="104"/>
      <c r="H624" s="115"/>
      <c r="I624" s="26"/>
      <c r="J624" s="98"/>
      <c r="K624" s="36"/>
      <c r="L624" s="26"/>
      <c r="M624" s="26"/>
      <c r="N624" s="26"/>
      <c r="O624" s="93"/>
      <c r="P624" s="95"/>
      <c r="Q624" s="196"/>
    </row>
    <row r="625" spans="3:17" x14ac:dyDescent="0.25">
      <c r="C625" s="198"/>
      <c r="D625" s="111"/>
      <c r="E625" s="33"/>
      <c r="F625" s="104"/>
      <c r="H625" s="115"/>
      <c r="I625" s="26"/>
      <c r="J625" s="98"/>
      <c r="K625" s="36"/>
      <c r="L625" s="26"/>
      <c r="M625" s="26"/>
      <c r="N625" s="26"/>
      <c r="O625" s="93"/>
      <c r="P625" s="95"/>
      <c r="Q625" s="196"/>
    </row>
    <row r="626" spans="3:17" x14ac:dyDescent="0.25">
      <c r="C626" s="198"/>
      <c r="D626" s="111"/>
      <c r="E626" s="33"/>
      <c r="F626" s="104"/>
      <c r="H626" s="115"/>
      <c r="I626" s="26"/>
      <c r="J626" s="98"/>
      <c r="K626" s="36"/>
      <c r="L626" s="26"/>
      <c r="M626" s="26"/>
      <c r="N626" s="26"/>
      <c r="O626" s="93"/>
      <c r="P626" s="95"/>
      <c r="Q626" s="196"/>
    </row>
    <row r="627" spans="3:17" x14ac:dyDescent="0.25">
      <c r="C627" s="198"/>
      <c r="D627" s="111"/>
      <c r="E627" s="33"/>
      <c r="F627" s="104"/>
      <c r="H627" s="115"/>
      <c r="I627" s="26"/>
      <c r="J627" s="98"/>
      <c r="K627" s="36"/>
      <c r="L627" s="26"/>
      <c r="M627" s="26"/>
      <c r="N627" s="26"/>
      <c r="O627" s="93"/>
      <c r="P627" s="95"/>
      <c r="Q627" s="196"/>
    </row>
    <row r="628" spans="3:17" x14ac:dyDescent="0.25">
      <c r="C628" s="198"/>
      <c r="D628" s="111"/>
      <c r="E628" s="33"/>
      <c r="F628" s="104"/>
      <c r="H628" s="115"/>
      <c r="I628" s="26"/>
      <c r="J628" s="98"/>
      <c r="K628" s="36"/>
      <c r="L628" s="26"/>
      <c r="M628" s="26"/>
      <c r="N628" s="26"/>
      <c r="O628" s="93"/>
      <c r="P628" s="95"/>
      <c r="Q628" s="196"/>
    </row>
    <row r="629" spans="3:17" x14ac:dyDescent="0.25">
      <c r="C629" s="198"/>
      <c r="D629" s="111"/>
      <c r="E629" s="33"/>
      <c r="F629" s="104"/>
      <c r="H629" s="115"/>
      <c r="I629" s="26"/>
      <c r="J629" s="98"/>
      <c r="K629" s="36"/>
      <c r="L629" s="26"/>
      <c r="M629" s="26"/>
      <c r="N629" s="26"/>
      <c r="O629" s="93"/>
      <c r="P629" s="95"/>
      <c r="Q629" s="196"/>
    </row>
    <row r="630" spans="3:17" x14ac:dyDescent="0.25">
      <c r="C630" s="198"/>
      <c r="D630" s="111"/>
      <c r="E630" s="33"/>
      <c r="F630" s="104"/>
      <c r="H630" s="115"/>
      <c r="I630" s="26"/>
      <c r="J630" s="98"/>
      <c r="K630" s="36"/>
      <c r="L630" s="26"/>
      <c r="M630" s="26"/>
      <c r="N630" s="26"/>
      <c r="O630" s="93"/>
      <c r="P630" s="95"/>
      <c r="Q630" s="196"/>
    </row>
    <row r="631" spans="3:17" x14ac:dyDescent="0.25">
      <c r="C631" s="198"/>
      <c r="D631" s="111"/>
      <c r="E631" s="33"/>
      <c r="F631" s="104"/>
      <c r="H631" s="115"/>
      <c r="I631" s="26"/>
      <c r="J631" s="98"/>
      <c r="K631" s="36"/>
      <c r="L631" s="26"/>
      <c r="M631" s="26"/>
      <c r="N631" s="26"/>
      <c r="O631" s="93"/>
      <c r="P631" s="95"/>
      <c r="Q631" s="196"/>
    </row>
    <row r="632" spans="3:17" x14ac:dyDescent="0.25">
      <c r="C632" s="198"/>
      <c r="D632" s="111"/>
      <c r="E632" s="33"/>
      <c r="F632" s="104"/>
      <c r="H632" s="115"/>
      <c r="I632" s="26"/>
      <c r="J632" s="98"/>
      <c r="K632" s="36"/>
      <c r="L632" s="26"/>
      <c r="M632" s="26"/>
      <c r="N632" s="26"/>
      <c r="O632" s="93"/>
      <c r="P632" s="95"/>
      <c r="Q632" s="196"/>
    </row>
    <row r="633" spans="3:17" x14ac:dyDescent="0.25">
      <c r="C633" s="198"/>
      <c r="D633" s="111"/>
      <c r="E633" s="33"/>
      <c r="F633" s="104"/>
      <c r="H633" s="115"/>
      <c r="I633" s="26"/>
      <c r="J633" s="98"/>
      <c r="K633" s="36"/>
      <c r="L633" s="26"/>
      <c r="M633" s="26"/>
      <c r="N633" s="26"/>
      <c r="O633" s="93"/>
      <c r="P633" s="95"/>
      <c r="Q633" s="196"/>
    </row>
    <row r="634" spans="3:17" x14ac:dyDescent="0.25">
      <c r="C634" s="198"/>
      <c r="D634" s="111"/>
      <c r="E634" s="33"/>
      <c r="F634" s="104"/>
      <c r="H634" s="115"/>
      <c r="I634" s="26"/>
      <c r="J634" s="98"/>
      <c r="K634" s="36"/>
      <c r="L634" s="26"/>
      <c r="M634" s="26"/>
      <c r="N634" s="26"/>
      <c r="O634" s="93"/>
      <c r="P634" s="95"/>
      <c r="Q634" s="196"/>
    </row>
    <row r="635" spans="3:17" x14ac:dyDescent="0.25">
      <c r="C635" s="198"/>
      <c r="D635" s="111"/>
      <c r="E635" s="33"/>
      <c r="F635" s="104"/>
      <c r="H635" s="115"/>
      <c r="I635" s="26"/>
      <c r="J635" s="98"/>
      <c r="K635" s="36"/>
      <c r="L635" s="26"/>
      <c r="M635" s="26"/>
      <c r="N635" s="26"/>
      <c r="O635" s="93"/>
      <c r="P635" s="95"/>
      <c r="Q635" s="196"/>
    </row>
    <row r="636" spans="3:17" x14ac:dyDescent="0.25">
      <c r="C636" s="198"/>
      <c r="D636" s="111"/>
      <c r="E636" s="33"/>
      <c r="F636" s="104"/>
      <c r="H636" s="115"/>
      <c r="I636" s="26"/>
      <c r="J636" s="98"/>
      <c r="K636" s="36"/>
      <c r="L636" s="26"/>
      <c r="M636" s="26"/>
      <c r="N636" s="26"/>
      <c r="O636" s="93"/>
      <c r="P636" s="95"/>
      <c r="Q636" s="196"/>
    </row>
    <row r="637" spans="3:17" x14ac:dyDescent="0.25">
      <c r="C637" s="198"/>
      <c r="D637" s="111"/>
      <c r="E637" s="33"/>
      <c r="F637" s="104"/>
      <c r="H637" s="115"/>
      <c r="I637" s="26"/>
      <c r="J637" s="98"/>
      <c r="K637" s="36"/>
      <c r="L637" s="26"/>
      <c r="M637" s="26"/>
      <c r="N637" s="26"/>
      <c r="O637" s="93"/>
      <c r="P637" s="95"/>
      <c r="Q637" s="196"/>
    </row>
    <row r="638" spans="3:17" x14ac:dyDescent="0.25">
      <c r="C638" s="198"/>
      <c r="D638" s="111"/>
      <c r="E638" s="33"/>
      <c r="F638" s="104"/>
      <c r="H638" s="115"/>
      <c r="I638" s="26"/>
      <c r="J638" s="98"/>
      <c r="K638" s="36"/>
      <c r="L638" s="26"/>
      <c r="M638" s="26"/>
      <c r="N638" s="26"/>
      <c r="O638" s="93"/>
      <c r="P638" s="95"/>
      <c r="Q638" s="196"/>
    </row>
    <row r="639" spans="3:17" x14ac:dyDescent="0.25">
      <c r="C639" s="198"/>
      <c r="D639" s="111"/>
      <c r="E639" s="33"/>
      <c r="F639" s="104"/>
      <c r="H639" s="115"/>
      <c r="I639" s="26"/>
      <c r="J639" s="98"/>
      <c r="K639" s="36"/>
      <c r="L639" s="26"/>
      <c r="M639" s="26"/>
      <c r="N639" s="26"/>
      <c r="O639" s="93"/>
      <c r="P639" s="95"/>
      <c r="Q639" s="196"/>
    </row>
    <row r="640" spans="3:17" x14ac:dyDescent="0.25">
      <c r="C640" s="198"/>
      <c r="D640" s="111"/>
      <c r="E640" s="33"/>
      <c r="F640" s="104"/>
      <c r="H640" s="115"/>
      <c r="I640" s="26"/>
      <c r="J640" s="98"/>
      <c r="K640" s="36"/>
      <c r="L640" s="26"/>
      <c r="M640" s="26"/>
      <c r="N640" s="26"/>
      <c r="O640" s="93"/>
      <c r="P640" s="95"/>
      <c r="Q640" s="196"/>
    </row>
    <row r="641" spans="3:17" x14ac:dyDescent="0.25">
      <c r="C641" s="198"/>
      <c r="D641" s="111"/>
      <c r="E641" s="33"/>
      <c r="F641" s="104"/>
      <c r="H641" s="115"/>
      <c r="I641" s="26"/>
      <c r="J641" s="98"/>
      <c r="K641" s="36"/>
      <c r="L641" s="26"/>
      <c r="M641" s="26"/>
      <c r="N641" s="26"/>
      <c r="O641" s="93"/>
      <c r="P641" s="95"/>
      <c r="Q641" s="196"/>
    </row>
    <row r="642" spans="3:17" x14ac:dyDescent="0.25">
      <c r="C642" s="198"/>
      <c r="D642" s="111"/>
      <c r="E642" s="33"/>
      <c r="F642" s="104"/>
      <c r="H642" s="115"/>
      <c r="I642" s="26"/>
      <c r="J642" s="98"/>
      <c r="K642" s="36"/>
      <c r="L642" s="26"/>
      <c r="M642" s="26"/>
      <c r="N642" s="26"/>
      <c r="O642" s="93"/>
      <c r="P642" s="95"/>
      <c r="Q642" s="196"/>
    </row>
    <row r="643" spans="3:17" x14ac:dyDescent="0.25">
      <c r="C643" s="198"/>
      <c r="D643" s="111"/>
      <c r="E643" s="33"/>
      <c r="F643" s="104"/>
      <c r="H643" s="115"/>
      <c r="I643" s="26"/>
      <c r="J643" s="98"/>
      <c r="K643" s="36"/>
      <c r="L643" s="26"/>
      <c r="M643" s="26"/>
      <c r="N643" s="26"/>
      <c r="O643" s="93"/>
      <c r="P643" s="95"/>
      <c r="Q643" s="196"/>
    </row>
    <row r="644" spans="3:17" x14ac:dyDescent="0.25">
      <c r="C644" s="198"/>
      <c r="D644" s="111"/>
      <c r="E644" s="33"/>
      <c r="F644" s="104"/>
      <c r="H644" s="115"/>
      <c r="I644" s="26"/>
      <c r="J644" s="98"/>
      <c r="K644" s="36"/>
      <c r="L644" s="26"/>
      <c r="M644" s="26"/>
      <c r="N644" s="26"/>
      <c r="O644" s="93"/>
      <c r="P644" s="95"/>
      <c r="Q644" s="196"/>
    </row>
    <row r="645" spans="3:17" x14ac:dyDescent="0.25">
      <c r="C645" s="198"/>
      <c r="D645" s="111"/>
      <c r="E645" s="33"/>
      <c r="F645" s="104"/>
      <c r="H645" s="115"/>
      <c r="I645" s="26"/>
      <c r="J645" s="98"/>
      <c r="K645" s="36"/>
      <c r="L645" s="26"/>
      <c r="M645" s="26"/>
      <c r="N645" s="26"/>
      <c r="O645" s="93"/>
      <c r="P645" s="95"/>
      <c r="Q645" s="196"/>
    </row>
    <row r="646" spans="3:17" x14ac:dyDescent="0.25">
      <c r="C646" s="198"/>
      <c r="D646" s="111"/>
      <c r="E646" s="33"/>
      <c r="F646" s="104"/>
      <c r="H646" s="115"/>
      <c r="I646" s="26"/>
      <c r="J646" s="98"/>
      <c r="K646" s="36"/>
      <c r="L646" s="26"/>
      <c r="M646" s="26"/>
      <c r="N646" s="26"/>
      <c r="O646" s="93"/>
      <c r="P646" s="95"/>
      <c r="Q646" s="196"/>
    </row>
    <row r="647" spans="3:17" x14ac:dyDescent="0.25">
      <c r="C647" s="198"/>
      <c r="D647" s="111"/>
      <c r="E647" s="33"/>
      <c r="F647" s="104"/>
      <c r="H647" s="115"/>
      <c r="I647" s="26"/>
      <c r="J647" s="98"/>
      <c r="K647" s="36"/>
      <c r="L647" s="26"/>
      <c r="M647" s="26"/>
      <c r="N647" s="26"/>
      <c r="O647" s="93"/>
      <c r="P647" s="95"/>
      <c r="Q647" s="196"/>
    </row>
    <row r="648" spans="3:17" x14ac:dyDescent="0.25">
      <c r="C648" s="198"/>
      <c r="D648" s="111"/>
      <c r="E648" s="33"/>
      <c r="F648" s="104"/>
      <c r="H648" s="115"/>
      <c r="I648" s="26"/>
      <c r="J648" s="98"/>
      <c r="K648" s="36"/>
      <c r="L648" s="26"/>
      <c r="M648" s="26"/>
      <c r="N648" s="26"/>
      <c r="O648" s="93"/>
      <c r="P648" s="95"/>
      <c r="Q648" s="196"/>
    </row>
    <row r="649" spans="3:17" x14ac:dyDescent="0.25">
      <c r="C649" s="198"/>
      <c r="D649" s="111"/>
      <c r="E649" s="33"/>
      <c r="F649" s="104"/>
      <c r="H649" s="115"/>
      <c r="I649" s="26"/>
      <c r="J649" s="98"/>
      <c r="K649" s="36"/>
      <c r="L649" s="26"/>
      <c r="M649" s="26"/>
      <c r="N649" s="26"/>
      <c r="O649" s="93"/>
      <c r="P649" s="95"/>
      <c r="Q649" s="196"/>
    </row>
    <row r="650" spans="3:17" x14ac:dyDescent="0.25">
      <c r="C650" s="198"/>
      <c r="D650" s="111"/>
      <c r="E650" s="33"/>
      <c r="F650" s="104"/>
      <c r="H650" s="115"/>
      <c r="I650" s="26"/>
      <c r="J650" s="98"/>
      <c r="K650" s="36"/>
      <c r="L650" s="26"/>
      <c r="M650" s="26"/>
      <c r="N650" s="26"/>
      <c r="O650" s="93"/>
      <c r="P650" s="95"/>
      <c r="Q650" s="196"/>
    </row>
    <row r="651" spans="3:17" x14ac:dyDescent="0.25">
      <c r="C651" s="198"/>
      <c r="D651" s="111"/>
      <c r="E651" s="33"/>
      <c r="F651" s="104"/>
      <c r="H651" s="115"/>
      <c r="I651" s="26"/>
      <c r="J651" s="98"/>
      <c r="K651" s="36"/>
      <c r="L651" s="26"/>
      <c r="M651" s="26"/>
      <c r="N651" s="26"/>
      <c r="O651" s="93"/>
      <c r="P651" s="95"/>
      <c r="Q651" s="196"/>
    </row>
    <row r="652" spans="3:17" x14ac:dyDescent="0.25">
      <c r="C652" s="198"/>
      <c r="D652" s="111"/>
      <c r="E652" s="33"/>
      <c r="F652" s="104"/>
      <c r="H652" s="115"/>
      <c r="I652" s="26"/>
      <c r="J652" s="98"/>
      <c r="K652" s="36"/>
      <c r="L652" s="26"/>
      <c r="M652" s="26"/>
      <c r="N652" s="26"/>
      <c r="O652" s="93"/>
      <c r="P652" s="95"/>
      <c r="Q652" s="196"/>
    </row>
    <row r="653" spans="3:17" x14ac:dyDescent="0.25">
      <c r="C653" s="198"/>
      <c r="D653" s="111"/>
      <c r="E653" s="33"/>
      <c r="F653" s="104"/>
      <c r="H653" s="115"/>
      <c r="I653" s="26"/>
      <c r="J653" s="98"/>
      <c r="K653" s="36"/>
      <c r="L653" s="26"/>
      <c r="M653" s="26"/>
      <c r="N653" s="26"/>
      <c r="O653" s="93"/>
      <c r="P653" s="95"/>
      <c r="Q653" s="196"/>
    </row>
    <row r="654" spans="3:17" x14ac:dyDescent="0.25">
      <c r="C654" s="198"/>
      <c r="D654" s="111"/>
      <c r="E654" s="33"/>
      <c r="F654" s="104"/>
      <c r="H654" s="115"/>
      <c r="I654" s="26"/>
      <c r="J654" s="98"/>
      <c r="K654" s="36"/>
      <c r="L654" s="26"/>
      <c r="M654" s="26"/>
      <c r="N654" s="26"/>
      <c r="O654" s="93"/>
      <c r="P654" s="95"/>
      <c r="Q654" s="196"/>
    </row>
    <row r="655" spans="3:17" x14ac:dyDescent="0.25">
      <c r="C655" s="198"/>
      <c r="D655" s="111"/>
      <c r="E655" s="33"/>
      <c r="F655" s="104"/>
      <c r="H655" s="115"/>
      <c r="I655" s="26"/>
      <c r="J655" s="98"/>
      <c r="K655" s="36"/>
      <c r="L655" s="26"/>
      <c r="M655" s="26"/>
      <c r="N655" s="26"/>
      <c r="O655" s="93"/>
      <c r="P655" s="95"/>
      <c r="Q655" s="196"/>
    </row>
    <row r="656" spans="3:17" x14ac:dyDescent="0.25">
      <c r="C656" s="198"/>
      <c r="D656" s="111"/>
      <c r="E656" s="33"/>
      <c r="F656" s="104"/>
      <c r="H656" s="115"/>
      <c r="I656" s="26"/>
      <c r="J656" s="98"/>
      <c r="K656" s="36"/>
      <c r="L656" s="26"/>
      <c r="M656" s="26"/>
      <c r="N656" s="26"/>
      <c r="O656" s="93"/>
      <c r="P656" s="95"/>
      <c r="Q656" s="196"/>
    </row>
    <row r="657" spans="3:17" x14ac:dyDescent="0.25">
      <c r="C657" s="198"/>
      <c r="D657" s="111"/>
      <c r="E657" s="33"/>
      <c r="F657" s="104"/>
      <c r="H657" s="115"/>
      <c r="I657" s="26"/>
      <c r="J657" s="98"/>
      <c r="K657" s="36"/>
      <c r="L657" s="26"/>
      <c r="M657" s="26"/>
      <c r="N657" s="26"/>
      <c r="O657" s="93"/>
      <c r="P657" s="95"/>
      <c r="Q657" s="196"/>
    </row>
    <row r="658" spans="3:17" x14ac:dyDescent="0.25">
      <c r="C658" s="198"/>
      <c r="D658" s="111"/>
      <c r="E658" s="33"/>
      <c r="F658" s="104"/>
      <c r="H658" s="115"/>
      <c r="I658" s="26"/>
      <c r="J658" s="98"/>
      <c r="K658" s="36"/>
      <c r="L658" s="26"/>
      <c r="M658" s="26"/>
      <c r="N658" s="26"/>
      <c r="O658" s="93"/>
      <c r="P658" s="95"/>
      <c r="Q658" s="196"/>
    </row>
    <row r="659" spans="3:17" x14ac:dyDescent="0.25">
      <c r="C659" s="198"/>
      <c r="D659" s="111"/>
      <c r="E659" s="33"/>
      <c r="F659" s="104"/>
      <c r="H659" s="115"/>
      <c r="I659" s="26"/>
      <c r="J659" s="98"/>
      <c r="K659" s="36"/>
      <c r="L659" s="26"/>
      <c r="M659" s="26"/>
      <c r="N659" s="26"/>
      <c r="O659" s="93"/>
      <c r="P659" s="95"/>
      <c r="Q659" s="196"/>
    </row>
    <row r="660" spans="3:17" x14ac:dyDescent="0.25">
      <c r="C660" s="198"/>
      <c r="D660" s="111"/>
      <c r="E660" s="33"/>
      <c r="F660" s="104"/>
      <c r="H660" s="115"/>
      <c r="I660" s="26"/>
      <c r="J660" s="98"/>
      <c r="K660" s="36"/>
      <c r="L660" s="26"/>
      <c r="M660" s="26"/>
      <c r="N660" s="26"/>
      <c r="O660" s="93"/>
      <c r="P660" s="95"/>
      <c r="Q660" s="196"/>
    </row>
    <row r="661" spans="3:17" x14ac:dyDescent="0.25">
      <c r="C661" s="198"/>
      <c r="D661" s="111"/>
      <c r="E661" s="33"/>
      <c r="F661" s="104"/>
      <c r="H661" s="115"/>
      <c r="I661" s="26"/>
      <c r="J661" s="98"/>
      <c r="K661" s="36"/>
      <c r="L661" s="26"/>
      <c r="M661" s="26"/>
      <c r="N661" s="26"/>
      <c r="O661" s="93"/>
      <c r="P661" s="95"/>
      <c r="Q661" s="196"/>
    </row>
    <row r="662" spans="3:17" x14ac:dyDescent="0.25">
      <c r="C662" s="198"/>
      <c r="D662" s="111"/>
      <c r="E662" s="33"/>
      <c r="F662" s="104"/>
      <c r="H662" s="115"/>
      <c r="I662" s="26"/>
      <c r="J662" s="98"/>
      <c r="K662" s="36"/>
      <c r="L662" s="26"/>
      <c r="M662" s="26"/>
      <c r="N662" s="26"/>
      <c r="O662" s="93"/>
      <c r="P662" s="95"/>
      <c r="Q662" s="196"/>
    </row>
    <row r="663" spans="3:17" x14ac:dyDescent="0.25">
      <c r="C663" s="198"/>
      <c r="D663" s="111"/>
      <c r="E663" s="33"/>
      <c r="F663" s="104"/>
      <c r="H663" s="115"/>
      <c r="I663" s="26"/>
      <c r="J663" s="98"/>
      <c r="K663" s="36"/>
      <c r="L663" s="26"/>
      <c r="M663" s="26"/>
      <c r="N663" s="26"/>
      <c r="O663" s="93"/>
      <c r="P663" s="95"/>
      <c r="Q663" s="196"/>
    </row>
    <row r="664" spans="3:17" x14ac:dyDescent="0.25">
      <c r="C664" s="198"/>
      <c r="D664" s="111"/>
      <c r="E664" s="33"/>
      <c r="F664" s="104"/>
      <c r="H664" s="115"/>
      <c r="I664" s="26"/>
      <c r="J664" s="98"/>
      <c r="K664" s="36"/>
      <c r="L664" s="26"/>
      <c r="M664" s="26"/>
      <c r="N664" s="26"/>
      <c r="O664" s="93"/>
      <c r="P664" s="95"/>
      <c r="Q664" s="196"/>
    </row>
    <row r="665" spans="3:17" x14ac:dyDescent="0.25">
      <c r="C665" s="198"/>
      <c r="D665" s="111"/>
      <c r="E665" s="33"/>
      <c r="F665" s="104"/>
      <c r="H665" s="115"/>
      <c r="I665" s="26"/>
      <c r="J665" s="98"/>
      <c r="K665" s="36"/>
      <c r="L665" s="26"/>
      <c r="M665" s="26"/>
      <c r="N665" s="26"/>
      <c r="O665" s="93"/>
      <c r="P665" s="95"/>
      <c r="Q665" s="196"/>
    </row>
    <row r="666" spans="3:17" x14ac:dyDescent="0.25">
      <c r="C666" s="198"/>
      <c r="D666" s="111"/>
      <c r="E666" s="33"/>
      <c r="F666" s="104"/>
      <c r="H666" s="115"/>
      <c r="I666" s="26"/>
      <c r="J666" s="98"/>
      <c r="K666" s="36"/>
      <c r="L666" s="26"/>
      <c r="M666" s="26"/>
      <c r="N666" s="26"/>
      <c r="O666" s="93"/>
      <c r="P666" s="95"/>
      <c r="Q666" s="196"/>
    </row>
    <row r="667" spans="3:17" x14ac:dyDescent="0.25">
      <c r="C667" s="198"/>
      <c r="D667" s="111"/>
      <c r="E667" s="33"/>
      <c r="F667" s="104"/>
      <c r="H667" s="115"/>
      <c r="I667" s="26"/>
      <c r="J667" s="98"/>
      <c r="K667" s="36"/>
      <c r="L667" s="26"/>
      <c r="M667" s="26"/>
      <c r="N667" s="26"/>
      <c r="O667" s="93"/>
      <c r="P667" s="95"/>
      <c r="Q667" s="196"/>
    </row>
    <row r="668" spans="3:17" x14ac:dyDescent="0.25">
      <c r="C668" s="198"/>
      <c r="D668" s="111"/>
      <c r="E668" s="33"/>
      <c r="F668" s="104"/>
      <c r="H668" s="115"/>
      <c r="I668" s="26"/>
      <c r="J668" s="98"/>
      <c r="K668" s="36"/>
      <c r="L668" s="26"/>
      <c r="M668" s="26"/>
      <c r="N668" s="26"/>
      <c r="O668" s="93"/>
      <c r="P668" s="95"/>
      <c r="Q668" s="196"/>
    </row>
    <row r="669" spans="3:17" x14ac:dyDescent="0.25">
      <c r="C669" s="198"/>
      <c r="D669" s="111"/>
      <c r="E669" s="33"/>
      <c r="F669" s="104"/>
      <c r="H669" s="115"/>
      <c r="I669" s="26"/>
      <c r="J669" s="98"/>
      <c r="K669" s="36"/>
      <c r="L669" s="26"/>
      <c r="M669" s="26"/>
      <c r="N669" s="26"/>
      <c r="O669" s="93"/>
      <c r="P669" s="95"/>
      <c r="Q669" s="196"/>
    </row>
    <row r="670" spans="3:17" x14ac:dyDescent="0.25">
      <c r="C670" s="198"/>
      <c r="D670" s="111"/>
      <c r="E670" s="33"/>
      <c r="F670" s="104"/>
      <c r="H670" s="115"/>
      <c r="I670" s="26"/>
      <c r="J670" s="98"/>
      <c r="K670" s="36"/>
      <c r="L670" s="26"/>
      <c r="M670" s="26"/>
      <c r="N670" s="26"/>
      <c r="O670" s="93"/>
      <c r="P670" s="95"/>
      <c r="Q670" s="196"/>
    </row>
    <row r="671" spans="3:17" x14ac:dyDescent="0.25">
      <c r="C671" s="198"/>
      <c r="D671" s="111"/>
      <c r="E671" s="33"/>
      <c r="F671" s="104"/>
      <c r="H671" s="115"/>
      <c r="I671" s="26"/>
      <c r="J671" s="98"/>
      <c r="K671" s="36"/>
      <c r="L671" s="26"/>
      <c r="M671" s="26"/>
      <c r="N671" s="26"/>
      <c r="O671" s="93"/>
      <c r="P671" s="95"/>
      <c r="Q671" s="196"/>
    </row>
    <row r="672" spans="3:17" x14ac:dyDescent="0.25">
      <c r="C672" s="198"/>
      <c r="D672" s="111"/>
      <c r="E672" s="33"/>
      <c r="F672" s="104"/>
      <c r="H672" s="115"/>
      <c r="I672" s="26"/>
      <c r="J672" s="98"/>
      <c r="K672" s="36"/>
      <c r="L672" s="26"/>
      <c r="M672" s="26"/>
      <c r="N672" s="26"/>
      <c r="O672" s="93"/>
      <c r="P672" s="95"/>
      <c r="Q672" s="196"/>
    </row>
    <row r="673" spans="3:17" x14ac:dyDescent="0.25">
      <c r="C673" s="198"/>
      <c r="D673" s="111"/>
      <c r="E673" s="33"/>
      <c r="F673" s="104"/>
      <c r="H673" s="115"/>
      <c r="I673" s="26"/>
      <c r="J673" s="98"/>
      <c r="K673" s="36"/>
      <c r="L673" s="26"/>
      <c r="M673" s="26"/>
      <c r="N673" s="26"/>
      <c r="O673" s="93"/>
      <c r="P673" s="95"/>
      <c r="Q673" s="196"/>
    </row>
    <row r="674" spans="3:17" x14ac:dyDescent="0.25">
      <c r="C674" s="198"/>
      <c r="D674" s="111"/>
      <c r="E674" s="33"/>
      <c r="F674" s="104"/>
      <c r="H674" s="115"/>
      <c r="I674" s="26"/>
      <c r="J674" s="98"/>
      <c r="K674" s="36"/>
      <c r="L674" s="26"/>
      <c r="M674" s="26"/>
      <c r="N674" s="26"/>
      <c r="O674" s="93"/>
      <c r="P674" s="95"/>
      <c r="Q674" s="196"/>
    </row>
    <row r="675" spans="3:17" x14ac:dyDescent="0.25">
      <c r="C675" s="198"/>
      <c r="D675" s="111"/>
      <c r="E675" s="33"/>
      <c r="F675" s="104"/>
      <c r="H675" s="115"/>
      <c r="I675" s="26"/>
      <c r="J675" s="98"/>
      <c r="K675" s="36"/>
      <c r="L675" s="26"/>
      <c r="M675" s="26"/>
      <c r="N675" s="26"/>
      <c r="O675" s="93"/>
      <c r="P675" s="95"/>
      <c r="Q675" s="196"/>
    </row>
    <row r="676" spans="3:17" x14ac:dyDescent="0.25">
      <c r="C676" s="198"/>
      <c r="D676" s="111"/>
      <c r="E676" s="33"/>
      <c r="F676" s="104"/>
      <c r="H676" s="115"/>
      <c r="I676" s="26"/>
      <c r="J676" s="98"/>
      <c r="K676" s="36"/>
      <c r="L676" s="26"/>
      <c r="M676" s="26"/>
      <c r="N676" s="26"/>
      <c r="O676" s="93"/>
      <c r="P676" s="95"/>
      <c r="Q676" s="196"/>
    </row>
    <row r="677" spans="3:17" x14ac:dyDescent="0.25">
      <c r="C677" s="198"/>
      <c r="D677" s="111"/>
      <c r="E677" s="33"/>
      <c r="F677" s="104"/>
      <c r="H677" s="115"/>
      <c r="I677" s="26"/>
      <c r="J677" s="98"/>
      <c r="K677" s="36"/>
      <c r="L677" s="26"/>
      <c r="M677" s="26"/>
      <c r="N677" s="26"/>
      <c r="O677" s="93"/>
      <c r="P677" s="95"/>
      <c r="Q677" s="196"/>
    </row>
    <row r="678" spans="3:17" x14ac:dyDescent="0.25">
      <c r="C678" s="198"/>
      <c r="D678" s="111"/>
      <c r="E678" s="33"/>
      <c r="F678" s="104"/>
      <c r="H678" s="115"/>
      <c r="I678" s="26"/>
      <c r="J678" s="98"/>
      <c r="K678" s="36"/>
      <c r="L678" s="26"/>
      <c r="M678" s="26"/>
      <c r="N678" s="26"/>
      <c r="O678" s="93"/>
      <c r="P678" s="95"/>
      <c r="Q678" s="196"/>
    </row>
    <row r="679" spans="3:17" x14ac:dyDescent="0.25">
      <c r="C679" s="198"/>
      <c r="D679" s="111"/>
      <c r="E679" s="33"/>
      <c r="F679" s="104"/>
      <c r="H679" s="115"/>
      <c r="I679" s="26"/>
      <c r="J679" s="98"/>
      <c r="K679" s="36"/>
      <c r="L679" s="26"/>
      <c r="M679" s="26"/>
      <c r="N679" s="26"/>
      <c r="O679" s="93"/>
      <c r="P679" s="95"/>
      <c r="Q679" s="196"/>
    </row>
    <row r="680" spans="3:17" x14ac:dyDescent="0.25">
      <c r="C680" s="198"/>
      <c r="D680" s="111"/>
      <c r="E680" s="33"/>
      <c r="F680" s="104"/>
      <c r="H680" s="115"/>
      <c r="I680" s="26"/>
      <c r="J680" s="98"/>
      <c r="K680" s="36"/>
      <c r="L680" s="26"/>
      <c r="M680" s="26"/>
      <c r="N680" s="26"/>
      <c r="O680" s="93"/>
      <c r="P680" s="95"/>
      <c r="Q680" s="196"/>
    </row>
    <row r="681" spans="3:17" x14ac:dyDescent="0.25">
      <c r="C681" s="198"/>
      <c r="D681" s="111"/>
      <c r="E681" s="33"/>
      <c r="F681" s="104"/>
      <c r="H681" s="115"/>
      <c r="I681" s="26"/>
      <c r="J681" s="98"/>
      <c r="K681" s="36"/>
      <c r="L681" s="26"/>
      <c r="M681" s="26"/>
      <c r="N681" s="26"/>
      <c r="O681" s="93"/>
      <c r="P681" s="95"/>
      <c r="Q681" s="196"/>
    </row>
    <row r="682" spans="3:17" x14ac:dyDescent="0.25">
      <c r="C682" s="198"/>
      <c r="D682" s="111"/>
      <c r="E682" s="33"/>
      <c r="F682" s="104"/>
      <c r="H682" s="115"/>
      <c r="I682" s="26"/>
      <c r="J682" s="98"/>
      <c r="K682" s="36"/>
      <c r="L682" s="26"/>
      <c r="M682" s="26"/>
      <c r="N682" s="26"/>
      <c r="O682" s="93"/>
      <c r="P682" s="95"/>
      <c r="Q682" s="196"/>
    </row>
    <row r="683" spans="3:17" x14ac:dyDescent="0.25">
      <c r="C683" s="198"/>
      <c r="D683" s="111"/>
      <c r="E683" s="33"/>
      <c r="F683" s="104"/>
      <c r="H683" s="115"/>
      <c r="I683" s="26"/>
      <c r="J683" s="98"/>
      <c r="K683" s="36"/>
      <c r="L683" s="26"/>
      <c r="M683" s="26"/>
      <c r="N683" s="26"/>
      <c r="O683" s="93"/>
      <c r="P683" s="95"/>
      <c r="Q683" s="196"/>
    </row>
    <row r="684" spans="3:17" x14ac:dyDescent="0.25">
      <c r="C684" s="198"/>
      <c r="D684" s="111"/>
      <c r="E684" s="33"/>
      <c r="F684" s="104"/>
      <c r="H684" s="115"/>
      <c r="I684" s="26"/>
      <c r="J684" s="98"/>
      <c r="K684" s="36"/>
      <c r="L684" s="26"/>
      <c r="M684" s="26"/>
      <c r="N684" s="26"/>
      <c r="O684" s="93"/>
      <c r="P684" s="95"/>
      <c r="Q684" s="196"/>
    </row>
    <row r="685" spans="3:17" x14ac:dyDescent="0.25">
      <c r="C685" s="198"/>
      <c r="D685" s="111"/>
      <c r="E685" s="33"/>
      <c r="F685" s="104"/>
      <c r="H685" s="115"/>
      <c r="I685" s="26"/>
      <c r="J685" s="98"/>
      <c r="K685" s="36"/>
      <c r="L685" s="26"/>
      <c r="M685" s="26"/>
      <c r="N685" s="26"/>
      <c r="O685" s="93"/>
      <c r="P685" s="95"/>
      <c r="Q685" s="196"/>
    </row>
    <row r="686" spans="3:17" x14ac:dyDescent="0.25">
      <c r="C686" s="198"/>
      <c r="D686" s="111"/>
      <c r="E686" s="33"/>
      <c r="F686" s="104"/>
      <c r="H686" s="115"/>
      <c r="I686" s="26"/>
      <c r="J686" s="98"/>
      <c r="K686" s="36"/>
      <c r="L686" s="26"/>
      <c r="M686" s="26"/>
      <c r="N686" s="26"/>
      <c r="O686" s="93"/>
      <c r="P686" s="95"/>
      <c r="Q686" s="196"/>
    </row>
    <row r="687" spans="3:17" x14ac:dyDescent="0.25">
      <c r="C687" s="198"/>
      <c r="D687" s="111"/>
      <c r="E687" s="33"/>
      <c r="F687" s="104"/>
      <c r="H687" s="115"/>
      <c r="I687" s="26"/>
      <c r="J687" s="98"/>
      <c r="K687" s="36"/>
      <c r="L687" s="26"/>
      <c r="M687" s="26"/>
      <c r="N687" s="26"/>
      <c r="O687" s="93"/>
      <c r="P687" s="95"/>
      <c r="Q687" s="196"/>
    </row>
    <row r="688" spans="3:17" x14ac:dyDescent="0.25">
      <c r="C688" s="198"/>
      <c r="D688" s="111"/>
      <c r="E688" s="33"/>
      <c r="F688" s="104"/>
      <c r="H688" s="115"/>
      <c r="I688" s="26"/>
      <c r="J688" s="98"/>
      <c r="K688" s="36"/>
      <c r="L688" s="26"/>
      <c r="M688" s="26"/>
      <c r="N688" s="26"/>
      <c r="O688" s="93"/>
      <c r="P688" s="95"/>
      <c r="Q688" s="196"/>
    </row>
    <row r="689" spans="3:17" x14ac:dyDescent="0.25">
      <c r="C689" s="198"/>
      <c r="D689" s="111"/>
      <c r="E689" s="33"/>
      <c r="F689" s="104"/>
      <c r="H689" s="115"/>
      <c r="I689" s="26"/>
      <c r="J689" s="98"/>
      <c r="K689" s="36"/>
      <c r="L689" s="26"/>
      <c r="M689" s="26"/>
      <c r="N689" s="26"/>
      <c r="O689" s="93"/>
      <c r="P689" s="95"/>
      <c r="Q689" s="196"/>
    </row>
    <row r="690" spans="3:17" x14ac:dyDescent="0.25">
      <c r="C690" s="198"/>
      <c r="D690" s="111"/>
      <c r="E690" s="33"/>
      <c r="F690" s="104"/>
      <c r="H690" s="115"/>
      <c r="I690" s="26"/>
      <c r="J690" s="98"/>
      <c r="K690" s="36"/>
      <c r="L690" s="26"/>
      <c r="M690" s="26"/>
      <c r="N690" s="26"/>
      <c r="O690" s="93"/>
      <c r="P690" s="95"/>
      <c r="Q690" s="196"/>
    </row>
    <row r="691" spans="3:17" x14ac:dyDescent="0.25">
      <c r="C691" s="198"/>
      <c r="D691" s="111"/>
      <c r="E691" s="33"/>
      <c r="F691" s="104"/>
      <c r="H691" s="115"/>
      <c r="I691" s="26"/>
      <c r="J691" s="98"/>
      <c r="K691" s="36"/>
      <c r="L691" s="26"/>
      <c r="M691" s="26"/>
      <c r="N691" s="26"/>
      <c r="O691" s="93"/>
      <c r="P691" s="95"/>
      <c r="Q691" s="196"/>
    </row>
    <row r="692" spans="3:17" x14ac:dyDescent="0.25">
      <c r="C692" s="198"/>
      <c r="D692" s="111"/>
      <c r="E692" s="33"/>
      <c r="F692" s="104"/>
      <c r="H692" s="115"/>
      <c r="I692" s="26"/>
      <c r="J692" s="98"/>
      <c r="K692" s="36"/>
      <c r="L692" s="26"/>
      <c r="M692" s="26"/>
      <c r="N692" s="26"/>
      <c r="O692" s="93"/>
      <c r="P692" s="95"/>
      <c r="Q692" s="196"/>
    </row>
    <row r="693" spans="3:17" x14ac:dyDescent="0.25">
      <c r="C693" s="198"/>
      <c r="D693" s="111"/>
      <c r="E693" s="33"/>
      <c r="F693" s="104"/>
      <c r="H693" s="115"/>
      <c r="I693" s="26"/>
      <c r="J693" s="98"/>
      <c r="K693" s="36"/>
      <c r="L693" s="26"/>
      <c r="M693" s="26"/>
      <c r="N693" s="26"/>
      <c r="O693" s="93"/>
      <c r="P693" s="95"/>
      <c r="Q693" s="196"/>
    </row>
    <row r="694" spans="3:17" x14ac:dyDescent="0.25">
      <c r="C694" s="198"/>
      <c r="D694" s="111"/>
      <c r="E694" s="33"/>
      <c r="F694" s="104"/>
      <c r="H694" s="115"/>
      <c r="I694" s="26"/>
      <c r="J694" s="98"/>
      <c r="K694" s="36"/>
      <c r="L694" s="26"/>
      <c r="M694" s="26"/>
      <c r="N694" s="26"/>
      <c r="O694" s="93"/>
      <c r="P694" s="95"/>
      <c r="Q694" s="196"/>
    </row>
    <row r="695" spans="3:17" x14ac:dyDescent="0.25">
      <c r="C695" s="198"/>
      <c r="D695" s="111"/>
      <c r="E695" s="33"/>
      <c r="F695" s="104"/>
      <c r="H695" s="115"/>
      <c r="I695" s="26"/>
      <c r="J695" s="98"/>
      <c r="K695" s="36"/>
      <c r="L695" s="26"/>
      <c r="M695" s="26"/>
      <c r="N695" s="26"/>
      <c r="O695" s="93"/>
      <c r="P695" s="95"/>
      <c r="Q695" s="196"/>
    </row>
    <row r="696" spans="3:17" x14ac:dyDescent="0.25">
      <c r="C696" s="198"/>
      <c r="D696" s="111"/>
      <c r="E696" s="33"/>
      <c r="F696" s="104"/>
      <c r="H696" s="115"/>
      <c r="I696" s="26"/>
      <c r="J696" s="98"/>
      <c r="K696" s="36"/>
      <c r="L696" s="26"/>
      <c r="M696" s="26"/>
      <c r="N696" s="26"/>
      <c r="O696" s="93"/>
      <c r="P696" s="95"/>
      <c r="Q696" s="196"/>
    </row>
    <row r="697" spans="3:17" x14ac:dyDescent="0.25">
      <c r="C697" s="198"/>
      <c r="D697" s="111"/>
      <c r="E697" s="33"/>
      <c r="F697" s="104"/>
      <c r="H697" s="115"/>
      <c r="I697" s="26"/>
      <c r="J697" s="98"/>
      <c r="K697" s="36"/>
      <c r="L697" s="26"/>
      <c r="M697" s="26"/>
      <c r="N697" s="26"/>
      <c r="O697" s="93"/>
      <c r="P697" s="95"/>
      <c r="Q697" s="196"/>
    </row>
    <row r="698" spans="3:17" x14ac:dyDescent="0.25">
      <c r="C698" s="198"/>
      <c r="D698" s="111"/>
      <c r="E698" s="33"/>
      <c r="F698" s="104"/>
      <c r="H698" s="115"/>
      <c r="I698" s="26"/>
      <c r="J698" s="98"/>
      <c r="K698" s="36"/>
      <c r="L698" s="26"/>
      <c r="M698" s="26"/>
      <c r="N698" s="26"/>
      <c r="O698" s="93"/>
      <c r="P698" s="95"/>
      <c r="Q698" s="196"/>
    </row>
    <row r="699" spans="3:17" x14ac:dyDescent="0.25">
      <c r="C699" s="198"/>
      <c r="D699" s="111"/>
      <c r="E699" s="33"/>
      <c r="F699" s="104"/>
      <c r="H699" s="115"/>
      <c r="I699" s="26"/>
      <c r="J699" s="98"/>
      <c r="K699" s="36"/>
      <c r="L699" s="26"/>
      <c r="M699" s="26"/>
      <c r="N699" s="26"/>
      <c r="O699" s="93"/>
      <c r="P699" s="95"/>
      <c r="Q699" s="196"/>
    </row>
    <row r="700" spans="3:17" x14ac:dyDescent="0.25">
      <c r="C700" s="198"/>
      <c r="D700" s="111"/>
      <c r="E700" s="33"/>
      <c r="F700" s="104"/>
      <c r="H700" s="115"/>
      <c r="I700" s="26"/>
      <c r="J700" s="98"/>
      <c r="K700" s="36"/>
      <c r="L700" s="26"/>
      <c r="M700" s="26"/>
      <c r="N700" s="26"/>
      <c r="O700" s="93"/>
      <c r="P700" s="95"/>
      <c r="Q700" s="196"/>
    </row>
    <row r="701" spans="3:17" x14ac:dyDescent="0.25">
      <c r="C701" s="198"/>
      <c r="D701" s="111"/>
      <c r="E701" s="33"/>
      <c r="F701" s="104"/>
      <c r="H701" s="115"/>
      <c r="I701" s="26"/>
      <c r="J701" s="98"/>
      <c r="K701" s="36"/>
      <c r="L701" s="26"/>
      <c r="M701" s="26"/>
      <c r="N701" s="26"/>
      <c r="O701" s="93"/>
      <c r="P701" s="95"/>
      <c r="Q701" s="196"/>
    </row>
    <row r="702" spans="3:17" x14ac:dyDescent="0.25">
      <c r="C702" s="198"/>
      <c r="D702" s="111"/>
      <c r="E702" s="33"/>
      <c r="F702" s="104"/>
      <c r="H702" s="115"/>
      <c r="I702" s="26"/>
      <c r="J702" s="98"/>
      <c r="K702" s="36"/>
      <c r="L702" s="26"/>
      <c r="M702" s="26"/>
      <c r="N702" s="26"/>
      <c r="O702" s="93"/>
      <c r="P702" s="95"/>
      <c r="Q702" s="196"/>
    </row>
    <row r="703" spans="3:17" x14ac:dyDescent="0.25">
      <c r="C703" s="198"/>
      <c r="D703" s="111"/>
      <c r="E703" s="33"/>
      <c r="F703" s="104"/>
      <c r="H703" s="115"/>
      <c r="I703" s="26"/>
      <c r="J703" s="98"/>
      <c r="K703" s="36"/>
      <c r="L703" s="26"/>
      <c r="M703" s="26"/>
      <c r="N703" s="26"/>
      <c r="O703" s="93"/>
      <c r="P703" s="95"/>
      <c r="Q703" s="196"/>
    </row>
    <row r="704" spans="3:17" x14ac:dyDescent="0.25">
      <c r="C704" s="198"/>
      <c r="D704" s="111"/>
      <c r="E704" s="33"/>
      <c r="F704" s="104"/>
      <c r="H704" s="115"/>
      <c r="I704" s="26"/>
      <c r="J704" s="98"/>
      <c r="K704" s="36"/>
      <c r="L704" s="26"/>
      <c r="M704" s="26"/>
      <c r="N704" s="26"/>
      <c r="O704" s="93"/>
      <c r="P704" s="95"/>
      <c r="Q704" s="196"/>
    </row>
    <row r="705" spans="3:17" x14ac:dyDescent="0.25">
      <c r="C705" s="198"/>
      <c r="D705" s="111"/>
      <c r="E705" s="33"/>
      <c r="F705" s="104"/>
      <c r="H705" s="115"/>
      <c r="I705" s="26"/>
      <c r="J705" s="98"/>
      <c r="K705" s="36"/>
      <c r="L705" s="26"/>
      <c r="M705" s="26"/>
      <c r="N705" s="26"/>
      <c r="O705" s="93"/>
      <c r="P705" s="95"/>
      <c r="Q705" s="196"/>
    </row>
    <row r="706" spans="3:17" x14ac:dyDescent="0.25">
      <c r="C706" s="198"/>
      <c r="D706" s="111"/>
      <c r="E706" s="33"/>
      <c r="F706" s="104"/>
      <c r="H706" s="115"/>
      <c r="I706" s="26"/>
      <c r="J706" s="98"/>
      <c r="K706" s="36"/>
      <c r="L706" s="26"/>
      <c r="M706" s="26"/>
      <c r="N706" s="26"/>
      <c r="O706" s="93"/>
      <c r="P706" s="95"/>
      <c r="Q706" s="196"/>
    </row>
    <row r="707" spans="3:17" x14ac:dyDescent="0.25">
      <c r="C707" s="198"/>
      <c r="D707" s="111"/>
      <c r="E707" s="33"/>
      <c r="F707" s="104"/>
      <c r="H707" s="115"/>
      <c r="I707" s="26"/>
      <c r="J707" s="98"/>
      <c r="K707" s="36"/>
      <c r="L707" s="26"/>
      <c r="M707" s="26"/>
      <c r="N707" s="26"/>
      <c r="O707" s="93"/>
      <c r="P707" s="95"/>
      <c r="Q707" s="196"/>
    </row>
    <row r="708" spans="3:17" x14ac:dyDescent="0.25">
      <c r="C708" s="198"/>
      <c r="D708" s="111"/>
      <c r="E708" s="33"/>
      <c r="F708" s="104"/>
      <c r="H708" s="115"/>
      <c r="I708" s="26"/>
      <c r="J708" s="98"/>
      <c r="K708" s="36"/>
      <c r="L708" s="26"/>
      <c r="M708" s="26"/>
      <c r="N708" s="26"/>
      <c r="O708" s="93"/>
      <c r="P708" s="95"/>
      <c r="Q708" s="196"/>
    </row>
    <row r="709" spans="3:17" x14ac:dyDescent="0.25">
      <c r="C709" s="198"/>
      <c r="D709" s="111"/>
      <c r="E709" s="33"/>
      <c r="F709" s="104"/>
      <c r="H709" s="115"/>
      <c r="I709" s="26"/>
      <c r="J709" s="98"/>
      <c r="K709" s="36"/>
      <c r="L709" s="26"/>
      <c r="M709" s="26"/>
      <c r="N709" s="26"/>
      <c r="O709" s="93"/>
      <c r="P709" s="95"/>
      <c r="Q709" s="196"/>
    </row>
    <row r="710" spans="3:17" x14ac:dyDescent="0.25">
      <c r="C710" s="198"/>
      <c r="D710" s="111"/>
      <c r="E710" s="33"/>
      <c r="F710" s="104"/>
      <c r="H710" s="115"/>
      <c r="I710" s="26"/>
      <c r="J710" s="98"/>
      <c r="K710" s="36"/>
      <c r="L710" s="26"/>
      <c r="M710" s="26"/>
      <c r="N710" s="26"/>
      <c r="O710" s="93"/>
      <c r="P710" s="95"/>
      <c r="Q710" s="196"/>
    </row>
    <row r="711" spans="3:17" x14ac:dyDescent="0.25">
      <c r="C711" s="198"/>
      <c r="D711" s="111"/>
      <c r="E711" s="33"/>
      <c r="F711" s="104"/>
      <c r="H711" s="115"/>
      <c r="I711" s="26"/>
      <c r="J711" s="98"/>
      <c r="K711" s="36"/>
      <c r="L711" s="26"/>
      <c r="M711" s="26"/>
      <c r="N711" s="26"/>
      <c r="O711" s="93"/>
      <c r="P711" s="95"/>
      <c r="Q711" s="196"/>
    </row>
    <row r="712" spans="3:17" x14ac:dyDescent="0.25">
      <c r="C712" s="198"/>
      <c r="D712" s="111"/>
      <c r="E712" s="33"/>
      <c r="F712" s="104"/>
      <c r="H712" s="115"/>
      <c r="I712" s="26"/>
      <c r="J712" s="98"/>
      <c r="K712" s="36"/>
      <c r="L712" s="26"/>
      <c r="M712" s="26"/>
      <c r="N712" s="26"/>
      <c r="O712" s="93"/>
      <c r="P712" s="95"/>
      <c r="Q712" s="196"/>
    </row>
    <row r="713" spans="3:17" x14ac:dyDescent="0.25">
      <c r="C713" s="198"/>
      <c r="D713" s="111"/>
      <c r="E713" s="33"/>
      <c r="F713" s="104"/>
      <c r="H713" s="115"/>
      <c r="I713" s="26"/>
      <c r="J713" s="98"/>
      <c r="K713" s="36"/>
      <c r="L713" s="26"/>
      <c r="M713" s="26"/>
      <c r="N713" s="26"/>
      <c r="O713" s="93"/>
      <c r="P713" s="95"/>
      <c r="Q713" s="196"/>
    </row>
    <row r="714" spans="3:17" x14ac:dyDescent="0.25">
      <c r="C714" s="198"/>
      <c r="D714" s="111"/>
      <c r="E714" s="33"/>
      <c r="F714" s="104"/>
      <c r="H714" s="115"/>
      <c r="I714" s="26"/>
      <c r="J714" s="98"/>
      <c r="K714" s="36"/>
      <c r="L714" s="26"/>
      <c r="M714" s="26"/>
      <c r="N714" s="26"/>
      <c r="O714" s="93"/>
      <c r="P714" s="95"/>
      <c r="Q714" s="196"/>
    </row>
    <row r="715" spans="3:17" x14ac:dyDescent="0.25">
      <c r="C715" s="198"/>
      <c r="D715" s="111"/>
      <c r="E715" s="33"/>
      <c r="F715" s="104"/>
      <c r="H715" s="115"/>
      <c r="I715" s="26"/>
      <c r="J715" s="98"/>
      <c r="K715" s="36"/>
      <c r="L715" s="26"/>
      <c r="M715" s="26"/>
      <c r="N715" s="26"/>
      <c r="O715" s="93"/>
      <c r="P715" s="95"/>
      <c r="Q715" s="196"/>
    </row>
    <row r="716" spans="3:17" x14ac:dyDescent="0.25">
      <c r="C716" s="198"/>
      <c r="D716" s="111"/>
      <c r="E716" s="33"/>
      <c r="F716" s="104"/>
      <c r="H716" s="115"/>
      <c r="I716" s="26"/>
      <c r="J716" s="98"/>
      <c r="K716" s="36"/>
      <c r="L716" s="26"/>
      <c r="M716" s="26"/>
      <c r="N716" s="26"/>
      <c r="O716" s="93"/>
      <c r="P716" s="95"/>
      <c r="Q716" s="196"/>
    </row>
    <row r="717" spans="3:17" x14ac:dyDescent="0.25">
      <c r="C717" s="198"/>
      <c r="D717" s="111"/>
      <c r="E717" s="33"/>
      <c r="F717" s="104"/>
      <c r="H717" s="115"/>
      <c r="I717" s="26"/>
      <c r="J717" s="98"/>
      <c r="K717" s="36"/>
      <c r="L717" s="26"/>
      <c r="M717" s="26"/>
      <c r="N717" s="26"/>
      <c r="O717" s="93"/>
      <c r="P717" s="95"/>
      <c r="Q717" s="196"/>
    </row>
    <row r="718" spans="3:17" x14ac:dyDescent="0.25">
      <c r="C718" s="198"/>
      <c r="D718" s="111"/>
      <c r="E718" s="33"/>
      <c r="F718" s="104"/>
      <c r="H718" s="115"/>
      <c r="I718" s="26"/>
      <c r="J718" s="98"/>
      <c r="K718" s="36"/>
      <c r="L718" s="26"/>
      <c r="M718" s="26"/>
      <c r="N718" s="26"/>
      <c r="O718" s="93"/>
      <c r="P718" s="95"/>
      <c r="Q718" s="196"/>
    </row>
    <row r="719" spans="3:17" x14ac:dyDescent="0.25">
      <c r="C719" s="198"/>
      <c r="D719" s="111"/>
      <c r="E719" s="33"/>
      <c r="F719" s="104"/>
      <c r="H719" s="115"/>
      <c r="I719" s="26"/>
      <c r="J719" s="98"/>
      <c r="K719" s="36"/>
      <c r="L719" s="26"/>
      <c r="M719" s="26"/>
      <c r="N719" s="26"/>
      <c r="O719" s="93"/>
      <c r="P719" s="95"/>
      <c r="Q719" s="196"/>
    </row>
    <row r="720" spans="3:17" x14ac:dyDescent="0.25">
      <c r="C720" s="198"/>
      <c r="D720" s="111"/>
      <c r="E720" s="33"/>
      <c r="F720" s="104"/>
      <c r="H720" s="115"/>
      <c r="I720" s="26"/>
      <c r="J720" s="98"/>
      <c r="K720" s="36"/>
      <c r="L720" s="26"/>
      <c r="M720" s="26"/>
      <c r="N720" s="26"/>
      <c r="O720" s="93"/>
      <c r="P720" s="95"/>
      <c r="Q720" s="196"/>
    </row>
    <row r="721" spans="3:17" x14ac:dyDescent="0.25">
      <c r="C721" s="198"/>
      <c r="D721" s="111"/>
      <c r="E721" s="33"/>
      <c r="F721" s="104"/>
      <c r="H721" s="115"/>
      <c r="I721" s="26"/>
      <c r="J721" s="98"/>
      <c r="K721" s="36"/>
      <c r="L721" s="26"/>
      <c r="M721" s="26"/>
      <c r="N721" s="26"/>
      <c r="O721" s="93"/>
      <c r="P721" s="95"/>
      <c r="Q721" s="196"/>
    </row>
    <row r="722" spans="3:17" x14ac:dyDescent="0.25">
      <c r="C722" s="198"/>
      <c r="D722" s="111"/>
      <c r="E722" s="33"/>
      <c r="F722" s="104"/>
      <c r="H722" s="115"/>
      <c r="I722" s="26"/>
      <c r="J722" s="98"/>
      <c r="K722" s="36"/>
      <c r="L722" s="26"/>
      <c r="M722" s="26"/>
      <c r="N722" s="26"/>
      <c r="O722" s="93"/>
      <c r="P722" s="95"/>
      <c r="Q722" s="196"/>
    </row>
    <row r="723" spans="3:17" x14ac:dyDescent="0.25">
      <c r="C723" s="198"/>
      <c r="D723" s="111"/>
      <c r="E723" s="33"/>
      <c r="F723" s="104"/>
      <c r="H723" s="115"/>
      <c r="I723" s="26"/>
      <c r="J723" s="98"/>
      <c r="K723" s="36"/>
      <c r="L723" s="26"/>
      <c r="M723" s="26"/>
      <c r="N723" s="26"/>
      <c r="O723" s="93"/>
      <c r="P723" s="95"/>
      <c r="Q723" s="196"/>
    </row>
    <row r="724" spans="3:17" x14ac:dyDescent="0.25">
      <c r="C724" s="198"/>
      <c r="D724" s="111"/>
      <c r="E724" s="33"/>
      <c r="F724" s="104"/>
      <c r="H724" s="115"/>
      <c r="I724" s="26"/>
      <c r="J724" s="98"/>
      <c r="K724" s="36"/>
      <c r="L724" s="26"/>
      <c r="M724" s="26"/>
      <c r="N724" s="26"/>
      <c r="O724" s="93"/>
      <c r="P724" s="95"/>
      <c r="Q724" s="196"/>
    </row>
    <row r="725" spans="3:17" x14ac:dyDescent="0.25">
      <c r="C725" s="198"/>
      <c r="D725" s="111"/>
      <c r="E725" s="33"/>
      <c r="F725" s="104"/>
      <c r="H725" s="115"/>
      <c r="I725" s="26"/>
      <c r="J725" s="98"/>
      <c r="K725" s="36"/>
      <c r="L725" s="26"/>
      <c r="M725" s="26"/>
      <c r="N725" s="26"/>
      <c r="O725" s="93"/>
      <c r="P725" s="95"/>
      <c r="Q725" s="196"/>
    </row>
    <row r="726" spans="3:17" x14ac:dyDescent="0.25">
      <c r="C726" s="198"/>
      <c r="D726" s="111"/>
      <c r="E726" s="33"/>
      <c r="F726" s="104"/>
      <c r="H726" s="115"/>
      <c r="I726" s="26"/>
      <c r="J726" s="98"/>
      <c r="K726" s="36"/>
      <c r="L726" s="26"/>
      <c r="M726" s="26"/>
      <c r="N726" s="26"/>
      <c r="O726" s="93"/>
      <c r="P726" s="95"/>
      <c r="Q726" s="196"/>
    </row>
    <row r="727" spans="3:17" x14ac:dyDescent="0.25">
      <c r="C727" s="198"/>
      <c r="D727" s="111"/>
      <c r="E727" s="33"/>
      <c r="F727" s="104"/>
      <c r="H727" s="115"/>
      <c r="I727" s="26"/>
      <c r="J727" s="98"/>
      <c r="K727" s="36"/>
      <c r="L727" s="26"/>
      <c r="M727" s="26"/>
      <c r="N727" s="26"/>
      <c r="O727" s="93"/>
      <c r="P727" s="95"/>
      <c r="Q727" s="196"/>
    </row>
    <row r="728" spans="3:17" x14ac:dyDescent="0.25">
      <c r="C728" s="198"/>
      <c r="D728" s="111"/>
      <c r="E728" s="33"/>
      <c r="F728" s="104"/>
      <c r="H728" s="115"/>
      <c r="I728" s="26"/>
      <c r="J728" s="98"/>
      <c r="K728" s="36"/>
      <c r="L728" s="26"/>
      <c r="M728" s="26"/>
      <c r="N728" s="26"/>
      <c r="O728" s="93"/>
      <c r="P728" s="95"/>
      <c r="Q728" s="196"/>
    </row>
    <row r="729" spans="3:17" x14ac:dyDescent="0.25">
      <c r="C729" s="198"/>
      <c r="D729" s="111"/>
      <c r="E729" s="33"/>
      <c r="F729" s="104"/>
      <c r="H729" s="115"/>
      <c r="I729" s="26"/>
      <c r="J729" s="98"/>
      <c r="K729" s="36"/>
      <c r="L729" s="26"/>
      <c r="M729" s="26"/>
      <c r="N729" s="26"/>
      <c r="O729" s="93"/>
      <c r="P729" s="95"/>
      <c r="Q729" s="196"/>
    </row>
    <row r="730" spans="3:17" x14ac:dyDescent="0.25">
      <c r="C730" s="198"/>
      <c r="D730" s="111"/>
      <c r="E730" s="33"/>
      <c r="F730" s="104"/>
      <c r="H730" s="115"/>
      <c r="I730" s="26"/>
      <c r="J730" s="98"/>
      <c r="K730" s="36"/>
      <c r="L730" s="26"/>
      <c r="M730" s="26"/>
      <c r="N730" s="26"/>
      <c r="O730" s="93"/>
      <c r="P730" s="95"/>
      <c r="Q730" s="196"/>
    </row>
    <row r="731" spans="3:17" x14ac:dyDescent="0.25">
      <c r="C731" s="198"/>
      <c r="D731" s="111"/>
      <c r="E731" s="33"/>
      <c r="F731" s="104"/>
      <c r="H731" s="115"/>
      <c r="I731" s="26"/>
      <c r="J731" s="98"/>
      <c r="K731" s="36"/>
      <c r="L731" s="26"/>
      <c r="M731" s="26"/>
      <c r="N731" s="26"/>
      <c r="O731" s="93"/>
      <c r="P731" s="95"/>
      <c r="Q731" s="196"/>
    </row>
    <row r="732" spans="3:17" x14ac:dyDescent="0.25">
      <c r="C732" s="198"/>
      <c r="D732" s="111"/>
      <c r="E732" s="33"/>
      <c r="F732" s="104"/>
      <c r="H732" s="115"/>
      <c r="I732" s="26"/>
      <c r="J732" s="98"/>
      <c r="K732" s="36"/>
      <c r="L732" s="26"/>
      <c r="M732" s="26"/>
      <c r="N732" s="26"/>
      <c r="O732" s="93"/>
      <c r="P732" s="95"/>
      <c r="Q732" s="196"/>
    </row>
    <row r="733" spans="3:17" x14ac:dyDescent="0.25">
      <c r="C733" s="198"/>
      <c r="D733" s="111"/>
      <c r="E733" s="33"/>
      <c r="F733" s="104"/>
      <c r="H733" s="115"/>
      <c r="I733" s="26"/>
      <c r="J733" s="98"/>
      <c r="K733" s="36"/>
      <c r="L733" s="26"/>
      <c r="M733" s="26"/>
      <c r="N733" s="26"/>
      <c r="O733" s="93"/>
      <c r="P733" s="95"/>
      <c r="Q733" s="196"/>
    </row>
    <row r="734" spans="3:17" x14ac:dyDescent="0.25">
      <c r="C734" s="198"/>
      <c r="D734" s="111"/>
      <c r="E734" s="33"/>
      <c r="F734" s="104"/>
      <c r="H734" s="115"/>
      <c r="I734" s="26"/>
      <c r="J734" s="98"/>
      <c r="K734" s="36"/>
      <c r="L734" s="26"/>
      <c r="M734" s="26"/>
      <c r="N734" s="26"/>
      <c r="O734" s="93"/>
      <c r="P734" s="95"/>
      <c r="Q734" s="196"/>
    </row>
    <row r="735" spans="3:17" x14ac:dyDescent="0.25">
      <c r="C735" s="198"/>
      <c r="D735" s="111"/>
      <c r="E735" s="33"/>
      <c r="F735" s="104"/>
      <c r="H735" s="115"/>
      <c r="I735" s="26"/>
      <c r="J735" s="98"/>
      <c r="K735" s="36"/>
      <c r="L735" s="26"/>
      <c r="M735" s="26"/>
      <c r="N735" s="26"/>
      <c r="O735" s="93"/>
      <c r="P735" s="95"/>
      <c r="Q735" s="196"/>
    </row>
    <row r="736" spans="3:17" x14ac:dyDescent="0.25">
      <c r="C736" s="198"/>
      <c r="D736" s="111"/>
      <c r="E736" s="33"/>
      <c r="F736" s="104"/>
      <c r="H736" s="115"/>
      <c r="I736" s="26"/>
      <c r="J736" s="98"/>
      <c r="K736" s="36"/>
      <c r="L736" s="26"/>
      <c r="M736" s="26"/>
      <c r="N736" s="26"/>
      <c r="O736" s="93"/>
      <c r="P736" s="95"/>
      <c r="Q736" s="196"/>
    </row>
    <row r="737" spans="3:17" x14ac:dyDescent="0.25">
      <c r="C737" s="198"/>
      <c r="D737" s="111"/>
      <c r="E737" s="33"/>
      <c r="F737" s="104"/>
      <c r="H737" s="115"/>
      <c r="I737" s="26"/>
      <c r="J737" s="98"/>
      <c r="K737" s="36"/>
      <c r="L737" s="26"/>
      <c r="M737" s="26"/>
      <c r="N737" s="26"/>
      <c r="O737" s="93"/>
      <c r="P737" s="95"/>
      <c r="Q737" s="196"/>
    </row>
    <row r="738" spans="3:17" x14ac:dyDescent="0.25">
      <c r="C738" s="198"/>
      <c r="D738" s="111"/>
      <c r="E738" s="33"/>
      <c r="F738" s="104"/>
      <c r="H738" s="115"/>
      <c r="I738" s="26"/>
      <c r="J738" s="98"/>
      <c r="K738" s="36"/>
      <c r="L738" s="26"/>
      <c r="M738" s="26"/>
      <c r="N738" s="26"/>
      <c r="O738" s="93"/>
      <c r="P738" s="95"/>
      <c r="Q738" s="196"/>
    </row>
    <row r="739" spans="3:17" x14ac:dyDescent="0.25">
      <c r="C739" s="198"/>
      <c r="D739" s="111"/>
      <c r="E739" s="33"/>
      <c r="F739" s="104"/>
      <c r="H739" s="115"/>
      <c r="I739" s="26"/>
      <c r="J739" s="98"/>
      <c r="K739" s="36"/>
      <c r="L739" s="26"/>
      <c r="M739" s="26"/>
      <c r="N739" s="26"/>
      <c r="O739" s="93"/>
      <c r="P739" s="95"/>
      <c r="Q739" s="196"/>
    </row>
    <row r="740" spans="3:17" x14ac:dyDescent="0.25">
      <c r="C740" s="198"/>
      <c r="D740" s="111"/>
      <c r="E740" s="33"/>
      <c r="F740" s="104"/>
      <c r="H740" s="115"/>
      <c r="I740" s="26"/>
      <c r="J740" s="98"/>
      <c r="K740" s="36"/>
      <c r="L740" s="26"/>
      <c r="M740" s="26"/>
      <c r="N740" s="26"/>
      <c r="O740" s="93"/>
      <c r="P740" s="95"/>
      <c r="Q740" s="196"/>
    </row>
    <row r="741" spans="3:17" x14ac:dyDescent="0.25">
      <c r="C741" s="198"/>
      <c r="D741" s="111"/>
      <c r="E741" s="33"/>
      <c r="F741" s="104"/>
      <c r="H741" s="115"/>
      <c r="I741" s="26"/>
      <c r="J741" s="98"/>
      <c r="K741" s="36"/>
      <c r="L741" s="26"/>
      <c r="M741" s="26"/>
      <c r="N741" s="26"/>
      <c r="O741" s="93"/>
      <c r="P741" s="95"/>
      <c r="Q741" s="196"/>
    </row>
    <row r="742" spans="3:17" x14ac:dyDescent="0.25">
      <c r="C742" s="198"/>
      <c r="D742" s="111"/>
      <c r="E742" s="33"/>
      <c r="F742" s="104"/>
      <c r="H742" s="115"/>
      <c r="I742" s="26"/>
      <c r="J742" s="98"/>
      <c r="K742" s="36"/>
      <c r="L742" s="26"/>
      <c r="M742" s="26"/>
      <c r="N742" s="26"/>
      <c r="O742" s="93"/>
      <c r="P742" s="95"/>
      <c r="Q742" s="196"/>
    </row>
    <row r="743" spans="3:17" x14ac:dyDescent="0.25">
      <c r="C743" s="198"/>
      <c r="D743" s="111"/>
      <c r="E743" s="33"/>
      <c r="F743" s="104"/>
      <c r="H743" s="115"/>
      <c r="I743" s="26"/>
      <c r="J743" s="98"/>
      <c r="K743" s="36"/>
      <c r="L743" s="26"/>
      <c r="M743" s="26"/>
      <c r="N743" s="26"/>
      <c r="O743" s="93"/>
      <c r="P743" s="95"/>
      <c r="Q743" s="196"/>
    </row>
    <row r="744" spans="3:17" x14ac:dyDescent="0.25">
      <c r="C744" s="198"/>
      <c r="D744" s="111"/>
      <c r="E744" s="33"/>
      <c r="F744" s="104"/>
      <c r="H744" s="115"/>
      <c r="I744" s="26"/>
      <c r="J744" s="98"/>
      <c r="K744" s="36"/>
      <c r="L744" s="26"/>
      <c r="M744" s="26"/>
      <c r="N744" s="26"/>
      <c r="O744" s="93"/>
      <c r="P744" s="95"/>
      <c r="Q744" s="196"/>
    </row>
    <row r="745" spans="3:17" x14ac:dyDescent="0.25">
      <c r="C745" s="198"/>
      <c r="D745" s="111"/>
      <c r="E745" s="33"/>
      <c r="F745" s="104"/>
      <c r="H745" s="115"/>
      <c r="I745" s="26"/>
      <c r="J745" s="98"/>
      <c r="K745" s="36"/>
      <c r="L745" s="26"/>
      <c r="M745" s="26"/>
      <c r="N745" s="26"/>
      <c r="O745" s="93"/>
      <c r="P745" s="95"/>
      <c r="Q745" s="196"/>
    </row>
    <row r="746" spans="3:17" x14ac:dyDescent="0.25">
      <c r="C746" s="198"/>
      <c r="D746" s="111"/>
      <c r="E746" s="33"/>
      <c r="F746" s="104"/>
      <c r="H746" s="115"/>
      <c r="I746" s="26"/>
      <c r="J746" s="98"/>
      <c r="K746" s="36"/>
      <c r="L746" s="26"/>
      <c r="M746" s="26"/>
      <c r="N746" s="26"/>
      <c r="O746" s="93"/>
      <c r="P746" s="95"/>
      <c r="Q746" s="196"/>
    </row>
    <row r="747" spans="3:17" x14ac:dyDescent="0.25">
      <c r="C747" s="198"/>
      <c r="D747" s="111"/>
      <c r="E747" s="33"/>
      <c r="F747" s="104"/>
      <c r="H747" s="115"/>
      <c r="I747" s="26"/>
      <c r="J747" s="98"/>
      <c r="K747" s="36"/>
      <c r="L747" s="26"/>
      <c r="M747" s="26"/>
      <c r="N747" s="26"/>
      <c r="O747" s="93"/>
      <c r="P747" s="95"/>
      <c r="Q747" s="196"/>
    </row>
    <row r="748" spans="3:17" x14ac:dyDescent="0.25">
      <c r="C748" s="198"/>
      <c r="D748" s="111"/>
      <c r="E748" s="33"/>
      <c r="F748" s="104"/>
      <c r="H748" s="115"/>
      <c r="I748" s="26"/>
      <c r="J748" s="98"/>
      <c r="K748" s="36"/>
      <c r="L748" s="26"/>
      <c r="M748" s="26"/>
      <c r="N748" s="26"/>
      <c r="O748" s="93"/>
      <c r="P748" s="95"/>
      <c r="Q748" s="196"/>
    </row>
    <row r="749" spans="3:17" x14ac:dyDescent="0.25">
      <c r="C749" s="198"/>
      <c r="D749" s="111"/>
      <c r="E749" s="33"/>
      <c r="F749" s="104"/>
      <c r="H749" s="115"/>
      <c r="I749" s="26"/>
      <c r="J749" s="98"/>
      <c r="K749" s="36"/>
      <c r="L749" s="26"/>
      <c r="M749" s="26"/>
      <c r="N749" s="26"/>
      <c r="O749" s="93"/>
      <c r="P749" s="95"/>
      <c r="Q749" s="196"/>
    </row>
    <row r="750" spans="3:17" x14ac:dyDescent="0.25">
      <c r="C750" s="198"/>
      <c r="D750" s="111"/>
      <c r="E750" s="33"/>
      <c r="F750" s="104"/>
      <c r="H750" s="115"/>
      <c r="I750" s="26"/>
      <c r="J750" s="98"/>
      <c r="K750" s="36"/>
      <c r="L750" s="26"/>
      <c r="M750" s="26"/>
      <c r="N750" s="26"/>
      <c r="O750" s="93"/>
      <c r="P750" s="95"/>
      <c r="Q750" s="196"/>
    </row>
    <row r="751" spans="3:17" x14ac:dyDescent="0.25">
      <c r="C751" s="198"/>
      <c r="D751" s="111"/>
      <c r="E751" s="33"/>
      <c r="F751" s="104"/>
      <c r="H751" s="115"/>
      <c r="I751" s="26"/>
      <c r="J751" s="98"/>
      <c r="K751" s="36"/>
      <c r="L751" s="26"/>
      <c r="M751" s="26"/>
      <c r="N751" s="26"/>
      <c r="O751" s="93"/>
      <c r="P751" s="95"/>
      <c r="Q751" s="196"/>
    </row>
    <row r="752" spans="3:17" x14ac:dyDescent="0.25">
      <c r="C752" s="198"/>
      <c r="D752" s="111"/>
      <c r="E752" s="33"/>
      <c r="F752" s="104"/>
      <c r="H752" s="115"/>
      <c r="I752" s="26"/>
      <c r="J752" s="98"/>
      <c r="K752" s="36"/>
      <c r="L752" s="26"/>
      <c r="M752" s="26"/>
      <c r="N752" s="26"/>
      <c r="O752" s="93"/>
      <c r="P752" s="95"/>
      <c r="Q752" s="196"/>
    </row>
    <row r="753" spans="3:17" x14ac:dyDescent="0.25">
      <c r="C753" s="198"/>
      <c r="D753" s="111"/>
      <c r="E753" s="33"/>
      <c r="F753" s="104"/>
      <c r="H753" s="115"/>
      <c r="I753" s="26"/>
      <c r="J753" s="98"/>
      <c r="K753" s="36"/>
      <c r="L753" s="26"/>
      <c r="M753" s="26"/>
      <c r="N753" s="26"/>
      <c r="O753" s="93"/>
      <c r="P753" s="95"/>
      <c r="Q753" s="196"/>
    </row>
    <row r="754" spans="3:17" x14ac:dyDescent="0.25">
      <c r="C754" s="198"/>
      <c r="D754" s="111"/>
      <c r="E754" s="33"/>
      <c r="F754" s="104"/>
      <c r="H754" s="115"/>
      <c r="I754" s="26"/>
      <c r="J754" s="98"/>
      <c r="K754" s="36"/>
      <c r="L754" s="26"/>
      <c r="M754" s="26"/>
      <c r="N754" s="26"/>
      <c r="O754" s="93"/>
      <c r="P754" s="95"/>
      <c r="Q754" s="196"/>
    </row>
    <row r="755" spans="3:17" x14ac:dyDescent="0.25">
      <c r="C755" s="198"/>
      <c r="D755" s="111"/>
      <c r="E755" s="33"/>
      <c r="F755" s="104"/>
      <c r="H755" s="115"/>
      <c r="I755" s="26"/>
      <c r="J755" s="98"/>
      <c r="K755" s="36"/>
      <c r="L755" s="26"/>
      <c r="M755" s="26"/>
      <c r="N755" s="26"/>
      <c r="O755" s="93"/>
      <c r="P755" s="95"/>
      <c r="Q755" s="196"/>
    </row>
    <row r="756" spans="3:17" x14ac:dyDescent="0.25">
      <c r="C756" s="198"/>
      <c r="D756" s="111"/>
      <c r="E756" s="33"/>
      <c r="F756" s="104"/>
      <c r="H756" s="115"/>
      <c r="I756" s="26"/>
      <c r="J756" s="98"/>
      <c r="K756" s="36"/>
      <c r="L756" s="26"/>
      <c r="M756" s="26"/>
      <c r="N756" s="26"/>
      <c r="O756" s="93"/>
      <c r="P756" s="95"/>
      <c r="Q756" s="196"/>
    </row>
    <row r="757" spans="3:17" x14ac:dyDescent="0.25">
      <c r="C757" s="198"/>
      <c r="D757" s="111"/>
      <c r="E757" s="33"/>
      <c r="F757" s="104"/>
      <c r="H757" s="115"/>
      <c r="I757" s="26"/>
      <c r="J757" s="98"/>
      <c r="K757" s="36"/>
      <c r="L757" s="26"/>
      <c r="M757" s="26"/>
      <c r="N757" s="26"/>
      <c r="O757" s="93"/>
      <c r="P757" s="95"/>
      <c r="Q757" s="196"/>
    </row>
    <row r="758" spans="3:17" x14ac:dyDescent="0.25">
      <c r="C758" s="198"/>
      <c r="D758" s="111"/>
      <c r="E758" s="33"/>
      <c r="F758" s="104"/>
      <c r="H758" s="115"/>
      <c r="I758" s="26"/>
      <c r="J758" s="98"/>
      <c r="K758" s="36"/>
      <c r="L758" s="26"/>
      <c r="M758" s="26"/>
      <c r="N758" s="26"/>
      <c r="O758" s="93"/>
      <c r="P758" s="95"/>
      <c r="Q758" s="196"/>
    </row>
    <row r="759" spans="3:17" x14ac:dyDescent="0.25">
      <c r="C759" s="198"/>
      <c r="D759" s="111"/>
      <c r="E759" s="33"/>
      <c r="F759" s="104"/>
      <c r="H759" s="115"/>
      <c r="I759" s="26"/>
      <c r="J759" s="98"/>
      <c r="K759" s="36"/>
      <c r="L759" s="26"/>
      <c r="M759" s="26"/>
      <c r="N759" s="26"/>
      <c r="O759" s="93"/>
      <c r="P759" s="95"/>
      <c r="Q759" s="196"/>
    </row>
    <row r="760" spans="3:17" x14ac:dyDescent="0.25">
      <c r="C760" s="198"/>
      <c r="D760" s="111"/>
      <c r="E760" s="33"/>
      <c r="F760" s="104"/>
      <c r="H760" s="115"/>
      <c r="I760" s="26"/>
      <c r="J760" s="98"/>
      <c r="K760" s="36"/>
      <c r="L760" s="26"/>
      <c r="M760" s="26"/>
      <c r="N760" s="26"/>
      <c r="O760" s="93"/>
      <c r="P760" s="95"/>
      <c r="Q760" s="196"/>
    </row>
    <row r="761" spans="3:17" x14ac:dyDescent="0.25">
      <c r="C761" s="198"/>
      <c r="D761" s="111"/>
      <c r="E761" s="33"/>
      <c r="F761" s="104"/>
      <c r="H761" s="115"/>
      <c r="I761" s="26"/>
      <c r="J761" s="98"/>
      <c r="K761" s="36"/>
      <c r="L761" s="26"/>
      <c r="M761" s="26"/>
      <c r="N761" s="26"/>
      <c r="O761" s="93"/>
      <c r="P761" s="95"/>
      <c r="Q761" s="196"/>
    </row>
    <row r="762" spans="3:17" x14ac:dyDescent="0.25">
      <c r="C762" s="198"/>
      <c r="D762" s="111"/>
      <c r="E762" s="33"/>
      <c r="F762" s="104"/>
      <c r="H762" s="115"/>
      <c r="I762" s="26"/>
      <c r="J762" s="98"/>
      <c r="K762" s="36"/>
      <c r="L762" s="26"/>
      <c r="M762" s="26"/>
      <c r="N762" s="26"/>
      <c r="O762" s="93"/>
      <c r="P762" s="95"/>
      <c r="Q762" s="196"/>
    </row>
    <row r="763" spans="3:17" x14ac:dyDescent="0.25">
      <c r="C763" s="198"/>
      <c r="D763" s="111"/>
      <c r="E763" s="33"/>
      <c r="F763" s="104"/>
      <c r="H763" s="115"/>
      <c r="I763" s="26"/>
      <c r="J763" s="98"/>
      <c r="K763" s="36"/>
      <c r="L763" s="26"/>
      <c r="M763" s="26"/>
      <c r="N763" s="26"/>
      <c r="O763" s="93"/>
      <c r="P763" s="95"/>
      <c r="Q763" s="196"/>
    </row>
    <row r="764" spans="3:17" x14ac:dyDescent="0.25">
      <c r="C764" s="198"/>
      <c r="D764" s="111"/>
      <c r="E764" s="33"/>
      <c r="F764" s="104"/>
      <c r="H764" s="115"/>
      <c r="I764" s="26"/>
      <c r="J764" s="98"/>
      <c r="K764" s="36"/>
      <c r="L764" s="26"/>
      <c r="M764" s="26"/>
      <c r="N764" s="26"/>
      <c r="O764" s="93"/>
      <c r="P764" s="95"/>
      <c r="Q764" s="196"/>
    </row>
    <row r="765" spans="3:17" x14ac:dyDescent="0.25">
      <c r="C765" s="198"/>
      <c r="D765" s="111"/>
      <c r="E765" s="33"/>
      <c r="F765" s="104"/>
      <c r="H765" s="115"/>
      <c r="I765" s="26"/>
      <c r="J765" s="98"/>
      <c r="K765" s="36"/>
      <c r="L765" s="26"/>
      <c r="M765" s="26"/>
      <c r="N765" s="26"/>
      <c r="O765" s="93"/>
      <c r="P765" s="95"/>
      <c r="Q765" s="196"/>
    </row>
    <row r="766" spans="3:17" x14ac:dyDescent="0.25">
      <c r="C766" s="198"/>
      <c r="D766" s="111"/>
      <c r="E766" s="33"/>
      <c r="F766" s="104"/>
      <c r="H766" s="115"/>
      <c r="I766" s="26"/>
      <c r="J766" s="98"/>
      <c r="K766" s="36"/>
      <c r="L766" s="26"/>
      <c r="M766" s="26"/>
      <c r="N766" s="26"/>
      <c r="O766" s="93"/>
      <c r="P766" s="95"/>
      <c r="Q766" s="196"/>
    </row>
    <row r="767" spans="3:17" x14ac:dyDescent="0.25">
      <c r="C767" s="198"/>
      <c r="D767" s="111"/>
      <c r="E767" s="33"/>
      <c r="F767" s="104"/>
      <c r="H767" s="115"/>
      <c r="I767" s="26"/>
      <c r="J767" s="98"/>
      <c r="K767" s="36"/>
      <c r="L767" s="26"/>
      <c r="M767" s="26"/>
      <c r="N767" s="26"/>
      <c r="O767" s="93"/>
      <c r="P767" s="95"/>
      <c r="Q767" s="196"/>
    </row>
    <row r="768" spans="3:17" x14ac:dyDescent="0.25">
      <c r="C768" s="198"/>
      <c r="D768" s="111"/>
      <c r="E768" s="33"/>
      <c r="F768" s="104"/>
      <c r="H768" s="115"/>
      <c r="I768" s="26"/>
      <c r="J768" s="98"/>
      <c r="K768" s="36"/>
      <c r="L768" s="26"/>
      <c r="M768" s="26"/>
      <c r="N768" s="26"/>
      <c r="O768" s="93"/>
      <c r="P768" s="95"/>
      <c r="Q768" s="196"/>
    </row>
    <row r="769" spans="3:17" x14ac:dyDescent="0.25">
      <c r="C769" s="198"/>
      <c r="D769" s="111"/>
      <c r="E769" s="33"/>
      <c r="F769" s="104"/>
      <c r="H769" s="115"/>
      <c r="I769" s="26"/>
      <c r="J769" s="98"/>
      <c r="K769" s="36"/>
      <c r="L769" s="26"/>
      <c r="M769" s="26"/>
      <c r="N769" s="26"/>
      <c r="O769" s="93"/>
      <c r="P769" s="95"/>
      <c r="Q769" s="196"/>
    </row>
    <row r="770" spans="3:17" x14ac:dyDescent="0.25">
      <c r="C770" s="198"/>
      <c r="D770" s="111"/>
      <c r="E770" s="33"/>
      <c r="F770" s="104"/>
      <c r="H770" s="115"/>
      <c r="I770" s="26"/>
      <c r="J770" s="98"/>
      <c r="K770" s="36"/>
      <c r="L770" s="26"/>
      <c r="M770" s="26"/>
      <c r="N770" s="26"/>
      <c r="O770" s="93"/>
      <c r="P770" s="95"/>
      <c r="Q770" s="196"/>
    </row>
    <row r="771" spans="3:17" x14ac:dyDescent="0.25">
      <c r="C771" s="198"/>
      <c r="D771" s="111"/>
      <c r="E771" s="33"/>
      <c r="F771" s="104"/>
      <c r="H771" s="115"/>
      <c r="I771" s="26"/>
      <c r="J771" s="98"/>
      <c r="K771" s="36"/>
      <c r="L771" s="26"/>
      <c r="M771" s="26"/>
      <c r="N771" s="26"/>
      <c r="O771" s="93"/>
      <c r="P771" s="95"/>
      <c r="Q771" s="196"/>
    </row>
    <row r="772" spans="3:17" x14ac:dyDescent="0.25">
      <c r="C772" s="198"/>
      <c r="D772" s="111"/>
      <c r="E772" s="33"/>
      <c r="F772" s="104"/>
      <c r="H772" s="115"/>
      <c r="I772" s="26"/>
      <c r="J772" s="98"/>
      <c r="K772" s="36"/>
      <c r="L772" s="26"/>
      <c r="M772" s="26"/>
      <c r="N772" s="26"/>
      <c r="O772" s="93"/>
      <c r="P772" s="95"/>
      <c r="Q772" s="196"/>
    </row>
    <row r="773" spans="3:17" x14ac:dyDescent="0.25">
      <c r="C773" s="198"/>
      <c r="D773" s="111"/>
      <c r="E773" s="33"/>
      <c r="F773" s="104"/>
      <c r="H773" s="115"/>
      <c r="I773" s="26"/>
      <c r="J773" s="98"/>
      <c r="K773" s="36"/>
      <c r="L773" s="26"/>
      <c r="M773" s="26"/>
      <c r="N773" s="26"/>
      <c r="O773" s="93"/>
      <c r="P773" s="95"/>
      <c r="Q773" s="196"/>
    </row>
    <row r="774" spans="3:17" x14ac:dyDescent="0.25">
      <c r="C774" s="198"/>
      <c r="D774" s="111"/>
      <c r="E774" s="33"/>
      <c r="F774" s="104"/>
      <c r="H774" s="115"/>
      <c r="I774" s="26"/>
      <c r="J774" s="98"/>
      <c r="K774" s="36"/>
      <c r="L774" s="26"/>
      <c r="M774" s="26"/>
      <c r="N774" s="26"/>
      <c r="O774" s="93"/>
      <c r="P774" s="95"/>
      <c r="Q774" s="196"/>
    </row>
    <row r="775" spans="3:17" x14ac:dyDescent="0.25">
      <c r="C775" s="198"/>
      <c r="D775" s="111"/>
      <c r="E775" s="33"/>
      <c r="F775" s="104"/>
      <c r="H775" s="115"/>
      <c r="I775" s="26"/>
      <c r="J775" s="98"/>
      <c r="K775" s="36"/>
      <c r="L775" s="26"/>
      <c r="M775" s="26"/>
      <c r="N775" s="26"/>
      <c r="O775" s="93"/>
      <c r="P775" s="95"/>
      <c r="Q775" s="196"/>
    </row>
    <row r="776" spans="3:17" x14ac:dyDescent="0.25">
      <c r="C776" s="198"/>
      <c r="D776" s="111"/>
      <c r="E776" s="33"/>
      <c r="F776" s="104"/>
      <c r="H776" s="115"/>
      <c r="I776" s="26"/>
      <c r="J776" s="98"/>
      <c r="K776" s="36"/>
      <c r="L776" s="26"/>
      <c r="M776" s="26"/>
      <c r="N776" s="26"/>
      <c r="O776" s="93"/>
      <c r="P776" s="95"/>
      <c r="Q776" s="196"/>
    </row>
    <row r="777" spans="3:17" x14ac:dyDescent="0.25">
      <c r="C777" s="198"/>
      <c r="D777" s="111"/>
      <c r="E777" s="33"/>
      <c r="F777" s="104"/>
      <c r="H777" s="115"/>
      <c r="I777" s="26"/>
      <c r="J777" s="98"/>
      <c r="K777" s="36"/>
      <c r="L777" s="26"/>
      <c r="M777" s="26"/>
      <c r="N777" s="26"/>
      <c r="O777" s="93"/>
      <c r="P777" s="95"/>
      <c r="Q777" s="196"/>
    </row>
    <row r="778" spans="3:17" x14ac:dyDescent="0.25">
      <c r="C778" s="198"/>
      <c r="D778" s="111"/>
      <c r="E778" s="33"/>
      <c r="F778" s="104"/>
      <c r="H778" s="115"/>
      <c r="I778" s="26"/>
      <c r="J778" s="98"/>
      <c r="K778" s="36"/>
      <c r="L778" s="26"/>
      <c r="M778" s="26"/>
      <c r="N778" s="26"/>
      <c r="O778" s="93"/>
      <c r="P778" s="95"/>
      <c r="Q778" s="196"/>
    </row>
    <row r="779" spans="3:17" x14ac:dyDescent="0.25">
      <c r="C779" s="198"/>
      <c r="D779" s="111"/>
      <c r="E779" s="33"/>
      <c r="F779" s="104"/>
      <c r="H779" s="115"/>
      <c r="I779" s="26"/>
      <c r="J779" s="98"/>
      <c r="K779" s="36"/>
      <c r="L779" s="26"/>
      <c r="M779" s="26"/>
      <c r="N779" s="26"/>
      <c r="O779" s="93"/>
      <c r="P779" s="95"/>
      <c r="Q779" s="196"/>
    </row>
    <row r="780" spans="3:17" x14ac:dyDescent="0.25">
      <c r="C780" s="198"/>
      <c r="D780" s="111"/>
      <c r="E780" s="33"/>
      <c r="F780" s="104"/>
      <c r="H780" s="115"/>
      <c r="I780" s="26"/>
      <c r="J780" s="98"/>
      <c r="K780" s="36"/>
      <c r="L780" s="26"/>
      <c r="M780" s="26"/>
      <c r="N780" s="26"/>
      <c r="O780" s="93"/>
      <c r="P780" s="95"/>
      <c r="Q780" s="196"/>
    </row>
    <row r="781" spans="3:17" x14ac:dyDescent="0.25">
      <c r="C781" s="198"/>
      <c r="D781" s="111"/>
      <c r="E781" s="33"/>
      <c r="F781" s="104"/>
      <c r="H781" s="115"/>
      <c r="I781" s="26"/>
      <c r="J781" s="98"/>
      <c r="K781" s="36"/>
      <c r="L781" s="26"/>
      <c r="M781" s="26"/>
      <c r="N781" s="26"/>
      <c r="O781" s="93"/>
      <c r="P781" s="95"/>
      <c r="Q781" s="196"/>
    </row>
    <row r="782" spans="3:17" x14ac:dyDescent="0.25">
      <c r="C782" s="198"/>
      <c r="D782" s="111"/>
      <c r="E782" s="33"/>
      <c r="F782" s="104"/>
      <c r="H782" s="115"/>
      <c r="I782" s="26"/>
      <c r="J782" s="98"/>
      <c r="K782" s="36"/>
      <c r="L782" s="26"/>
      <c r="M782" s="26"/>
      <c r="N782" s="26"/>
      <c r="O782" s="93"/>
      <c r="P782" s="95"/>
      <c r="Q782" s="196"/>
    </row>
    <row r="783" spans="3:17" x14ac:dyDescent="0.25">
      <c r="C783" s="198"/>
      <c r="D783" s="111"/>
      <c r="E783" s="33"/>
      <c r="F783" s="104"/>
      <c r="H783" s="115"/>
      <c r="I783" s="26"/>
      <c r="J783" s="98"/>
      <c r="K783" s="36"/>
      <c r="L783" s="26"/>
      <c r="M783" s="26"/>
      <c r="N783" s="26"/>
      <c r="O783" s="93"/>
      <c r="P783" s="95"/>
      <c r="Q783" s="196"/>
    </row>
    <row r="784" spans="3:17" x14ac:dyDescent="0.25">
      <c r="C784" s="198"/>
      <c r="D784" s="111"/>
      <c r="E784" s="33"/>
      <c r="F784" s="104"/>
      <c r="H784" s="115"/>
      <c r="I784" s="26"/>
      <c r="J784" s="98"/>
      <c r="K784" s="36"/>
      <c r="L784" s="26"/>
      <c r="M784" s="26"/>
      <c r="N784" s="26"/>
      <c r="O784" s="93"/>
      <c r="P784" s="95"/>
      <c r="Q784" s="196"/>
    </row>
    <row r="785" spans="3:17" x14ac:dyDescent="0.25">
      <c r="C785" s="198"/>
      <c r="D785" s="111"/>
      <c r="E785" s="33"/>
      <c r="F785" s="104"/>
      <c r="H785" s="115"/>
      <c r="I785" s="26"/>
      <c r="J785" s="98"/>
      <c r="K785" s="36"/>
      <c r="L785" s="26"/>
      <c r="M785" s="26"/>
      <c r="N785" s="26"/>
      <c r="O785" s="93"/>
      <c r="P785" s="95"/>
      <c r="Q785" s="196"/>
    </row>
    <row r="786" spans="3:17" x14ac:dyDescent="0.25">
      <c r="C786" s="198"/>
      <c r="D786" s="111"/>
      <c r="E786" s="33"/>
      <c r="F786" s="104"/>
      <c r="H786" s="115"/>
      <c r="I786" s="26"/>
      <c r="J786" s="98"/>
      <c r="K786" s="36"/>
      <c r="L786" s="26"/>
      <c r="M786" s="26"/>
      <c r="N786" s="26"/>
      <c r="O786" s="93"/>
      <c r="P786" s="95"/>
      <c r="Q786" s="196"/>
    </row>
    <row r="787" spans="3:17" x14ac:dyDescent="0.25">
      <c r="C787" s="198"/>
      <c r="D787" s="111"/>
      <c r="E787" s="33"/>
      <c r="F787" s="104"/>
      <c r="H787" s="115"/>
      <c r="I787" s="26"/>
      <c r="J787" s="98"/>
      <c r="K787" s="36"/>
      <c r="L787" s="26"/>
      <c r="M787" s="26"/>
      <c r="N787" s="26"/>
      <c r="O787" s="93"/>
      <c r="P787" s="95"/>
      <c r="Q787" s="196"/>
    </row>
    <row r="788" spans="3:17" x14ac:dyDescent="0.25">
      <c r="C788" s="198"/>
      <c r="D788" s="111"/>
      <c r="E788" s="33"/>
      <c r="F788" s="104"/>
      <c r="H788" s="115"/>
      <c r="I788" s="26"/>
      <c r="J788" s="98"/>
      <c r="K788" s="36"/>
      <c r="L788" s="26"/>
      <c r="M788" s="26"/>
      <c r="N788" s="26"/>
      <c r="O788" s="93"/>
      <c r="P788" s="95"/>
      <c r="Q788" s="196"/>
    </row>
    <row r="789" spans="3:17" x14ac:dyDescent="0.25">
      <c r="C789" s="198"/>
      <c r="D789" s="111"/>
      <c r="E789" s="33"/>
      <c r="F789" s="104"/>
      <c r="H789" s="115"/>
      <c r="I789" s="26"/>
      <c r="J789" s="98"/>
      <c r="K789" s="36"/>
      <c r="L789" s="26"/>
      <c r="M789" s="26"/>
      <c r="N789" s="26"/>
      <c r="O789" s="93"/>
      <c r="P789" s="95"/>
      <c r="Q789" s="196"/>
    </row>
    <row r="790" spans="3:17" x14ac:dyDescent="0.25">
      <c r="C790" s="198"/>
      <c r="D790" s="111"/>
      <c r="E790" s="33"/>
      <c r="F790" s="104"/>
      <c r="H790" s="115"/>
      <c r="I790" s="26"/>
      <c r="J790" s="98"/>
      <c r="K790" s="36"/>
      <c r="L790" s="26"/>
      <c r="M790" s="26"/>
      <c r="N790" s="26"/>
      <c r="O790" s="93"/>
      <c r="P790" s="95"/>
      <c r="Q790" s="196"/>
    </row>
    <row r="791" spans="3:17" x14ac:dyDescent="0.25">
      <c r="C791" s="198"/>
      <c r="D791" s="111"/>
      <c r="E791" s="33"/>
      <c r="F791" s="104"/>
      <c r="H791" s="115"/>
      <c r="I791" s="26"/>
      <c r="J791" s="98"/>
      <c r="K791" s="36"/>
      <c r="L791" s="26"/>
      <c r="M791" s="26"/>
      <c r="N791" s="26"/>
      <c r="O791" s="93"/>
      <c r="P791" s="95"/>
      <c r="Q791" s="196"/>
    </row>
    <row r="792" spans="3:17" x14ac:dyDescent="0.25">
      <c r="C792" s="198"/>
      <c r="D792" s="111"/>
      <c r="E792" s="33"/>
      <c r="F792" s="104"/>
      <c r="H792" s="115"/>
      <c r="I792" s="26"/>
      <c r="J792" s="98"/>
      <c r="K792" s="36"/>
      <c r="L792" s="26"/>
      <c r="M792" s="26"/>
      <c r="N792" s="26"/>
      <c r="O792" s="93"/>
      <c r="P792" s="95"/>
      <c r="Q792" s="196"/>
    </row>
    <row r="793" spans="3:17" x14ac:dyDescent="0.25">
      <c r="C793" s="198"/>
      <c r="D793" s="111"/>
      <c r="E793" s="33"/>
      <c r="F793" s="104"/>
      <c r="H793" s="115"/>
      <c r="I793" s="26"/>
      <c r="J793" s="98"/>
      <c r="K793" s="36"/>
      <c r="L793" s="26"/>
      <c r="M793" s="26"/>
      <c r="N793" s="26"/>
      <c r="O793" s="93"/>
      <c r="P793" s="95"/>
      <c r="Q793" s="196"/>
    </row>
    <row r="794" spans="3:17" x14ac:dyDescent="0.25">
      <c r="C794" s="198"/>
      <c r="D794" s="111"/>
      <c r="E794" s="33"/>
      <c r="F794" s="104"/>
      <c r="H794" s="115"/>
      <c r="I794" s="26"/>
      <c r="J794" s="98"/>
      <c r="K794" s="36"/>
      <c r="L794" s="26"/>
      <c r="M794" s="26"/>
      <c r="N794" s="26"/>
      <c r="O794" s="93"/>
      <c r="P794" s="95"/>
      <c r="Q794" s="196"/>
    </row>
    <row r="795" spans="3:17" x14ac:dyDescent="0.25">
      <c r="C795" s="198"/>
      <c r="D795" s="111"/>
      <c r="E795" s="33"/>
      <c r="F795" s="104"/>
      <c r="H795" s="115"/>
      <c r="I795" s="26"/>
      <c r="J795" s="98"/>
      <c r="K795" s="36"/>
      <c r="L795" s="26"/>
      <c r="M795" s="26"/>
      <c r="N795" s="26"/>
      <c r="O795" s="93"/>
      <c r="P795" s="95"/>
      <c r="Q795" s="196"/>
    </row>
    <row r="796" spans="3:17" x14ac:dyDescent="0.25">
      <c r="C796" s="198"/>
      <c r="D796" s="111"/>
      <c r="E796" s="33"/>
      <c r="F796" s="104"/>
      <c r="H796" s="115"/>
      <c r="I796" s="26"/>
      <c r="J796" s="98"/>
      <c r="K796" s="36"/>
      <c r="L796" s="26"/>
      <c r="M796" s="26"/>
      <c r="N796" s="26"/>
      <c r="O796" s="93"/>
      <c r="P796" s="95"/>
      <c r="Q796" s="196"/>
    </row>
    <row r="797" spans="3:17" x14ac:dyDescent="0.25">
      <c r="C797" s="198"/>
      <c r="D797" s="111"/>
      <c r="E797" s="33"/>
      <c r="F797" s="104"/>
      <c r="H797" s="115"/>
      <c r="I797" s="26"/>
      <c r="J797" s="98"/>
      <c r="K797" s="36"/>
      <c r="L797" s="26"/>
      <c r="M797" s="26"/>
      <c r="N797" s="26"/>
      <c r="O797" s="93"/>
      <c r="P797" s="95"/>
      <c r="Q797" s="196"/>
    </row>
    <row r="798" spans="3:17" x14ac:dyDescent="0.25">
      <c r="C798" s="198"/>
      <c r="D798" s="111"/>
      <c r="E798" s="33"/>
      <c r="F798" s="104"/>
      <c r="H798" s="115"/>
      <c r="I798" s="26"/>
      <c r="J798" s="98"/>
      <c r="K798" s="36"/>
      <c r="L798" s="26"/>
      <c r="M798" s="26"/>
      <c r="N798" s="26"/>
      <c r="O798" s="93"/>
      <c r="P798" s="95"/>
      <c r="Q798" s="196"/>
    </row>
    <row r="799" spans="3:17" x14ac:dyDescent="0.25">
      <c r="C799" s="198"/>
      <c r="D799" s="111"/>
      <c r="E799" s="33"/>
      <c r="F799" s="104"/>
      <c r="H799" s="115"/>
      <c r="I799" s="26"/>
      <c r="J799" s="98"/>
      <c r="K799" s="36"/>
      <c r="L799" s="26"/>
      <c r="M799" s="26"/>
      <c r="N799" s="26"/>
      <c r="O799" s="93"/>
      <c r="P799" s="95"/>
      <c r="Q799" s="196"/>
    </row>
    <row r="800" spans="3:17" x14ac:dyDescent="0.25">
      <c r="C800" s="198"/>
      <c r="D800" s="111"/>
      <c r="E800" s="33"/>
      <c r="F800" s="104"/>
      <c r="H800" s="115"/>
      <c r="I800" s="26"/>
      <c r="J800" s="98"/>
      <c r="K800" s="36"/>
      <c r="L800" s="26"/>
      <c r="M800" s="26"/>
      <c r="N800" s="26"/>
      <c r="O800" s="93"/>
      <c r="P800" s="95"/>
      <c r="Q800" s="196"/>
    </row>
    <row r="801" spans="3:17" x14ac:dyDescent="0.25">
      <c r="C801" s="198"/>
      <c r="D801" s="111"/>
      <c r="E801" s="33"/>
      <c r="F801" s="104"/>
      <c r="H801" s="115"/>
      <c r="I801" s="26"/>
      <c r="J801" s="98"/>
      <c r="K801" s="36"/>
      <c r="L801" s="26"/>
      <c r="M801" s="26"/>
      <c r="N801" s="26"/>
      <c r="O801" s="93"/>
      <c r="P801" s="95"/>
      <c r="Q801" s="196"/>
    </row>
    <row r="802" spans="3:17" x14ac:dyDescent="0.25">
      <c r="C802" s="198"/>
      <c r="D802" s="111"/>
      <c r="E802" s="33"/>
      <c r="F802" s="104"/>
      <c r="H802" s="115"/>
      <c r="I802" s="26"/>
      <c r="J802" s="98"/>
      <c r="K802" s="36"/>
      <c r="L802" s="26"/>
      <c r="M802" s="26"/>
      <c r="N802" s="26"/>
      <c r="O802" s="93"/>
      <c r="P802" s="95"/>
      <c r="Q802" s="196"/>
    </row>
    <row r="803" spans="3:17" x14ac:dyDescent="0.25">
      <c r="C803" s="198"/>
      <c r="D803" s="111"/>
      <c r="E803" s="33"/>
      <c r="F803" s="104"/>
      <c r="H803" s="115"/>
      <c r="I803" s="26"/>
      <c r="J803" s="98"/>
      <c r="K803" s="36"/>
      <c r="L803" s="26"/>
      <c r="M803" s="26"/>
      <c r="N803" s="26"/>
      <c r="O803" s="93"/>
      <c r="P803" s="95"/>
      <c r="Q803" s="196"/>
    </row>
    <row r="804" spans="3:17" x14ac:dyDescent="0.25">
      <c r="C804" s="198"/>
      <c r="D804" s="111"/>
      <c r="E804" s="33"/>
      <c r="F804" s="104"/>
      <c r="H804" s="115"/>
      <c r="I804" s="26"/>
      <c r="J804" s="98"/>
      <c r="K804" s="36"/>
      <c r="L804" s="26"/>
      <c r="M804" s="26"/>
      <c r="N804" s="26"/>
      <c r="O804" s="93"/>
      <c r="P804" s="95"/>
      <c r="Q804" s="196"/>
    </row>
    <row r="805" spans="3:17" x14ac:dyDescent="0.25">
      <c r="C805" s="198"/>
      <c r="D805" s="111"/>
      <c r="E805" s="33"/>
      <c r="F805" s="104"/>
      <c r="H805" s="115"/>
      <c r="I805" s="26"/>
      <c r="J805" s="98"/>
      <c r="K805" s="36"/>
      <c r="L805" s="26"/>
      <c r="M805" s="26"/>
      <c r="N805" s="26"/>
      <c r="O805" s="93"/>
      <c r="P805" s="95"/>
      <c r="Q805" s="196"/>
    </row>
    <row r="806" spans="3:17" x14ac:dyDescent="0.25">
      <c r="C806" s="198"/>
      <c r="D806" s="111"/>
      <c r="E806" s="33"/>
      <c r="F806" s="104"/>
      <c r="H806" s="115"/>
      <c r="I806" s="26"/>
      <c r="J806" s="98"/>
      <c r="K806" s="36"/>
      <c r="L806" s="26"/>
      <c r="M806" s="26"/>
      <c r="N806" s="26"/>
      <c r="O806" s="93"/>
      <c r="P806" s="95"/>
      <c r="Q806" s="196"/>
    </row>
    <row r="807" spans="3:17" x14ac:dyDescent="0.25">
      <c r="C807" s="198"/>
      <c r="D807" s="111"/>
      <c r="E807" s="33"/>
      <c r="F807" s="104"/>
      <c r="H807" s="115"/>
      <c r="I807" s="26"/>
      <c r="J807" s="98"/>
      <c r="K807" s="36"/>
      <c r="L807" s="26"/>
      <c r="M807" s="26"/>
      <c r="N807" s="26"/>
      <c r="O807" s="93"/>
      <c r="P807" s="95"/>
      <c r="Q807" s="196"/>
    </row>
    <row r="808" spans="3:17" x14ac:dyDescent="0.25">
      <c r="C808" s="198"/>
      <c r="D808" s="111"/>
      <c r="E808" s="33"/>
      <c r="F808" s="104"/>
      <c r="H808" s="115"/>
      <c r="I808" s="26"/>
      <c r="J808" s="98"/>
      <c r="K808" s="36"/>
      <c r="L808" s="26"/>
      <c r="M808" s="26"/>
      <c r="N808" s="26"/>
      <c r="O808" s="93"/>
      <c r="P808" s="95"/>
      <c r="Q808" s="196"/>
    </row>
    <row r="809" spans="3:17" x14ac:dyDescent="0.25">
      <c r="C809" s="198"/>
      <c r="D809" s="111"/>
      <c r="E809" s="33"/>
      <c r="F809" s="104"/>
      <c r="H809" s="115"/>
      <c r="I809" s="26"/>
      <c r="J809" s="98"/>
      <c r="K809" s="36"/>
      <c r="L809" s="26"/>
      <c r="M809" s="26"/>
      <c r="N809" s="26"/>
      <c r="O809" s="93"/>
      <c r="P809" s="95"/>
      <c r="Q809" s="196"/>
    </row>
    <row r="810" spans="3:17" x14ac:dyDescent="0.25">
      <c r="C810" s="198"/>
      <c r="D810" s="111"/>
      <c r="E810" s="33"/>
      <c r="F810" s="104"/>
      <c r="H810" s="115"/>
      <c r="I810" s="26"/>
      <c r="J810" s="98"/>
      <c r="K810" s="36"/>
      <c r="L810" s="26"/>
      <c r="M810" s="26"/>
      <c r="N810" s="26"/>
      <c r="O810" s="93"/>
      <c r="P810" s="95"/>
      <c r="Q810" s="196"/>
    </row>
    <row r="811" spans="3:17" x14ac:dyDescent="0.25">
      <c r="C811" s="198"/>
      <c r="D811" s="111"/>
      <c r="E811" s="33"/>
      <c r="F811" s="104"/>
      <c r="H811" s="115"/>
      <c r="I811" s="26"/>
      <c r="J811" s="98"/>
      <c r="K811" s="36"/>
      <c r="L811" s="26"/>
      <c r="M811" s="26"/>
      <c r="N811" s="26"/>
      <c r="O811" s="93"/>
      <c r="P811" s="95"/>
      <c r="Q811" s="196"/>
    </row>
    <row r="812" spans="3:17" x14ac:dyDescent="0.25">
      <c r="C812" s="198"/>
      <c r="D812" s="111"/>
      <c r="E812" s="33"/>
      <c r="F812" s="104"/>
      <c r="H812" s="115"/>
      <c r="I812" s="26"/>
      <c r="J812" s="98"/>
      <c r="K812" s="36"/>
      <c r="L812" s="26"/>
      <c r="M812" s="26"/>
      <c r="N812" s="26"/>
      <c r="O812" s="93"/>
      <c r="P812" s="95"/>
      <c r="Q812" s="196"/>
    </row>
    <row r="813" spans="3:17" x14ac:dyDescent="0.25">
      <c r="C813" s="198"/>
      <c r="D813" s="111"/>
      <c r="E813" s="33"/>
      <c r="F813" s="104"/>
      <c r="H813" s="115"/>
      <c r="I813" s="26"/>
      <c r="J813" s="98"/>
      <c r="K813" s="36"/>
      <c r="L813" s="26"/>
      <c r="M813" s="26"/>
      <c r="N813" s="26"/>
      <c r="O813" s="93"/>
      <c r="P813" s="95"/>
      <c r="Q813" s="196"/>
    </row>
    <row r="814" spans="3:17" x14ac:dyDescent="0.25">
      <c r="C814" s="198"/>
      <c r="D814" s="111"/>
      <c r="E814" s="33"/>
      <c r="F814" s="104"/>
      <c r="H814" s="115"/>
      <c r="I814" s="26"/>
      <c r="J814" s="98"/>
      <c r="K814" s="36"/>
      <c r="L814" s="26"/>
      <c r="M814" s="26"/>
      <c r="N814" s="26"/>
      <c r="O814" s="93"/>
      <c r="P814" s="95"/>
      <c r="Q814" s="196"/>
    </row>
    <row r="815" spans="3:17" x14ac:dyDescent="0.25">
      <c r="C815" s="198"/>
      <c r="D815" s="111"/>
      <c r="E815" s="33"/>
      <c r="F815" s="104"/>
      <c r="H815" s="115"/>
      <c r="I815" s="26"/>
      <c r="J815" s="98"/>
      <c r="K815" s="36"/>
      <c r="L815" s="26"/>
      <c r="M815" s="26"/>
      <c r="N815" s="26"/>
      <c r="O815" s="93"/>
      <c r="P815" s="95"/>
      <c r="Q815" s="196"/>
    </row>
    <row r="816" spans="3:17" x14ac:dyDescent="0.25">
      <c r="C816" s="198"/>
      <c r="D816" s="111"/>
      <c r="E816" s="33"/>
      <c r="F816" s="104"/>
      <c r="H816" s="115"/>
      <c r="I816" s="26"/>
      <c r="J816" s="98"/>
      <c r="K816" s="36"/>
      <c r="L816" s="26"/>
      <c r="M816" s="26"/>
      <c r="N816" s="26"/>
      <c r="O816" s="93"/>
      <c r="P816" s="95"/>
      <c r="Q816" s="196"/>
    </row>
    <row r="817" spans="3:17" x14ac:dyDescent="0.25">
      <c r="C817" s="198"/>
      <c r="D817" s="111"/>
      <c r="E817" s="33"/>
      <c r="F817" s="104"/>
      <c r="H817" s="115"/>
      <c r="I817" s="26"/>
      <c r="J817" s="98"/>
      <c r="K817" s="36"/>
      <c r="L817" s="26"/>
      <c r="M817" s="26"/>
      <c r="N817" s="26"/>
      <c r="O817" s="93"/>
      <c r="P817" s="95"/>
      <c r="Q817" s="196"/>
    </row>
    <row r="818" spans="3:17" x14ac:dyDescent="0.25">
      <c r="C818" s="198"/>
      <c r="D818" s="111"/>
      <c r="E818" s="33"/>
      <c r="F818" s="104"/>
      <c r="H818" s="115"/>
      <c r="I818" s="26"/>
      <c r="J818" s="98"/>
      <c r="K818" s="36"/>
      <c r="L818" s="26"/>
      <c r="M818" s="26"/>
      <c r="N818" s="26"/>
      <c r="O818" s="93"/>
      <c r="P818" s="95"/>
      <c r="Q818" s="196"/>
    </row>
    <row r="819" spans="3:17" x14ac:dyDescent="0.25">
      <c r="C819" s="198"/>
      <c r="D819" s="111"/>
      <c r="E819" s="33"/>
      <c r="F819" s="104"/>
      <c r="H819" s="115"/>
      <c r="I819" s="26"/>
      <c r="J819" s="98"/>
      <c r="K819" s="36"/>
      <c r="L819" s="26"/>
      <c r="M819" s="26"/>
      <c r="N819" s="26"/>
      <c r="O819" s="93"/>
      <c r="P819" s="95"/>
      <c r="Q819" s="196"/>
    </row>
    <row r="820" spans="3:17" x14ac:dyDescent="0.25">
      <c r="C820" s="198"/>
      <c r="D820" s="111"/>
      <c r="E820" s="33"/>
      <c r="F820" s="104"/>
      <c r="H820" s="115"/>
      <c r="I820" s="26"/>
      <c r="J820" s="98"/>
      <c r="K820" s="36"/>
      <c r="L820" s="26"/>
      <c r="M820" s="26"/>
      <c r="N820" s="26"/>
      <c r="O820" s="93"/>
      <c r="P820" s="95"/>
      <c r="Q820" s="196"/>
    </row>
    <row r="821" spans="3:17" x14ac:dyDescent="0.25">
      <c r="C821" s="198"/>
      <c r="D821" s="111"/>
      <c r="E821" s="33"/>
      <c r="F821" s="104"/>
      <c r="H821" s="115"/>
      <c r="I821" s="26"/>
      <c r="J821" s="98"/>
      <c r="K821" s="36"/>
      <c r="L821" s="26"/>
      <c r="M821" s="26"/>
      <c r="N821" s="26"/>
      <c r="O821" s="93"/>
      <c r="P821" s="95"/>
      <c r="Q821" s="196"/>
    </row>
    <row r="822" spans="3:17" x14ac:dyDescent="0.25">
      <c r="C822" s="198"/>
      <c r="D822" s="111"/>
      <c r="E822" s="33"/>
      <c r="F822" s="104"/>
      <c r="H822" s="115"/>
      <c r="I822" s="26"/>
      <c r="J822" s="98"/>
      <c r="K822" s="36"/>
      <c r="L822" s="26"/>
      <c r="M822" s="26"/>
      <c r="N822" s="26"/>
      <c r="O822" s="93"/>
      <c r="P822" s="95"/>
      <c r="Q822" s="196"/>
    </row>
    <row r="823" spans="3:17" x14ac:dyDescent="0.25">
      <c r="C823" s="198"/>
      <c r="D823" s="111"/>
      <c r="E823" s="33"/>
      <c r="F823" s="104"/>
      <c r="H823" s="115"/>
      <c r="I823" s="26"/>
      <c r="J823" s="98"/>
      <c r="K823" s="36"/>
      <c r="L823" s="26"/>
      <c r="M823" s="26"/>
      <c r="N823" s="26"/>
      <c r="O823" s="93"/>
      <c r="P823" s="95"/>
      <c r="Q823" s="196"/>
    </row>
    <row r="824" spans="3:17" x14ac:dyDescent="0.25">
      <c r="C824" s="198"/>
      <c r="D824" s="111"/>
      <c r="E824" s="33"/>
      <c r="F824" s="104"/>
      <c r="H824" s="115"/>
      <c r="I824" s="26"/>
      <c r="J824" s="98"/>
      <c r="K824" s="36"/>
      <c r="L824" s="26"/>
      <c r="M824" s="26"/>
      <c r="N824" s="26"/>
      <c r="O824" s="93"/>
      <c r="P824" s="95"/>
      <c r="Q824" s="196"/>
    </row>
    <row r="825" spans="3:17" x14ac:dyDescent="0.25">
      <c r="C825" s="198"/>
      <c r="D825" s="111"/>
      <c r="E825" s="33"/>
      <c r="F825" s="104"/>
      <c r="H825" s="115"/>
      <c r="I825" s="26"/>
      <c r="J825" s="98"/>
      <c r="K825" s="36"/>
      <c r="L825" s="26"/>
      <c r="M825" s="26"/>
      <c r="N825" s="26"/>
      <c r="O825" s="93"/>
      <c r="P825" s="95"/>
      <c r="Q825" s="196"/>
    </row>
    <row r="826" spans="3:17" x14ac:dyDescent="0.25">
      <c r="C826" s="198"/>
      <c r="D826" s="111"/>
      <c r="E826" s="33"/>
      <c r="F826" s="104"/>
      <c r="H826" s="115"/>
      <c r="I826" s="26"/>
      <c r="J826" s="98"/>
      <c r="K826" s="36"/>
      <c r="L826" s="26"/>
      <c r="M826" s="26"/>
      <c r="N826" s="26"/>
      <c r="O826" s="93"/>
      <c r="P826" s="95"/>
      <c r="Q826" s="196"/>
    </row>
    <row r="827" spans="3:17" x14ac:dyDescent="0.25">
      <c r="C827" s="198"/>
      <c r="D827" s="111"/>
      <c r="E827" s="33"/>
      <c r="F827" s="104"/>
      <c r="H827" s="115"/>
      <c r="I827" s="26"/>
      <c r="J827" s="98"/>
      <c r="K827" s="36"/>
      <c r="L827" s="26"/>
      <c r="M827" s="26"/>
      <c r="N827" s="26"/>
      <c r="O827" s="93"/>
      <c r="P827" s="95"/>
      <c r="Q827" s="196"/>
    </row>
    <row r="828" spans="3:17" x14ac:dyDescent="0.25">
      <c r="C828" s="198"/>
      <c r="D828" s="111"/>
      <c r="E828" s="33"/>
      <c r="F828" s="104"/>
      <c r="H828" s="115"/>
      <c r="I828" s="26"/>
      <c r="J828" s="98"/>
      <c r="K828" s="36"/>
      <c r="L828" s="26"/>
      <c r="M828" s="26"/>
      <c r="N828" s="26"/>
      <c r="O828" s="93"/>
      <c r="P828" s="95"/>
      <c r="Q828" s="196"/>
    </row>
    <row r="829" spans="3:17" x14ac:dyDescent="0.25">
      <c r="C829" s="198"/>
      <c r="D829" s="111"/>
      <c r="E829" s="33"/>
      <c r="F829" s="104"/>
      <c r="H829" s="115"/>
      <c r="I829" s="26"/>
      <c r="J829" s="98"/>
      <c r="K829" s="36"/>
      <c r="L829" s="26"/>
      <c r="M829" s="26"/>
      <c r="N829" s="26"/>
      <c r="O829" s="93"/>
      <c r="P829" s="95"/>
      <c r="Q829" s="196"/>
    </row>
    <row r="830" spans="3:17" x14ac:dyDescent="0.25">
      <c r="C830" s="198"/>
      <c r="D830" s="111"/>
      <c r="E830" s="33"/>
      <c r="F830" s="104"/>
      <c r="H830" s="115"/>
      <c r="I830" s="26"/>
      <c r="J830" s="98"/>
      <c r="K830" s="36"/>
      <c r="L830" s="26"/>
      <c r="M830" s="26"/>
      <c r="N830" s="26"/>
      <c r="O830" s="93"/>
      <c r="P830" s="95"/>
      <c r="Q830" s="196"/>
    </row>
    <row r="831" spans="3:17" x14ac:dyDescent="0.25">
      <c r="C831" s="198"/>
      <c r="D831" s="111"/>
      <c r="E831" s="33"/>
      <c r="F831" s="104"/>
      <c r="H831" s="115"/>
      <c r="I831" s="26"/>
      <c r="J831" s="98"/>
      <c r="K831" s="36"/>
      <c r="L831" s="26"/>
      <c r="M831" s="26"/>
      <c r="N831" s="26"/>
      <c r="O831" s="93"/>
      <c r="P831" s="95"/>
      <c r="Q831" s="196"/>
    </row>
    <row r="832" spans="3:17" x14ac:dyDescent="0.25">
      <c r="C832" s="198"/>
      <c r="D832" s="111"/>
      <c r="E832" s="33"/>
      <c r="F832" s="104"/>
      <c r="H832" s="115"/>
      <c r="I832" s="26"/>
      <c r="J832" s="98"/>
      <c r="K832" s="36"/>
      <c r="L832" s="26"/>
      <c r="M832" s="26"/>
      <c r="N832" s="26"/>
      <c r="O832" s="93"/>
      <c r="P832" s="95"/>
      <c r="Q832" s="196"/>
    </row>
    <row r="833" spans="3:17" x14ac:dyDescent="0.25">
      <c r="C833" s="198"/>
      <c r="D833" s="111"/>
      <c r="E833" s="33"/>
      <c r="F833" s="104"/>
      <c r="H833" s="115"/>
      <c r="I833" s="26"/>
      <c r="J833" s="98"/>
      <c r="K833" s="36"/>
      <c r="L833" s="26"/>
      <c r="M833" s="26"/>
      <c r="N833" s="26"/>
      <c r="O833" s="93"/>
      <c r="P833" s="95"/>
      <c r="Q833" s="196"/>
    </row>
    <row r="834" spans="3:17" x14ac:dyDescent="0.25">
      <c r="C834" s="198"/>
      <c r="D834" s="111"/>
      <c r="E834" s="33"/>
      <c r="F834" s="104"/>
      <c r="H834" s="115"/>
      <c r="I834" s="26"/>
      <c r="J834" s="98"/>
      <c r="K834" s="36"/>
      <c r="L834" s="26"/>
      <c r="M834" s="26"/>
      <c r="N834" s="26"/>
      <c r="O834" s="93"/>
      <c r="P834" s="95"/>
      <c r="Q834" s="196"/>
    </row>
    <row r="835" spans="3:17" x14ac:dyDescent="0.25">
      <c r="C835" s="198"/>
      <c r="D835" s="111"/>
      <c r="E835" s="33"/>
      <c r="F835" s="104"/>
      <c r="H835" s="115"/>
      <c r="I835" s="26"/>
      <c r="J835" s="98"/>
      <c r="K835" s="36"/>
      <c r="L835" s="26"/>
      <c r="M835" s="26"/>
      <c r="N835" s="26"/>
      <c r="O835" s="93"/>
      <c r="P835" s="95"/>
      <c r="Q835" s="196"/>
    </row>
    <row r="836" spans="3:17" x14ac:dyDescent="0.25">
      <c r="C836" s="198"/>
      <c r="D836" s="111"/>
      <c r="E836" s="33"/>
      <c r="F836" s="104"/>
      <c r="H836" s="115"/>
      <c r="I836" s="26"/>
      <c r="J836" s="98"/>
      <c r="K836" s="36"/>
      <c r="L836" s="26"/>
      <c r="M836" s="26"/>
      <c r="N836" s="26"/>
      <c r="O836" s="93"/>
      <c r="P836" s="95"/>
      <c r="Q836" s="196"/>
    </row>
    <row r="837" spans="3:17" x14ac:dyDescent="0.25">
      <c r="C837" s="198"/>
      <c r="D837" s="111"/>
      <c r="E837" s="33"/>
      <c r="F837" s="104"/>
      <c r="H837" s="115"/>
      <c r="I837" s="26"/>
      <c r="J837" s="98"/>
      <c r="K837" s="36"/>
      <c r="L837" s="26"/>
      <c r="M837" s="26"/>
      <c r="N837" s="26"/>
      <c r="O837" s="93"/>
      <c r="P837" s="95"/>
      <c r="Q837" s="196"/>
    </row>
    <row r="838" spans="3:17" x14ac:dyDescent="0.25">
      <c r="C838" s="198"/>
      <c r="D838" s="111"/>
      <c r="E838" s="33"/>
      <c r="F838" s="104"/>
      <c r="H838" s="115"/>
      <c r="I838" s="26"/>
      <c r="J838" s="98"/>
      <c r="K838" s="36"/>
      <c r="L838" s="26"/>
      <c r="M838" s="26"/>
      <c r="N838" s="26"/>
      <c r="O838" s="93"/>
      <c r="P838" s="95"/>
      <c r="Q838" s="196"/>
    </row>
    <row r="839" spans="3:17" x14ac:dyDescent="0.25">
      <c r="C839" s="198"/>
      <c r="D839" s="111"/>
      <c r="E839" s="33"/>
      <c r="F839" s="104"/>
      <c r="H839" s="115"/>
      <c r="I839" s="26"/>
      <c r="J839" s="98"/>
      <c r="K839" s="36"/>
      <c r="L839" s="26"/>
      <c r="M839" s="26"/>
      <c r="N839" s="26"/>
      <c r="O839" s="93"/>
      <c r="P839" s="95"/>
      <c r="Q839" s="196"/>
    </row>
    <row r="840" spans="3:17" x14ac:dyDescent="0.25">
      <c r="C840" s="198"/>
      <c r="D840" s="111"/>
      <c r="E840" s="33"/>
      <c r="F840" s="104"/>
      <c r="H840" s="115"/>
      <c r="I840" s="26"/>
      <c r="J840" s="98"/>
      <c r="K840" s="36"/>
      <c r="L840" s="26"/>
      <c r="M840" s="26"/>
      <c r="N840" s="26"/>
      <c r="O840" s="93"/>
      <c r="P840" s="95"/>
      <c r="Q840" s="196"/>
    </row>
    <row r="841" spans="3:17" x14ac:dyDescent="0.25">
      <c r="C841" s="198"/>
      <c r="D841" s="111"/>
      <c r="E841" s="33"/>
      <c r="F841" s="104"/>
      <c r="H841" s="115"/>
      <c r="I841" s="26"/>
      <c r="J841" s="98"/>
      <c r="K841" s="36"/>
      <c r="L841" s="26"/>
      <c r="M841" s="26"/>
      <c r="N841" s="26"/>
      <c r="O841" s="93"/>
      <c r="P841" s="95"/>
      <c r="Q841" s="196"/>
    </row>
    <row r="842" spans="3:17" x14ac:dyDescent="0.25">
      <c r="C842" s="198"/>
      <c r="D842" s="111"/>
      <c r="E842" s="33"/>
      <c r="F842" s="104"/>
      <c r="H842" s="115"/>
      <c r="I842" s="26"/>
      <c r="J842" s="98"/>
      <c r="K842" s="36"/>
      <c r="L842" s="26"/>
      <c r="M842" s="26"/>
      <c r="N842" s="26"/>
      <c r="O842" s="93"/>
      <c r="P842" s="95"/>
      <c r="Q842" s="196"/>
    </row>
    <row r="843" spans="3:17" x14ac:dyDescent="0.25">
      <c r="C843" s="198"/>
      <c r="D843" s="111"/>
      <c r="E843" s="33"/>
      <c r="F843" s="104"/>
      <c r="H843" s="115"/>
      <c r="I843" s="26"/>
      <c r="J843" s="98"/>
      <c r="K843" s="36"/>
      <c r="L843" s="26"/>
      <c r="M843" s="26"/>
      <c r="N843" s="26"/>
      <c r="O843" s="93"/>
      <c r="P843" s="95"/>
      <c r="Q843" s="196"/>
    </row>
    <row r="844" spans="3:17" x14ac:dyDescent="0.25">
      <c r="C844" s="198"/>
      <c r="D844" s="111"/>
      <c r="E844" s="33"/>
      <c r="F844" s="104"/>
      <c r="H844" s="115"/>
      <c r="I844" s="26"/>
      <c r="J844" s="98"/>
      <c r="K844" s="36"/>
      <c r="L844" s="26"/>
      <c r="M844" s="26"/>
      <c r="N844" s="26"/>
      <c r="O844" s="93"/>
      <c r="P844" s="95"/>
      <c r="Q844" s="196"/>
    </row>
    <row r="845" spans="3:17" x14ac:dyDescent="0.25">
      <c r="C845" s="198"/>
      <c r="D845" s="111"/>
      <c r="E845" s="33"/>
      <c r="F845" s="104"/>
      <c r="H845" s="115"/>
      <c r="I845" s="26"/>
      <c r="J845" s="98"/>
      <c r="K845" s="36"/>
      <c r="L845" s="26"/>
      <c r="M845" s="26"/>
      <c r="N845" s="26"/>
      <c r="O845" s="93"/>
      <c r="P845" s="95"/>
      <c r="Q845" s="196"/>
    </row>
    <row r="846" spans="3:17" x14ac:dyDescent="0.25">
      <c r="C846" s="198"/>
      <c r="D846" s="111"/>
      <c r="E846" s="33"/>
      <c r="F846" s="104"/>
      <c r="H846" s="115"/>
      <c r="I846" s="26"/>
      <c r="J846" s="98"/>
      <c r="K846" s="36"/>
      <c r="L846" s="26"/>
      <c r="M846" s="26"/>
      <c r="N846" s="26"/>
      <c r="O846" s="93"/>
      <c r="P846" s="95"/>
      <c r="Q846" s="196"/>
    </row>
    <row r="847" spans="3:17" x14ac:dyDescent="0.25">
      <c r="C847" s="198"/>
      <c r="D847" s="111"/>
      <c r="E847" s="33"/>
      <c r="F847" s="104"/>
      <c r="H847" s="115"/>
      <c r="I847" s="26"/>
      <c r="J847" s="98"/>
      <c r="K847" s="36"/>
      <c r="L847" s="26"/>
      <c r="M847" s="26"/>
      <c r="N847" s="26"/>
      <c r="O847" s="93"/>
      <c r="P847" s="95"/>
      <c r="Q847" s="196"/>
    </row>
    <row r="848" spans="3:17" x14ac:dyDescent="0.25">
      <c r="C848" s="198"/>
      <c r="D848" s="111"/>
      <c r="E848" s="33"/>
      <c r="F848" s="104"/>
      <c r="H848" s="115"/>
      <c r="I848" s="26"/>
      <c r="J848" s="98"/>
      <c r="K848" s="36"/>
      <c r="L848" s="26"/>
      <c r="M848" s="26"/>
      <c r="N848" s="26"/>
      <c r="O848" s="93"/>
      <c r="P848" s="95"/>
      <c r="Q848" s="196"/>
    </row>
    <row r="849" spans="3:17" x14ac:dyDescent="0.25">
      <c r="C849" s="198"/>
      <c r="D849" s="111"/>
      <c r="E849" s="33"/>
      <c r="F849" s="104"/>
      <c r="H849" s="115"/>
      <c r="I849" s="26"/>
      <c r="J849" s="98"/>
      <c r="K849" s="36"/>
      <c r="L849" s="26"/>
      <c r="M849" s="26"/>
      <c r="N849" s="26"/>
      <c r="O849" s="93"/>
      <c r="P849" s="95"/>
      <c r="Q849" s="196"/>
    </row>
    <row r="850" spans="3:17" x14ac:dyDescent="0.25">
      <c r="C850" s="198"/>
      <c r="D850" s="111"/>
      <c r="E850" s="33"/>
      <c r="F850" s="104"/>
      <c r="H850" s="115"/>
      <c r="I850" s="26"/>
      <c r="J850" s="98"/>
      <c r="K850" s="36"/>
      <c r="L850" s="26"/>
      <c r="M850" s="26"/>
      <c r="N850" s="26"/>
      <c r="O850" s="93"/>
      <c r="P850" s="95"/>
      <c r="Q850" s="196"/>
    </row>
    <row r="851" spans="3:17" x14ac:dyDescent="0.25">
      <c r="C851" s="198"/>
      <c r="D851" s="111"/>
      <c r="E851" s="33"/>
      <c r="F851" s="104"/>
      <c r="H851" s="115"/>
      <c r="I851" s="26"/>
      <c r="J851" s="98"/>
      <c r="K851" s="36"/>
      <c r="L851" s="26"/>
      <c r="M851" s="26"/>
      <c r="N851" s="26"/>
      <c r="O851" s="93"/>
      <c r="P851" s="95"/>
      <c r="Q851" s="196"/>
    </row>
    <row r="852" spans="3:17" x14ac:dyDescent="0.25">
      <c r="C852" s="198"/>
      <c r="D852" s="111"/>
      <c r="E852" s="33"/>
      <c r="F852" s="104"/>
      <c r="H852" s="115"/>
      <c r="I852" s="26"/>
      <c r="J852" s="98"/>
      <c r="K852" s="36"/>
      <c r="L852" s="26"/>
      <c r="M852" s="26"/>
      <c r="N852" s="26"/>
      <c r="O852" s="93"/>
      <c r="P852" s="95"/>
      <c r="Q852" s="196"/>
    </row>
    <row r="853" spans="3:17" x14ac:dyDescent="0.25">
      <c r="C853" s="198"/>
      <c r="D853" s="111"/>
      <c r="E853" s="33"/>
      <c r="F853" s="104"/>
      <c r="H853" s="115"/>
      <c r="I853" s="26"/>
      <c r="J853" s="98"/>
      <c r="K853" s="36"/>
      <c r="L853" s="26"/>
      <c r="M853" s="26"/>
      <c r="N853" s="26"/>
      <c r="O853" s="93"/>
      <c r="P853" s="95"/>
      <c r="Q853" s="196"/>
    </row>
    <row r="854" spans="3:17" x14ac:dyDescent="0.25">
      <c r="C854" s="198"/>
      <c r="D854" s="111"/>
      <c r="E854" s="33"/>
      <c r="F854" s="104"/>
      <c r="H854" s="115"/>
      <c r="I854" s="26"/>
      <c r="J854" s="98"/>
      <c r="K854" s="36"/>
      <c r="L854" s="26"/>
      <c r="M854" s="26"/>
      <c r="N854" s="26"/>
      <c r="O854" s="93"/>
      <c r="P854" s="95"/>
      <c r="Q854" s="196"/>
    </row>
    <row r="855" spans="3:17" x14ac:dyDescent="0.25">
      <c r="C855" s="198"/>
      <c r="D855" s="111"/>
      <c r="E855" s="33"/>
      <c r="F855" s="104"/>
      <c r="H855" s="115"/>
      <c r="I855" s="26"/>
      <c r="J855" s="98"/>
      <c r="K855" s="36"/>
      <c r="L855" s="26"/>
      <c r="M855" s="26"/>
      <c r="N855" s="26"/>
      <c r="O855" s="93"/>
      <c r="P855" s="95"/>
      <c r="Q855" s="196"/>
    </row>
    <row r="856" spans="3:17" x14ac:dyDescent="0.25">
      <c r="C856" s="198"/>
      <c r="D856" s="111"/>
      <c r="E856" s="33"/>
      <c r="F856" s="104"/>
      <c r="H856" s="115"/>
      <c r="I856" s="26"/>
      <c r="J856" s="98"/>
      <c r="K856" s="36"/>
      <c r="L856" s="26"/>
      <c r="M856" s="26"/>
      <c r="N856" s="26"/>
      <c r="O856" s="93"/>
      <c r="P856" s="95"/>
      <c r="Q856" s="196"/>
    </row>
    <row r="857" spans="3:17" x14ac:dyDescent="0.25">
      <c r="C857" s="198"/>
      <c r="D857" s="111"/>
      <c r="E857" s="33"/>
      <c r="F857" s="104"/>
      <c r="H857" s="115"/>
      <c r="I857" s="26"/>
      <c r="J857" s="98"/>
      <c r="K857" s="36"/>
      <c r="L857" s="26"/>
      <c r="M857" s="26"/>
      <c r="N857" s="26"/>
      <c r="O857" s="93"/>
      <c r="P857" s="95"/>
      <c r="Q857" s="196"/>
    </row>
    <row r="858" spans="3:17" x14ac:dyDescent="0.25">
      <c r="C858" s="198"/>
      <c r="D858" s="111"/>
      <c r="E858" s="33"/>
      <c r="F858" s="104"/>
      <c r="H858" s="115"/>
      <c r="I858" s="26"/>
      <c r="J858" s="98"/>
      <c r="K858" s="36"/>
      <c r="L858" s="26"/>
      <c r="M858" s="26"/>
      <c r="N858" s="26"/>
      <c r="O858" s="93"/>
      <c r="P858" s="95"/>
      <c r="Q858" s="196"/>
    </row>
    <row r="859" spans="3:17" x14ac:dyDescent="0.25">
      <c r="C859" s="198"/>
      <c r="D859" s="111"/>
      <c r="E859" s="33"/>
      <c r="F859" s="104"/>
      <c r="H859" s="115"/>
      <c r="I859" s="26"/>
      <c r="J859" s="98"/>
      <c r="K859" s="36"/>
      <c r="L859" s="26"/>
      <c r="M859" s="26"/>
      <c r="N859" s="26"/>
      <c r="O859" s="93"/>
      <c r="P859" s="95"/>
      <c r="Q859" s="196"/>
    </row>
    <row r="860" spans="3:17" x14ac:dyDescent="0.25">
      <c r="C860" s="198"/>
      <c r="D860" s="111"/>
      <c r="E860" s="33"/>
      <c r="F860" s="104"/>
      <c r="H860" s="115"/>
      <c r="I860" s="26"/>
      <c r="J860" s="98"/>
      <c r="K860" s="36"/>
      <c r="L860" s="26"/>
      <c r="M860" s="26"/>
      <c r="N860" s="26"/>
      <c r="O860" s="93"/>
      <c r="P860" s="95"/>
      <c r="Q860" s="196"/>
    </row>
    <row r="861" spans="3:17" x14ac:dyDescent="0.25">
      <c r="C861" s="198"/>
      <c r="D861" s="111"/>
      <c r="E861" s="33"/>
      <c r="F861" s="104"/>
      <c r="H861" s="115"/>
      <c r="I861" s="26"/>
      <c r="J861" s="98"/>
      <c r="K861" s="36"/>
      <c r="L861" s="26"/>
      <c r="M861" s="26"/>
      <c r="N861" s="26"/>
      <c r="O861" s="93"/>
      <c r="P861" s="95"/>
      <c r="Q861" s="196"/>
    </row>
    <row r="862" spans="3:17" x14ac:dyDescent="0.25">
      <c r="C862" s="198"/>
      <c r="D862" s="111"/>
      <c r="E862" s="33"/>
      <c r="F862" s="104"/>
      <c r="H862" s="115"/>
      <c r="I862" s="26"/>
      <c r="J862" s="98"/>
      <c r="K862" s="36"/>
      <c r="L862" s="26"/>
      <c r="M862" s="26"/>
      <c r="N862" s="26"/>
      <c r="O862" s="93"/>
      <c r="P862" s="95"/>
      <c r="Q862" s="196"/>
    </row>
    <row r="863" spans="3:17" x14ac:dyDescent="0.25">
      <c r="C863" s="198"/>
      <c r="D863" s="111"/>
      <c r="E863" s="33"/>
      <c r="F863" s="104"/>
      <c r="H863" s="115"/>
      <c r="I863" s="26"/>
      <c r="J863" s="98"/>
      <c r="K863" s="36"/>
      <c r="L863" s="26"/>
      <c r="M863" s="26"/>
      <c r="N863" s="26"/>
      <c r="O863" s="93"/>
      <c r="P863" s="95"/>
      <c r="Q863" s="196"/>
    </row>
    <row r="864" spans="3:17" x14ac:dyDescent="0.25">
      <c r="C864" s="198"/>
      <c r="D864" s="111"/>
      <c r="E864" s="33"/>
      <c r="F864" s="104"/>
      <c r="H864" s="115"/>
      <c r="I864" s="26"/>
      <c r="J864" s="98"/>
      <c r="K864" s="36"/>
      <c r="L864" s="26"/>
      <c r="M864" s="26"/>
      <c r="N864" s="26"/>
      <c r="O864" s="93"/>
      <c r="P864" s="95"/>
      <c r="Q864" s="196"/>
    </row>
    <row r="865" spans="3:17" x14ac:dyDescent="0.25">
      <c r="C865" s="198"/>
      <c r="D865" s="111"/>
      <c r="E865" s="33"/>
      <c r="F865" s="104"/>
      <c r="H865" s="115"/>
      <c r="I865" s="26"/>
      <c r="J865" s="98"/>
      <c r="K865" s="36"/>
      <c r="L865" s="26"/>
      <c r="M865" s="26"/>
      <c r="N865" s="26"/>
      <c r="O865" s="93"/>
      <c r="P865" s="95"/>
      <c r="Q865" s="196"/>
    </row>
    <row r="866" spans="3:17" x14ac:dyDescent="0.25">
      <c r="C866" s="198"/>
      <c r="D866" s="111"/>
      <c r="E866" s="33"/>
      <c r="F866" s="104"/>
      <c r="H866" s="115"/>
      <c r="I866" s="26"/>
      <c r="J866" s="98"/>
      <c r="K866" s="36"/>
      <c r="L866" s="26"/>
      <c r="M866" s="26"/>
      <c r="N866" s="26"/>
      <c r="O866" s="93"/>
      <c r="P866" s="95"/>
      <c r="Q866" s="196"/>
    </row>
    <row r="867" spans="3:17" x14ac:dyDescent="0.25">
      <c r="C867" s="198"/>
      <c r="D867" s="111"/>
      <c r="E867" s="33"/>
      <c r="F867" s="104"/>
      <c r="H867" s="115"/>
      <c r="I867" s="26"/>
      <c r="J867" s="98"/>
      <c r="K867" s="36"/>
      <c r="L867" s="26"/>
      <c r="M867" s="26"/>
      <c r="N867" s="26"/>
      <c r="O867" s="93"/>
      <c r="P867" s="95"/>
      <c r="Q867" s="196"/>
    </row>
    <row r="868" spans="3:17" x14ac:dyDescent="0.25">
      <c r="C868" s="198"/>
      <c r="D868" s="111"/>
      <c r="E868" s="33"/>
      <c r="F868" s="104"/>
      <c r="H868" s="115"/>
      <c r="I868" s="26"/>
      <c r="J868" s="98"/>
      <c r="K868" s="36"/>
      <c r="L868" s="26"/>
      <c r="M868" s="26"/>
      <c r="N868" s="26"/>
      <c r="O868" s="93"/>
      <c r="P868" s="95"/>
      <c r="Q868" s="196"/>
    </row>
    <row r="869" spans="3:17" x14ac:dyDescent="0.25">
      <c r="C869" s="198"/>
      <c r="D869" s="111"/>
      <c r="E869" s="33"/>
      <c r="F869" s="104"/>
      <c r="H869" s="115"/>
      <c r="I869" s="26"/>
      <c r="J869" s="98"/>
      <c r="K869" s="36"/>
      <c r="L869" s="26"/>
      <c r="M869" s="26"/>
      <c r="N869" s="26"/>
      <c r="O869" s="93"/>
      <c r="P869" s="95"/>
      <c r="Q869" s="196"/>
    </row>
    <row r="870" spans="3:17" x14ac:dyDescent="0.25">
      <c r="C870" s="198"/>
      <c r="D870" s="111"/>
      <c r="E870" s="33"/>
      <c r="F870" s="104"/>
      <c r="H870" s="115"/>
      <c r="I870" s="26"/>
      <c r="J870" s="98"/>
      <c r="K870" s="36"/>
      <c r="L870" s="26"/>
      <c r="M870" s="26"/>
      <c r="N870" s="26"/>
      <c r="O870" s="93"/>
      <c r="P870" s="95"/>
      <c r="Q870" s="196"/>
    </row>
    <row r="871" spans="3:17" x14ac:dyDescent="0.25">
      <c r="C871" s="198"/>
      <c r="D871" s="111"/>
      <c r="E871" s="33"/>
      <c r="F871" s="104"/>
      <c r="H871" s="115"/>
      <c r="I871" s="26"/>
      <c r="J871" s="98"/>
      <c r="K871" s="36"/>
      <c r="L871" s="26"/>
      <c r="M871" s="26"/>
      <c r="N871" s="26"/>
      <c r="O871" s="93"/>
      <c r="P871" s="95"/>
      <c r="Q871" s="196"/>
    </row>
    <row r="872" spans="3:17" x14ac:dyDescent="0.25">
      <c r="C872" s="198"/>
      <c r="D872" s="111"/>
      <c r="E872" s="33"/>
      <c r="F872" s="104"/>
      <c r="H872" s="115"/>
      <c r="I872" s="26"/>
      <c r="J872" s="98"/>
      <c r="K872" s="36"/>
      <c r="L872" s="26"/>
      <c r="M872" s="26"/>
      <c r="N872" s="26"/>
      <c r="O872" s="93"/>
      <c r="P872" s="95"/>
      <c r="Q872" s="196"/>
    </row>
    <row r="873" spans="3:17" x14ac:dyDescent="0.25">
      <c r="C873" s="198"/>
      <c r="D873" s="111"/>
      <c r="E873" s="33"/>
      <c r="F873" s="104"/>
      <c r="H873" s="115"/>
      <c r="I873" s="26"/>
      <c r="J873" s="98"/>
      <c r="K873" s="36"/>
      <c r="L873" s="26"/>
      <c r="M873" s="26"/>
      <c r="N873" s="26"/>
      <c r="O873" s="93"/>
      <c r="P873" s="95"/>
      <c r="Q873" s="196"/>
    </row>
    <row r="874" spans="3:17" x14ac:dyDescent="0.25">
      <c r="C874" s="198"/>
      <c r="D874" s="111"/>
      <c r="E874" s="33"/>
      <c r="F874" s="104"/>
      <c r="H874" s="115"/>
      <c r="I874" s="26"/>
      <c r="J874" s="98"/>
      <c r="K874" s="36"/>
      <c r="L874" s="26"/>
      <c r="M874" s="26"/>
      <c r="N874" s="26"/>
      <c r="O874" s="93"/>
      <c r="P874" s="95"/>
      <c r="Q874" s="196"/>
    </row>
    <row r="875" spans="3:17" x14ac:dyDescent="0.25">
      <c r="C875" s="198"/>
      <c r="D875" s="111"/>
      <c r="E875" s="33"/>
      <c r="F875" s="104"/>
      <c r="H875" s="115"/>
      <c r="I875" s="26"/>
      <c r="J875" s="98"/>
      <c r="K875" s="36"/>
      <c r="L875" s="26"/>
      <c r="M875" s="26"/>
      <c r="N875" s="26"/>
      <c r="O875" s="93"/>
      <c r="P875" s="95"/>
      <c r="Q875" s="196"/>
    </row>
    <row r="876" spans="3:17" x14ac:dyDescent="0.25">
      <c r="C876" s="198"/>
      <c r="D876" s="111"/>
      <c r="E876" s="33"/>
      <c r="F876" s="104"/>
      <c r="H876" s="115"/>
      <c r="I876" s="26"/>
      <c r="J876" s="98"/>
      <c r="K876" s="36"/>
      <c r="L876" s="26"/>
      <c r="M876" s="26"/>
      <c r="N876" s="26"/>
      <c r="O876" s="93"/>
      <c r="P876" s="95"/>
      <c r="Q876" s="196"/>
    </row>
    <row r="877" spans="3:17" x14ac:dyDescent="0.25">
      <c r="C877" s="198"/>
      <c r="D877" s="111"/>
      <c r="E877" s="33"/>
      <c r="F877" s="104"/>
      <c r="H877" s="115"/>
      <c r="I877" s="26"/>
      <c r="J877" s="98"/>
      <c r="K877" s="36"/>
      <c r="L877" s="26"/>
      <c r="M877" s="26"/>
      <c r="N877" s="26"/>
      <c r="O877" s="93"/>
      <c r="P877" s="95"/>
      <c r="Q877" s="196"/>
    </row>
    <row r="878" spans="3:17" x14ac:dyDescent="0.25">
      <c r="C878" s="198"/>
      <c r="D878" s="111"/>
      <c r="E878" s="33"/>
      <c r="F878" s="104"/>
      <c r="H878" s="115"/>
      <c r="I878" s="26"/>
      <c r="J878" s="98"/>
      <c r="K878" s="36"/>
      <c r="L878" s="26"/>
      <c r="M878" s="26"/>
      <c r="N878" s="26"/>
      <c r="O878" s="93"/>
      <c r="P878" s="95"/>
      <c r="Q878" s="196"/>
    </row>
    <row r="879" spans="3:17" x14ac:dyDescent="0.25">
      <c r="C879" s="198"/>
      <c r="D879" s="111"/>
      <c r="E879" s="33"/>
      <c r="F879" s="104"/>
      <c r="H879" s="115"/>
      <c r="I879" s="26"/>
      <c r="J879" s="98"/>
      <c r="K879" s="36"/>
      <c r="L879" s="26"/>
      <c r="M879" s="26"/>
      <c r="N879" s="26"/>
      <c r="O879" s="93"/>
      <c r="P879" s="95"/>
      <c r="Q879" s="196"/>
    </row>
    <row r="880" spans="3:17" x14ac:dyDescent="0.25">
      <c r="C880" s="198"/>
      <c r="D880" s="111"/>
      <c r="E880" s="33"/>
      <c r="F880" s="104"/>
      <c r="H880" s="115"/>
      <c r="I880" s="26"/>
      <c r="J880" s="98"/>
      <c r="K880" s="36"/>
      <c r="L880" s="26"/>
      <c r="M880" s="26"/>
      <c r="N880" s="26"/>
      <c r="O880" s="93"/>
      <c r="P880" s="95"/>
      <c r="Q880" s="196"/>
    </row>
    <row r="881" spans="3:17" x14ac:dyDescent="0.25">
      <c r="C881" s="198"/>
      <c r="D881" s="111"/>
      <c r="E881" s="33"/>
      <c r="F881" s="104"/>
      <c r="H881" s="115"/>
      <c r="I881" s="26"/>
      <c r="J881" s="98"/>
      <c r="K881" s="36"/>
      <c r="L881" s="26"/>
      <c r="M881" s="26"/>
      <c r="N881" s="26"/>
      <c r="O881" s="93"/>
      <c r="P881" s="95"/>
      <c r="Q881" s="196"/>
    </row>
    <row r="882" spans="3:17" x14ac:dyDescent="0.25">
      <c r="C882" s="198"/>
      <c r="D882" s="111"/>
      <c r="E882" s="33"/>
      <c r="F882" s="104"/>
      <c r="H882" s="115"/>
      <c r="I882" s="26"/>
      <c r="J882" s="98"/>
      <c r="K882" s="36"/>
      <c r="L882" s="26"/>
      <c r="M882" s="26"/>
      <c r="N882" s="26"/>
      <c r="O882" s="93"/>
      <c r="P882" s="95"/>
      <c r="Q882" s="196"/>
    </row>
    <row r="883" spans="3:17" x14ac:dyDescent="0.25">
      <c r="C883" s="198"/>
      <c r="D883" s="111"/>
      <c r="E883" s="33"/>
      <c r="F883" s="104"/>
      <c r="H883" s="115"/>
      <c r="I883" s="26"/>
      <c r="J883" s="98"/>
      <c r="K883" s="36"/>
      <c r="L883" s="26"/>
      <c r="M883" s="26"/>
      <c r="N883" s="26"/>
      <c r="O883" s="93"/>
      <c r="P883" s="95"/>
      <c r="Q883" s="196"/>
    </row>
    <row r="884" spans="3:17" x14ac:dyDescent="0.25">
      <c r="C884" s="198"/>
      <c r="D884" s="111"/>
      <c r="E884" s="33"/>
      <c r="F884" s="104"/>
      <c r="H884" s="115"/>
      <c r="I884" s="26"/>
      <c r="J884" s="98"/>
      <c r="K884" s="36"/>
      <c r="L884" s="26"/>
      <c r="M884" s="26"/>
      <c r="N884" s="26"/>
      <c r="O884" s="93"/>
      <c r="P884" s="95"/>
      <c r="Q884" s="196"/>
    </row>
    <row r="885" spans="3:17" x14ac:dyDescent="0.25">
      <c r="C885" s="198"/>
      <c r="D885" s="111"/>
      <c r="E885" s="33"/>
      <c r="F885" s="104"/>
      <c r="H885" s="115"/>
      <c r="I885" s="26"/>
      <c r="J885" s="98"/>
      <c r="K885" s="36"/>
      <c r="L885" s="26"/>
      <c r="M885" s="26"/>
      <c r="N885" s="26"/>
      <c r="O885" s="93"/>
      <c r="P885" s="95"/>
      <c r="Q885" s="196"/>
    </row>
    <row r="886" spans="3:17" x14ac:dyDescent="0.25">
      <c r="C886" s="198"/>
      <c r="D886" s="111"/>
      <c r="E886" s="33"/>
      <c r="F886" s="104"/>
      <c r="H886" s="115"/>
      <c r="I886" s="26"/>
      <c r="J886" s="98"/>
      <c r="K886" s="36"/>
      <c r="L886" s="26"/>
      <c r="M886" s="26"/>
      <c r="N886" s="26"/>
      <c r="O886" s="93"/>
      <c r="P886" s="95"/>
      <c r="Q886" s="196"/>
    </row>
    <row r="887" spans="3:17" x14ac:dyDescent="0.25">
      <c r="C887" s="198"/>
      <c r="D887" s="111"/>
      <c r="E887" s="33"/>
      <c r="F887" s="104"/>
      <c r="H887" s="115"/>
      <c r="I887" s="26"/>
      <c r="J887" s="98"/>
      <c r="K887" s="36"/>
      <c r="L887" s="26"/>
      <c r="M887" s="26"/>
      <c r="N887" s="26"/>
      <c r="O887" s="93"/>
      <c r="P887" s="95"/>
      <c r="Q887" s="196"/>
    </row>
    <row r="888" spans="3:17" x14ac:dyDescent="0.25">
      <c r="C888" s="198"/>
      <c r="D888" s="111"/>
      <c r="E888" s="33"/>
      <c r="F888" s="104"/>
      <c r="H888" s="115"/>
      <c r="I888" s="26"/>
      <c r="J888" s="98"/>
      <c r="K888" s="36"/>
      <c r="L888" s="26"/>
      <c r="M888" s="26"/>
      <c r="N888" s="26"/>
      <c r="O888" s="93"/>
      <c r="P888" s="95"/>
      <c r="Q888" s="196"/>
    </row>
    <row r="889" spans="3:17" x14ac:dyDescent="0.25">
      <c r="C889" s="198"/>
      <c r="D889" s="111"/>
      <c r="E889" s="33"/>
      <c r="F889" s="104"/>
      <c r="H889" s="115"/>
      <c r="I889" s="26"/>
      <c r="J889" s="98"/>
      <c r="K889" s="36"/>
      <c r="L889" s="26"/>
      <c r="M889" s="26"/>
      <c r="N889" s="26"/>
      <c r="O889" s="93"/>
      <c r="P889" s="95"/>
      <c r="Q889" s="196"/>
    </row>
    <row r="890" spans="3:17" x14ac:dyDescent="0.25">
      <c r="C890" s="198"/>
      <c r="D890" s="111"/>
      <c r="E890" s="33"/>
      <c r="F890" s="104"/>
      <c r="H890" s="115"/>
      <c r="I890" s="26"/>
      <c r="J890" s="98"/>
      <c r="K890" s="36"/>
      <c r="L890" s="26"/>
      <c r="M890" s="26"/>
      <c r="N890" s="26"/>
      <c r="O890" s="93"/>
      <c r="P890" s="95"/>
      <c r="Q890" s="196"/>
    </row>
    <row r="891" spans="3:17" x14ac:dyDescent="0.25">
      <c r="C891" s="198"/>
      <c r="D891" s="111"/>
      <c r="E891" s="33"/>
      <c r="F891" s="104"/>
      <c r="H891" s="115"/>
      <c r="I891" s="26"/>
      <c r="J891" s="98"/>
      <c r="K891" s="36"/>
      <c r="L891" s="26"/>
      <c r="M891" s="26"/>
      <c r="N891" s="26"/>
      <c r="O891" s="93"/>
      <c r="P891" s="95"/>
      <c r="Q891" s="196"/>
    </row>
    <row r="892" spans="3:17" x14ac:dyDescent="0.25">
      <c r="C892" s="198"/>
      <c r="D892" s="111"/>
      <c r="E892" s="33"/>
      <c r="F892" s="104"/>
      <c r="H892" s="115"/>
      <c r="I892" s="26"/>
      <c r="J892" s="98"/>
      <c r="K892" s="36"/>
      <c r="L892" s="26"/>
      <c r="M892" s="26"/>
      <c r="N892" s="26"/>
      <c r="O892" s="93"/>
      <c r="P892" s="95"/>
      <c r="Q892" s="196"/>
    </row>
    <row r="893" spans="3:17" x14ac:dyDescent="0.25">
      <c r="C893" s="198"/>
      <c r="D893" s="111"/>
      <c r="E893" s="33"/>
      <c r="F893" s="104"/>
      <c r="H893" s="115"/>
      <c r="I893" s="26"/>
      <c r="J893" s="98"/>
      <c r="K893" s="36"/>
      <c r="L893" s="26"/>
      <c r="M893" s="26"/>
      <c r="N893" s="26"/>
      <c r="O893" s="93"/>
      <c r="P893" s="95"/>
      <c r="Q893" s="196"/>
    </row>
    <row r="894" spans="3:17" x14ac:dyDescent="0.25">
      <c r="C894" s="198"/>
      <c r="D894" s="111"/>
      <c r="E894" s="33"/>
      <c r="F894" s="104"/>
      <c r="H894" s="115"/>
      <c r="I894" s="26"/>
      <c r="J894" s="98"/>
      <c r="K894" s="36"/>
      <c r="L894" s="26"/>
      <c r="M894" s="26"/>
      <c r="N894" s="26"/>
      <c r="O894" s="93"/>
      <c r="P894" s="95"/>
      <c r="Q894" s="196"/>
    </row>
    <row r="895" spans="3:17" x14ac:dyDescent="0.25">
      <c r="C895" s="198"/>
      <c r="D895" s="111"/>
      <c r="E895" s="33"/>
      <c r="F895" s="104"/>
      <c r="H895" s="115"/>
      <c r="I895" s="26"/>
      <c r="J895" s="98"/>
      <c r="K895" s="36"/>
      <c r="L895" s="26"/>
      <c r="M895" s="26"/>
      <c r="N895" s="26"/>
      <c r="O895" s="93"/>
      <c r="P895" s="95"/>
      <c r="Q895" s="196"/>
    </row>
    <row r="896" spans="3:17" x14ac:dyDescent="0.25">
      <c r="C896" s="198"/>
      <c r="D896" s="111"/>
      <c r="E896" s="33"/>
      <c r="F896" s="104"/>
      <c r="H896" s="115"/>
      <c r="I896" s="26"/>
      <c r="J896" s="98"/>
      <c r="K896" s="36"/>
      <c r="L896" s="26"/>
      <c r="M896" s="26"/>
      <c r="N896" s="26"/>
      <c r="O896" s="93"/>
      <c r="P896" s="95"/>
      <c r="Q896" s="196"/>
    </row>
    <row r="897" spans="3:17" x14ac:dyDescent="0.25">
      <c r="C897" s="198"/>
      <c r="D897" s="111"/>
      <c r="E897" s="33"/>
      <c r="F897" s="104"/>
      <c r="H897" s="115"/>
      <c r="I897" s="26"/>
      <c r="J897" s="98"/>
      <c r="K897" s="36"/>
      <c r="L897" s="26"/>
      <c r="M897" s="26"/>
      <c r="N897" s="26"/>
      <c r="O897" s="93"/>
      <c r="P897" s="95"/>
      <c r="Q897" s="196"/>
    </row>
    <row r="898" spans="3:17" x14ac:dyDescent="0.25">
      <c r="C898" s="198"/>
      <c r="D898" s="111"/>
      <c r="E898" s="33"/>
      <c r="F898" s="104"/>
      <c r="H898" s="115"/>
      <c r="I898" s="26"/>
      <c r="J898" s="98"/>
      <c r="K898" s="36"/>
      <c r="L898" s="26"/>
      <c r="M898" s="26"/>
      <c r="N898" s="26"/>
      <c r="O898" s="93"/>
      <c r="P898" s="95"/>
      <c r="Q898" s="196"/>
    </row>
    <row r="899" spans="3:17" x14ac:dyDescent="0.25">
      <c r="C899" s="198"/>
      <c r="D899" s="111"/>
      <c r="E899" s="33"/>
      <c r="F899" s="104"/>
      <c r="H899" s="115"/>
      <c r="I899" s="26"/>
      <c r="J899" s="98"/>
      <c r="K899" s="36"/>
      <c r="L899" s="26"/>
      <c r="M899" s="26"/>
      <c r="N899" s="26"/>
      <c r="O899" s="93"/>
      <c r="P899" s="95"/>
      <c r="Q899" s="196"/>
    </row>
    <row r="900" spans="3:17" x14ac:dyDescent="0.25">
      <c r="C900" s="198"/>
      <c r="D900" s="111"/>
      <c r="E900" s="33"/>
      <c r="F900" s="104"/>
      <c r="H900" s="115"/>
      <c r="I900" s="26"/>
      <c r="J900" s="98"/>
      <c r="K900" s="36"/>
      <c r="L900" s="26"/>
      <c r="M900" s="26"/>
      <c r="N900" s="26"/>
      <c r="O900" s="93"/>
      <c r="P900" s="95"/>
      <c r="Q900" s="196"/>
    </row>
    <row r="901" spans="3:17" x14ac:dyDescent="0.25">
      <c r="C901" s="198"/>
      <c r="D901" s="111"/>
      <c r="E901" s="33"/>
      <c r="F901" s="104"/>
      <c r="H901" s="115"/>
      <c r="I901" s="26"/>
      <c r="J901" s="98"/>
      <c r="K901" s="36"/>
      <c r="L901" s="26"/>
      <c r="M901" s="26"/>
      <c r="N901" s="26"/>
      <c r="O901" s="93"/>
      <c r="P901" s="95"/>
      <c r="Q901" s="196"/>
    </row>
    <row r="902" spans="3:17" x14ac:dyDescent="0.25">
      <c r="C902" s="198"/>
      <c r="D902" s="111"/>
      <c r="E902" s="33"/>
      <c r="F902" s="104"/>
      <c r="H902" s="115"/>
      <c r="I902" s="26"/>
      <c r="J902" s="98"/>
      <c r="K902" s="36"/>
      <c r="L902" s="26"/>
      <c r="M902" s="26"/>
      <c r="N902" s="26"/>
      <c r="O902" s="93"/>
      <c r="P902" s="95"/>
      <c r="Q902" s="196"/>
    </row>
    <row r="903" spans="3:17" x14ac:dyDescent="0.25">
      <c r="C903" s="198"/>
      <c r="D903" s="111"/>
      <c r="E903" s="33"/>
      <c r="F903" s="104"/>
      <c r="H903" s="115"/>
      <c r="I903" s="26"/>
      <c r="J903" s="98"/>
      <c r="K903" s="36"/>
      <c r="L903" s="26"/>
      <c r="M903" s="26"/>
      <c r="N903" s="26"/>
      <c r="O903" s="93"/>
      <c r="P903" s="95"/>
      <c r="Q903" s="196"/>
    </row>
    <row r="904" spans="3:17" x14ac:dyDescent="0.25">
      <c r="C904" s="198"/>
      <c r="D904" s="111"/>
      <c r="E904" s="33"/>
      <c r="F904" s="104"/>
      <c r="H904" s="115"/>
      <c r="I904" s="26"/>
      <c r="J904" s="98"/>
      <c r="K904" s="36"/>
      <c r="L904" s="26"/>
      <c r="M904" s="26"/>
      <c r="N904" s="26"/>
      <c r="O904" s="93"/>
      <c r="P904" s="95"/>
      <c r="Q904" s="196"/>
    </row>
    <row r="905" spans="3:17" x14ac:dyDescent="0.25">
      <c r="C905" s="198"/>
      <c r="D905" s="111"/>
      <c r="E905" s="33"/>
      <c r="F905" s="104"/>
      <c r="H905" s="115"/>
      <c r="I905" s="26"/>
      <c r="J905" s="98"/>
      <c r="K905" s="36"/>
      <c r="L905" s="26"/>
      <c r="M905" s="26"/>
      <c r="N905" s="26"/>
      <c r="O905" s="93"/>
      <c r="P905" s="95"/>
      <c r="Q905" s="196"/>
    </row>
    <row r="906" spans="3:17" x14ac:dyDescent="0.25">
      <c r="C906" s="198"/>
      <c r="D906" s="111"/>
      <c r="E906" s="33"/>
      <c r="F906" s="104"/>
      <c r="H906" s="115"/>
      <c r="I906" s="26"/>
      <c r="J906" s="98"/>
      <c r="K906" s="36"/>
      <c r="L906" s="26"/>
      <c r="M906" s="26"/>
      <c r="N906" s="26"/>
      <c r="O906" s="93"/>
      <c r="P906" s="95"/>
      <c r="Q906" s="196"/>
    </row>
    <row r="907" spans="3:17" x14ac:dyDescent="0.25">
      <c r="C907" s="198"/>
      <c r="D907" s="111"/>
      <c r="E907" s="33"/>
      <c r="F907" s="104"/>
      <c r="H907" s="115"/>
      <c r="I907" s="26"/>
      <c r="J907" s="98"/>
      <c r="K907" s="36"/>
      <c r="L907" s="26"/>
      <c r="M907" s="26"/>
      <c r="N907" s="26"/>
      <c r="O907" s="93"/>
      <c r="P907" s="95"/>
      <c r="Q907" s="196"/>
    </row>
    <row r="908" spans="3:17" x14ac:dyDescent="0.25">
      <c r="C908" s="198"/>
      <c r="D908" s="111"/>
      <c r="E908" s="33"/>
      <c r="F908" s="104"/>
      <c r="H908" s="115"/>
      <c r="I908" s="26"/>
      <c r="J908" s="98"/>
      <c r="K908" s="36"/>
      <c r="L908" s="26"/>
      <c r="M908" s="26"/>
      <c r="N908" s="26"/>
      <c r="O908" s="93"/>
      <c r="P908" s="95"/>
      <c r="Q908" s="196"/>
    </row>
    <row r="909" spans="3:17" x14ac:dyDescent="0.25">
      <c r="C909" s="198"/>
      <c r="D909" s="111"/>
      <c r="E909" s="33"/>
      <c r="F909" s="104"/>
      <c r="H909" s="115"/>
      <c r="I909" s="26"/>
      <c r="J909" s="98"/>
      <c r="K909" s="36"/>
      <c r="L909" s="26"/>
      <c r="M909" s="26"/>
      <c r="N909" s="26"/>
      <c r="O909" s="93"/>
      <c r="P909" s="95"/>
      <c r="Q909" s="196"/>
    </row>
    <row r="910" spans="3:17" x14ac:dyDescent="0.25">
      <c r="C910" s="198"/>
      <c r="D910" s="111"/>
      <c r="E910" s="33"/>
      <c r="F910" s="104"/>
      <c r="H910" s="115"/>
      <c r="I910" s="26"/>
      <c r="J910" s="98"/>
      <c r="K910" s="36"/>
      <c r="L910" s="26"/>
      <c r="M910" s="26"/>
      <c r="N910" s="26"/>
      <c r="O910" s="93"/>
      <c r="P910" s="95"/>
      <c r="Q910" s="196"/>
    </row>
    <row r="911" spans="3:17" x14ac:dyDescent="0.25">
      <c r="C911" s="198"/>
      <c r="D911" s="111"/>
      <c r="E911" s="33"/>
      <c r="F911" s="104"/>
      <c r="H911" s="115"/>
      <c r="I911" s="26"/>
      <c r="J911" s="98"/>
      <c r="K911" s="36"/>
      <c r="L911" s="26"/>
      <c r="M911" s="26"/>
      <c r="N911" s="26"/>
      <c r="O911" s="93"/>
      <c r="P911" s="95"/>
      <c r="Q911" s="196"/>
    </row>
    <row r="912" spans="3:17" x14ac:dyDescent="0.25">
      <c r="C912" s="198"/>
      <c r="D912" s="111"/>
      <c r="E912" s="33"/>
      <c r="F912" s="104"/>
      <c r="H912" s="115"/>
      <c r="I912" s="26"/>
      <c r="J912" s="98"/>
      <c r="K912" s="36"/>
      <c r="L912" s="26"/>
      <c r="M912" s="26"/>
      <c r="N912" s="26"/>
      <c r="O912" s="93"/>
      <c r="P912" s="95"/>
      <c r="Q912" s="196"/>
    </row>
    <row r="913" spans="3:17" x14ac:dyDescent="0.25">
      <c r="C913" s="198"/>
      <c r="D913" s="111"/>
      <c r="E913" s="33"/>
      <c r="F913" s="104"/>
      <c r="H913" s="115"/>
      <c r="I913" s="26"/>
      <c r="J913" s="98"/>
      <c r="K913" s="36"/>
      <c r="L913" s="26"/>
      <c r="M913" s="26"/>
      <c r="N913" s="26"/>
      <c r="O913" s="93"/>
      <c r="P913" s="95"/>
      <c r="Q913" s="196"/>
    </row>
    <row r="914" spans="3:17" x14ac:dyDescent="0.25">
      <c r="C914" s="198"/>
      <c r="D914" s="111"/>
      <c r="E914" s="33"/>
      <c r="F914" s="104"/>
      <c r="H914" s="115"/>
      <c r="I914" s="26"/>
      <c r="J914" s="98"/>
      <c r="K914" s="36"/>
      <c r="L914" s="26"/>
      <c r="M914" s="26"/>
      <c r="N914" s="26"/>
      <c r="O914" s="93"/>
      <c r="P914" s="95"/>
      <c r="Q914" s="196"/>
    </row>
    <row r="915" spans="3:17" x14ac:dyDescent="0.25">
      <c r="C915" s="198"/>
      <c r="D915" s="111"/>
      <c r="E915" s="33"/>
      <c r="F915" s="104"/>
      <c r="H915" s="115"/>
      <c r="I915" s="26"/>
      <c r="J915" s="98"/>
      <c r="K915" s="36"/>
      <c r="L915" s="26"/>
      <c r="M915" s="26"/>
      <c r="N915" s="26"/>
      <c r="O915" s="93"/>
      <c r="P915" s="95"/>
      <c r="Q915" s="196"/>
    </row>
    <row r="916" spans="3:17" x14ac:dyDescent="0.25">
      <c r="C916" s="198"/>
      <c r="D916" s="111"/>
      <c r="E916" s="33"/>
      <c r="F916" s="104"/>
      <c r="H916" s="115"/>
      <c r="I916" s="26"/>
      <c r="J916" s="98"/>
      <c r="K916" s="36"/>
      <c r="L916" s="26"/>
      <c r="M916" s="26"/>
      <c r="N916" s="26"/>
      <c r="O916" s="93"/>
      <c r="P916" s="95"/>
      <c r="Q916" s="196"/>
    </row>
    <row r="917" spans="3:17" x14ac:dyDescent="0.25">
      <c r="C917" s="198"/>
      <c r="D917" s="111"/>
      <c r="E917" s="33"/>
      <c r="F917" s="104"/>
      <c r="H917" s="115"/>
      <c r="I917" s="26"/>
      <c r="J917" s="98"/>
      <c r="K917" s="36"/>
      <c r="L917" s="26"/>
      <c r="M917" s="26"/>
      <c r="N917" s="26"/>
      <c r="O917" s="93"/>
      <c r="P917" s="95"/>
      <c r="Q917" s="196"/>
    </row>
    <row r="918" spans="3:17" x14ac:dyDescent="0.25">
      <c r="C918" s="198"/>
      <c r="D918" s="111"/>
      <c r="E918" s="33"/>
      <c r="F918" s="104"/>
      <c r="H918" s="115"/>
      <c r="I918" s="26"/>
      <c r="J918" s="98"/>
      <c r="K918" s="36"/>
      <c r="L918" s="26"/>
      <c r="M918" s="26"/>
      <c r="N918" s="26"/>
      <c r="O918" s="93"/>
      <c r="P918" s="95"/>
      <c r="Q918" s="196"/>
    </row>
    <row r="919" spans="3:17" x14ac:dyDescent="0.25">
      <c r="C919" s="198"/>
      <c r="D919" s="111"/>
      <c r="E919" s="33"/>
      <c r="F919" s="104"/>
      <c r="H919" s="115"/>
      <c r="I919" s="26"/>
      <c r="J919" s="98"/>
      <c r="K919" s="36"/>
      <c r="L919" s="26"/>
      <c r="M919" s="26"/>
      <c r="N919" s="26"/>
      <c r="O919" s="93"/>
      <c r="P919" s="95"/>
      <c r="Q919" s="196"/>
    </row>
    <row r="920" spans="3:17" x14ac:dyDescent="0.25">
      <c r="C920" s="198"/>
      <c r="D920" s="111"/>
      <c r="E920" s="33"/>
      <c r="F920" s="104"/>
      <c r="H920" s="115"/>
      <c r="I920" s="26"/>
      <c r="J920" s="98"/>
      <c r="K920" s="36"/>
      <c r="L920" s="26"/>
      <c r="M920" s="26"/>
      <c r="N920" s="26"/>
      <c r="O920" s="93"/>
      <c r="P920" s="95"/>
      <c r="Q920" s="196"/>
    </row>
    <row r="921" spans="3:17" x14ac:dyDescent="0.25">
      <c r="C921" s="198"/>
      <c r="D921" s="111"/>
      <c r="E921" s="33"/>
      <c r="F921" s="104"/>
      <c r="H921" s="115"/>
      <c r="I921" s="26"/>
      <c r="J921" s="98"/>
      <c r="K921" s="36"/>
      <c r="L921" s="26"/>
      <c r="M921" s="26"/>
      <c r="N921" s="26"/>
      <c r="O921" s="93"/>
      <c r="P921" s="95"/>
      <c r="Q921" s="196"/>
    </row>
    <row r="922" spans="3:17" x14ac:dyDescent="0.25">
      <c r="C922" s="198"/>
      <c r="D922" s="111"/>
      <c r="E922" s="33"/>
      <c r="F922" s="104"/>
      <c r="H922" s="115"/>
      <c r="I922" s="26"/>
      <c r="J922" s="98"/>
      <c r="K922" s="36"/>
      <c r="L922" s="26"/>
      <c r="M922" s="26"/>
      <c r="N922" s="26"/>
      <c r="O922" s="93"/>
      <c r="P922" s="95"/>
      <c r="Q922" s="196"/>
    </row>
    <row r="923" spans="3:17" x14ac:dyDescent="0.25">
      <c r="C923" s="198"/>
      <c r="D923" s="111"/>
      <c r="E923" s="33"/>
      <c r="F923" s="104"/>
      <c r="H923" s="115"/>
      <c r="I923" s="26"/>
      <c r="J923" s="98"/>
      <c r="K923" s="36"/>
      <c r="L923" s="26"/>
      <c r="M923" s="26"/>
      <c r="N923" s="26"/>
      <c r="O923" s="93"/>
      <c r="P923" s="95"/>
      <c r="Q923" s="196"/>
    </row>
    <row r="924" spans="3:17" x14ac:dyDescent="0.25">
      <c r="C924" s="198"/>
      <c r="D924" s="111"/>
      <c r="E924" s="33"/>
      <c r="F924" s="104"/>
      <c r="H924" s="115"/>
      <c r="I924" s="26"/>
      <c r="J924" s="98"/>
      <c r="K924" s="36"/>
      <c r="L924" s="26"/>
      <c r="M924" s="26"/>
      <c r="N924" s="26"/>
      <c r="O924" s="93"/>
      <c r="P924" s="95"/>
      <c r="Q924" s="196"/>
    </row>
    <row r="925" spans="3:17" x14ac:dyDescent="0.25">
      <c r="C925" s="198"/>
      <c r="D925" s="111"/>
      <c r="E925" s="33"/>
      <c r="F925" s="104"/>
      <c r="H925" s="115"/>
      <c r="I925" s="26"/>
      <c r="J925" s="98"/>
      <c r="K925" s="36"/>
      <c r="L925" s="26"/>
      <c r="M925" s="26"/>
      <c r="N925" s="26"/>
      <c r="O925" s="93"/>
      <c r="P925" s="95"/>
      <c r="Q925" s="196"/>
    </row>
    <row r="926" spans="3:17" x14ac:dyDescent="0.25">
      <c r="C926" s="198"/>
      <c r="D926" s="111"/>
      <c r="E926" s="33"/>
      <c r="F926" s="104"/>
      <c r="H926" s="115"/>
      <c r="I926" s="26"/>
      <c r="J926" s="98"/>
      <c r="K926" s="36"/>
      <c r="L926" s="26"/>
      <c r="M926" s="26"/>
      <c r="N926" s="26"/>
      <c r="O926" s="93"/>
      <c r="P926" s="95"/>
      <c r="Q926" s="196"/>
    </row>
    <row r="927" spans="3:17" x14ac:dyDescent="0.25">
      <c r="C927" s="198"/>
      <c r="D927" s="111"/>
      <c r="E927" s="33"/>
      <c r="F927" s="104"/>
      <c r="H927" s="115"/>
      <c r="I927" s="26"/>
      <c r="J927" s="98"/>
      <c r="K927" s="36"/>
      <c r="L927" s="26"/>
      <c r="M927" s="26"/>
      <c r="N927" s="26"/>
      <c r="O927" s="93"/>
      <c r="P927" s="95"/>
      <c r="Q927" s="196"/>
    </row>
    <row r="928" spans="3:17" x14ac:dyDescent="0.25">
      <c r="C928" s="198"/>
      <c r="D928" s="111"/>
      <c r="E928" s="33"/>
      <c r="F928" s="104"/>
      <c r="H928" s="115"/>
      <c r="I928" s="26"/>
      <c r="J928" s="98"/>
      <c r="K928" s="36"/>
      <c r="L928" s="26"/>
      <c r="M928" s="26"/>
      <c r="N928" s="26"/>
      <c r="O928" s="93"/>
      <c r="P928" s="95"/>
      <c r="Q928" s="196"/>
    </row>
    <row r="929" spans="3:17" x14ac:dyDescent="0.25">
      <c r="C929" s="198"/>
      <c r="D929" s="111"/>
      <c r="E929" s="33"/>
      <c r="F929" s="104"/>
      <c r="H929" s="115"/>
      <c r="I929" s="26"/>
      <c r="J929" s="98"/>
      <c r="K929" s="36"/>
      <c r="L929" s="26"/>
      <c r="M929" s="26"/>
      <c r="N929" s="26"/>
      <c r="O929" s="93"/>
      <c r="P929" s="95"/>
      <c r="Q929" s="196"/>
    </row>
    <row r="930" spans="3:17" x14ac:dyDescent="0.25">
      <c r="C930" s="198"/>
      <c r="D930" s="111"/>
      <c r="E930" s="33"/>
      <c r="F930" s="104"/>
      <c r="H930" s="115"/>
      <c r="I930" s="26"/>
      <c r="J930" s="98"/>
      <c r="K930" s="36"/>
      <c r="L930" s="26"/>
      <c r="M930" s="26"/>
      <c r="N930" s="26"/>
      <c r="O930" s="93"/>
      <c r="P930" s="95"/>
      <c r="Q930" s="196"/>
    </row>
    <row r="931" spans="3:17" x14ac:dyDescent="0.25">
      <c r="C931" s="198"/>
      <c r="D931" s="111"/>
      <c r="E931" s="33"/>
      <c r="F931" s="104"/>
      <c r="H931" s="115"/>
      <c r="I931" s="26"/>
      <c r="J931" s="98"/>
      <c r="K931" s="36"/>
      <c r="L931" s="26"/>
      <c r="M931" s="26"/>
      <c r="N931" s="26"/>
      <c r="O931" s="93"/>
      <c r="P931" s="95"/>
      <c r="Q931" s="196"/>
    </row>
    <row r="932" spans="3:17" x14ac:dyDescent="0.25">
      <c r="C932" s="198"/>
      <c r="D932" s="111"/>
      <c r="E932" s="33"/>
      <c r="F932" s="104"/>
      <c r="H932" s="115"/>
      <c r="I932" s="26"/>
      <c r="J932" s="98"/>
      <c r="K932" s="36"/>
      <c r="L932" s="26"/>
      <c r="M932" s="26"/>
      <c r="N932" s="26"/>
      <c r="O932" s="93"/>
      <c r="P932" s="95"/>
      <c r="Q932" s="196"/>
    </row>
    <row r="933" spans="3:17" x14ac:dyDescent="0.25">
      <c r="C933" s="198"/>
      <c r="D933" s="111"/>
      <c r="E933" s="33"/>
      <c r="F933" s="104"/>
      <c r="H933" s="115"/>
      <c r="I933" s="26"/>
      <c r="J933" s="98"/>
      <c r="K933" s="36"/>
      <c r="L933" s="26"/>
      <c r="M933" s="26"/>
      <c r="N933" s="26"/>
      <c r="O933" s="93"/>
      <c r="P933" s="95"/>
      <c r="Q933" s="196"/>
    </row>
    <row r="934" spans="3:17" x14ac:dyDescent="0.25">
      <c r="C934" s="198"/>
      <c r="D934" s="111"/>
      <c r="E934" s="33"/>
      <c r="F934" s="104"/>
      <c r="H934" s="115"/>
      <c r="I934" s="26"/>
      <c r="J934" s="98"/>
      <c r="K934" s="36"/>
      <c r="L934" s="26"/>
      <c r="M934" s="26"/>
      <c r="N934" s="26"/>
      <c r="O934" s="93"/>
      <c r="P934" s="95"/>
      <c r="Q934" s="196"/>
    </row>
    <row r="935" spans="3:17" x14ac:dyDescent="0.25">
      <c r="C935" s="198"/>
      <c r="D935" s="111"/>
      <c r="E935" s="33"/>
      <c r="F935" s="104"/>
      <c r="H935" s="115"/>
      <c r="I935" s="26"/>
      <c r="J935" s="98"/>
      <c r="K935" s="36"/>
      <c r="L935" s="26"/>
      <c r="M935" s="26"/>
      <c r="N935" s="26"/>
      <c r="O935" s="93"/>
      <c r="P935" s="95"/>
      <c r="Q935" s="196"/>
    </row>
    <row r="936" spans="3:17" x14ac:dyDescent="0.25">
      <c r="C936" s="198"/>
      <c r="D936" s="111"/>
      <c r="E936" s="33"/>
      <c r="F936" s="104"/>
      <c r="H936" s="115"/>
      <c r="I936" s="26"/>
      <c r="J936" s="98"/>
      <c r="K936" s="36"/>
      <c r="L936" s="26"/>
      <c r="M936" s="26"/>
      <c r="N936" s="26"/>
      <c r="O936" s="93"/>
      <c r="P936" s="95"/>
      <c r="Q936" s="196"/>
    </row>
    <row r="937" spans="3:17" x14ac:dyDescent="0.25">
      <c r="C937" s="198"/>
      <c r="D937" s="111"/>
      <c r="E937" s="33"/>
      <c r="F937" s="104"/>
      <c r="H937" s="115"/>
      <c r="I937" s="26"/>
      <c r="J937" s="98"/>
      <c r="K937" s="36"/>
      <c r="L937" s="26"/>
      <c r="M937" s="26"/>
      <c r="N937" s="26"/>
      <c r="O937" s="93"/>
      <c r="P937" s="95"/>
      <c r="Q937" s="196"/>
    </row>
    <row r="938" spans="3:17" x14ac:dyDescent="0.25">
      <c r="C938" s="198"/>
      <c r="D938" s="111"/>
      <c r="E938" s="33"/>
      <c r="F938" s="104"/>
      <c r="H938" s="115"/>
      <c r="I938" s="26"/>
      <c r="J938" s="98"/>
      <c r="K938" s="36"/>
      <c r="L938" s="26"/>
      <c r="M938" s="26"/>
      <c r="N938" s="26"/>
      <c r="O938" s="93"/>
      <c r="P938" s="95"/>
      <c r="Q938" s="196"/>
    </row>
    <row r="939" spans="3:17" x14ac:dyDescent="0.25">
      <c r="C939" s="198"/>
      <c r="D939" s="111"/>
      <c r="E939" s="33"/>
      <c r="F939" s="104"/>
      <c r="H939" s="115"/>
      <c r="I939" s="26"/>
      <c r="J939" s="98"/>
      <c r="K939" s="36"/>
      <c r="L939" s="26"/>
      <c r="M939" s="26"/>
      <c r="N939" s="26"/>
      <c r="O939" s="93"/>
      <c r="P939" s="95"/>
      <c r="Q939" s="196"/>
    </row>
    <row r="940" spans="3:17" x14ac:dyDescent="0.25">
      <c r="C940" s="198"/>
      <c r="D940" s="111"/>
      <c r="E940" s="33"/>
      <c r="F940" s="104"/>
      <c r="H940" s="115"/>
      <c r="I940" s="26"/>
      <c r="J940" s="98"/>
      <c r="K940" s="36"/>
      <c r="L940" s="26"/>
      <c r="M940" s="26"/>
      <c r="N940" s="26"/>
      <c r="O940" s="93"/>
      <c r="P940" s="95"/>
      <c r="Q940" s="196"/>
    </row>
    <row r="941" spans="3:17" x14ac:dyDescent="0.25">
      <c r="C941" s="198"/>
      <c r="D941" s="111"/>
      <c r="E941" s="33"/>
      <c r="F941" s="104"/>
      <c r="H941" s="115"/>
      <c r="I941" s="26"/>
      <c r="J941" s="98"/>
      <c r="K941" s="36"/>
      <c r="L941" s="26"/>
      <c r="M941" s="26"/>
      <c r="N941" s="26"/>
      <c r="O941" s="93"/>
      <c r="P941" s="95"/>
      <c r="Q941" s="196"/>
    </row>
    <row r="942" spans="3:17" x14ac:dyDescent="0.25">
      <c r="C942" s="198"/>
      <c r="D942" s="111"/>
      <c r="E942" s="33"/>
      <c r="F942" s="104"/>
      <c r="H942" s="115"/>
      <c r="I942" s="26"/>
      <c r="J942" s="98"/>
      <c r="K942" s="36"/>
      <c r="L942" s="26"/>
      <c r="M942" s="26"/>
      <c r="N942" s="26"/>
      <c r="O942" s="93"/>
      <c r="P942" s="95"/>
      <c r="Q942" s="196"/>
    </row>
    <row r="943" spans="3:17" x14ac:dyDescent="0.25">
      <c r="C943" s="198"/>
      <c r="D943" s="111"/>
      <c r="E943" s="33"/>
      <c r="F943" s="104"/>
      <c r="H943" s="115"/>
      <c r="I943" s="26"/>
      <c r="J943" s="98"/>
      <c r="K943" s="36"/>
      <c r="L943" s="26"/>
      <c r="M943" s="26"/>
      <c r="N943" s="26"/>
      <c r="O943" s="93"/>
      <c r="P943" s="95"/>
      <c r="Q943" s="196"/>
    </row>
    <row r="944" spans="3:17" x14ac:dyDescent="0.25">
      <c r="C944" s="198"/>
      <c r="D944" s="111"/>
      <c r="E944" s="33"/>
      <c r="F944" s="104"/>
      <c r="H944" s="115"/>
      <c r="I944" s="26"/>
      <c r="J944" s="98"/>
      <c r="K944" s="36"/>
      <c r="L944" s="26"/>
      <c r="M944" s="26"/>
      <c r="N944" s="26"/>
      <c r="O944" s="93"/>
      <c r="P944" s="95"/>
      <c r="Q944" s="196"/>
    </row>
    <row r="945" spans="3:17" x14ac:dyDescent="0.25">
      <c r="C945" s="198"/>
      <c r="D945" s="111"/>
      <c r="E945" s="33"/>
      <c r="F945" s="104"/>
      <c r="H945" s="115"/>
      <c r="I945" s="26"/>
      <c r="J945" s="98"/>
      <c r="K945" s="36"/>
      <c r="L945" s="26"/>
      <c r="M945" s="26"/>
      <c r="N945" s="26"/>
      <c r="O945" s="93"/>
      <c r="P945" s="95"/>
      <c r="Q945" s="196"/>
    </row>
    <row r="946" spans="3:17" x14ac:dyDescent="0.25">
      <c r="C946" s="198"/>
      <c r="D946" s="111"/>
      <c r="E946" s="33"/>
      <c r="F946" s="104"/>
      <c r="H946" s="115"/>
      <c r="I946" s="26"/>
      <c r="J946" s="98"/>
      <c r="K946" s="36"/>
      <c r="L946" s="26"/>
      <c r="M946" s="26"/>
      <c r="N946" s="26"/>
      <c r="O946" s="93"/>
      <c r="P946" s="95"/>
      <c r="Q946" s="196"/>
    </row>
    <row r="947" spans="3:17" x14ac:dyDescent="0.25">
      <c r="C947" s="198"/>
      <c r="D947" s="111"/>
      <c r="E947" s="33"/>
      <c r="F947" s="104"/>
      <c r="H947" s="115"/>
      <c r="I947" s="26"/>
      <c r="J947" s="98"/>
      <c r="K947" s="36"/>
      <c r="L947" s="26"/>
      <c r="M947" s="26"/>
      <c r="N947" s="26"/>
      <c r="O947" s="93"/>
      <c r="P947" s="95"/>
      <c r="Q947" s="196"/>
    </row>
    <row r="948" spans="3:17" x14ac:dyDescent="0.25">
      <c r="C948" s="198"/>
      <c r="D948" s="111"/>
      <c r="E948" s="33"/>
      <c r="F948" s="104"/>
      <c r="H948" s="115"/>
      <c r="I948" s="26"/>
      <c r="J948" s="98"/>
      <c r="K948" s="36"/>
      <c r="L948" s="26"/>
      <c r="M948" s="26"/>
      <c r="N948" s="26"/>
      <c r="O948" s="93"/>
      <c r="P948" s="95"/>
      <c r="Q948" s="196"/>
    </row>
    <row r="949" spans="3:17" x14ac:dyDescent="0.25">
      <c r="C949" s="198"/>
      <c r="D949" s="111"/>
      <c r="E949" s="33"/>
      <c r="F949" s="104"/>
      <c r="H949" s="115"/>
      <c r="I949" s="26"/>
      <c r="J949" s="98"/>
      <c r="K949" s="36"/>
      <c r="L949" s="26"/>
      <c r="M949" s="26"/>
      <c r="N949" s="26"/>
      <c r="O949" s="93"/>
      <c r="P949" s="95"/>
      <c r="Q949" s="196"/>
    </row>
    <row r="950" spans="3:17" x14ac:dyDescent="0.25">
      <c r="C950" s="198"/>
      <c r="D950" s="111"/>
      <c r="E950" s="33"/>
      <c r="F950" s="104"/>
      <c r="H950" s="115"/>
      <c r="I950" s="26"/>
      <c r="J950" s="98"/>
      <c r="K950" s="36"/>
      <c r="L950" s="26"/>
      <c r="M950" s="26"/>
      <c r="N950" s="26"/>
      <c r="O950" s="93"/>
      <c r="P950" s="95"/>
      <c r="Q950" s="196"/>
    </row>
    <row r="951" spans="3:17" x14ac:dyDescent="0.25">
      <c r="C951" s="198"/>
      <c r="D951" s="111"/>
      <c r="E951" s="33"/>
      <c r="F951" s="104"/>
      <c r="H951" s="115"/>
      <c r="I951" s="26"/>
      <c r="J951" s="98"/>
      <c r="K951" s="36"/>
      <c r="L951" s="26"/>
      <c r="M951" s="26"/>
      <c r="N951" s="26"/>
      <c r="O951" s="93"/>
      <c r="P951" s="95"/>
      <c r="Q951" s="196"/>
    </row>
    <row r="952" spans="3:17" x14ac:dyDescent="0.25">
      <c r="C952" s="198"/>
      <c r="D952" s="111"/>
      <c r="E952" s="33"/>
      <c r="F952" s="104"/>
      <c r="H952" s="115"/>
      <c r="I952" s="26"/>
      <c r="J952" s="98"/>
      <c r="K952" s="36"/>
      <c r="L952" s="26"/>
      <c r="M952" s="26"/>
      <c r="N952" s="26"/>
      <c r="O952" s="93"/>
      <c r="P952" s="95"/>
      <c r="Q952" s="196"/>
    </row>
    <row r="953" spans="3:17" x14ac:dyDescent="0.25">
      <c r="C953" s="198"/>
      <c r="D953" s="111"/>
      <c r="E953" s="33"/>
      <c r="F953" s="104"/>
      <c r="H953" s="115"/>
      <c r="I953" s="26"/>
      <c r="J953" s="98"/>
      <c r="K953" s="36"/>
      <c r="L953" s="26"/>
      <c r="M953" s="26"/>
      <c r="N953" s="26"/>
      <c r="O953" s="93"/>
      <c r="P953" s="95"/>
      <c r="Q953" s="196"/>
    </row>
    <row r="954" spans="3:17" x14ac:dyDescent="0.25">
      <c r="C954" s="198"/>
      <c r="D954" s="111"/>
      <c r="E954" s="33"/>
      <c r="F954" s="104"/>
      <c r="H954" s="115"/>
      <c r="I954" s="26"/>
      <c r="J954" s="98"/>
      <c r="K954" s="36"/>
      <c r="L954" s="26"/>
      <c r="M954" s="26"/>
      <c r="N954" s="26"/>
      <c r="O954" s="93"/>
      <c r="P954" s="95"/>
      <c r="Q954" s="196"/>
    </row>
    <row r="955" spans="3:17" x14ac:dyDescent="0.25">
      <c r="C955" s="198"/>
      <c r="D955" s="111"/>
      <c r="E955" s="33"/>
      <c r="F955" s="104"/>
      <c r="H955" s="115"/>
      <c r="I955" s="26"/>
      <c r="J955" s="98"/>
      <c r="K955" s="36"/>
      <c r="L955" s="26"/>
      <c r="M955" s="26"/>
      <c r="N955" s="26"/>
      <c r="O955" s="93"/>
      <c r="P955" s="95"/>
      <c r="Q955" s="196"/>
    </row>
    <row r="956" spans="3:17" x14ac:dyDescent="0.25">
      <c r="C956" s="198"/>
      <c r="D956" s="111"/>
      <c r="E956" s="33"/>
      <c r="F956" s="104"/>
      <c r="H956" s="115"/>
      <c r="I956" s="26"/>
      <c r="J956" s="98"/>
      <c r="K956" s="36"/>
      <c r="L956" s="26"/>
      <c r="M956" s="26"/>
      <c r="N956" s="26"/>
      <c r="O956" s="93"/>
      <c r="P956" s="95"/>
      <c r="Q956" s="196"/>
    </row>
    <row r="957" spans="3:17" x14ac:dyDescent="0.25">
      <c r="C957" s="198"/>
      <c r="D957" s="111"/>
      <c r="E957" s="33"/>
      <c r="F957" s="104"/>
      <c r="H957" s="115"/>
      <c r="I957" s="26"/>
      <c r="J957" s="98"/>
      <c r="K957" s="36"/>
      <c r="L957" s="26"/>
      <c r="M957" s="26"/>
      <c r="N957" s="26"/>
      <c r="O957" s="93"/>
      <c r="P957" s="95"/>
      <c r="Q957" s="196"/>
    </row>
    <row r="958" spans="3:17" x14ac:dyDescent="0.25">
      <c r="C958" s="198"/>
      <c r="D958" s="111"/>
      <c r="E958" s="33"/>
      <c r="F958" s="104"/>
      <c r="H958" s="115"/>
      <c r="I958" s="26"/>
      <c r="J958" s="98"/>
      <c r="K958" s="36"/>
      <c r="L958" s="26"/>
      <c r="M958" s="26"/>
      <c r="N958" s="26"/>
      <c r="O958" s="93"/>
      <c r="P958" s="95"/>
      <c r="Q958" s="196"/>
    </row>
    <row r="959" spans="3:17" x14ac:dyDescent="0.25">
      <c r="C959" s="198"/>
      <c r="D959" s="111"/>
      <c r="E959" s="33"/>
      <c r="F959" s="104"/>
      <c r="H959" s="115"/>
      <c r="I959" s="26"/>
      <c r="J959" s="98"/>
      <c r="K959" s="36"/>
      <c r="L959" s="26"/>
      <c r="M959" s="26"/>
      <c r="N959" s="26"/>
      <c r="O959" s="93"/>
      <c r="P959" s="95"/>
      <c r="Q959" s="196"/>
    </row>
    <row r="960" spans="3:17" x14ac:dyDescent="0.25">
      <c r="C960" s="198"/>
      <c r="D960" s="111"/>
      <c r="E960" s="33"/>
      <c r="F960" s="104"/>
      <c r="H960" s="115"/>
      <c r="I960" s="26"/>
      <c r="J960" s="98"/>
      <c r="K960" s="36"/>
      <c r="L960" s="26"/>
      <c r="M960" s="26"/>
      <c r="N960" s="26"/>
      <c r="O960" s="93"/>
      <c r="P960" s="95"/>
      <c r="Q960" s="196"/>
    </row>
    <row r="961" spans="3:17" x14ac:dyDescent="0.25">
      <c r="C961" s="198"/>
      <c r="D961" s="111"/>
      <c r="E961" s="33"/>
      <c r="F961" s="104"/>
      <c r="H961" s="115"/>
      <c r="I961" s="26"/>
      <c r="J961" s="98"/>
      <c r="K961" s="36"/>
      <c r="L961" s="26"/>
      <c r="M961" s="26"/>
      <c r="N961" s="26"/>
      <c r="O961" s="93"/>
      <c r="P961" s="95"/>
      <c r="Q961" s="196"/>
    </row>
    <row r="962" spans="3:17" x14ac:dyDescent="0.25">
      <c r="C962" s="198"/>
      <c r="D962" s="111"/>
      <c r="E962" s="33"/>
      <c r="F962" s="104"/>
      <c r="H962" s="115"/>
      <c r="I962" s="26"/>
      <c r="J962" s="98"/>
      <c r="K962" s="36"/>
      <c r="L962" s="26"/>
      <c r="M962" s="26"/>
      <c r="N962" s="26"/>
      <c r="O962" s="93"/>
      <c r="P962" s="95"/>
      <c r="Q962" s="196"/>
    </row>
    <row r="963" spans="3:17" x14ac:dyDescent="0.25">
      <c r="C963" s="198"/>
      <c r="D963" s="111"/>
      <c r="E963" s="33"/>
      <c r="F963" s="104"/>
      <c r="H963" s="115"/>
      <c r="I963" s="26"/>
      <c r="J963" s="98"/>
      <c r="K963" s="36"/>
      <c r="L963" s="26"/>
      <c r="M963" s="26"/>
      <c r="N963" s="26"/>
      <c r="O963" s="93"/>
      <c r="P963" s="95"/>
      <c r="Q963" s="196"/>
    </row>
    <row r="964" spans="3:17" x14ac:dyDescent="0.25">
      <c r="C964" s="198"/>
      <c r="D964" s="111"/>
      <c r="E964" s="33"/>
      <c r="F964" s="104"/>
      <c r="H964" s="115"/>
      <c r="I964" s="26"/>
      <c r="J964" s="98"/>
      <c r="K964" s="36"/>
      <c r="L964" s="26"/>
      <c r="M964" s="26"/>
      <c r="N964" s="26"/>
      <c r="O964" s="93"/>
      <c r="P964" s="95"/>
      <c r="Q964" s="196"/>
    </row>
    <row r="965" spans="3:17" x14ac:dyDescent="0.25">
      <c r="C965" s="198"/>
      <c r="D965" s="111"/>
      <c r="E965" s="33"/>
      <c r="F965" s="104"/>
      <c r="H965" s="115"/>
      <c r="I965" s="26"/>
      <c r="J965" s="98"/>
      <c r="K965" s="36"/>
      <c r="L965" s="26"/>
      <c r="M965" s="26"/>
      <c r="N965" s="26"/>
      <c r="O965" s="93"/>
      <c r="P965" s="95"/>
      <c r="Q965" s="196"/>
    </row>
    <row r="966" spans="3:17" x14ac:dyDescent="0.25">
      <c r="C966" s="198"/>
      <c r="D966" s="111"/>
      <c r="E966" s="33"/>
      <c r="F966" s="104"/>
      <c r="H966" s="115"/>
      <c r="I966" s="26"/>
      <c r="J966" s="98"/>
      <c r="K966" s="36"/>
      <c r="L966" s="26"/>
      <c r="M966" s="26"/>
      <c r="N966" s="26"/>
      <c r="O966" s="93"/>
      <c r="P966" s="95"/>
      <c r="Q966" s="196"/>
    </row>
    <row r="967" spans="3:17" x14ac:dyDescent="0.25">
      <c r="C967" s="198"/>
      <c r="D967" s="111"/>
      <c r="E967" s="33"/>
      <c r="F967" s="104"/>
      <c r="H967" s="115"/>
      <c r="I967" s="26"/>
      <c r="J967" s="98"/>
      <c r="K967" s="36"/>
      <c r="L967" s="26"/>
      <c r="M967" s="26"/>
      <c r="N967" s="26"/>
      <c r="O967" s="93"/>
      <c r="P967" s="95"/>
      <c r="Q967" s="196"/>
    </row>
    <row r="968" spans="3:17" x14ac:dyDescent="0.25">
      <c r="C968" s="198"/>
      <c r="D968" s="111"/>
      <c r="E968" s="33"/>
      <c r="F968" s="104"/>
      <c r="H968" s="115"/>
      <c r="I968" s="26"/>
      <c r="J968" s="98"/>
      <c r="K968" s="36"/>
      <c r="L968" s="26"/>
      <c r="M968" s="26"/>
      <c r="N968" s="26"/>
      <c r="O968" s="93"/>
      <c r="P968" s="95"/>
      <c r="Q968" s="196"/>
    </row>
    <row r="969" spans="3:17" x14ac:dyDescent="0.25">
      <c r="C969" s="198"/>
      <c r="D969" s="111"/>
      <c r="E969" s="33"/>
      <c r="F969" s="104"/>
      <c r="H969" s="115"/>
      <c r="I969" s="26"/>
      <c r="J969" s="98"/>
      <c r="K969" s="36"/>
      <c r="L969" s="26"/>
      <c r="M969" s="26"/>
      <c r="N969" s="26"/>
      <c r="O969" s="93"/>
      <c r="P969" s="95"/>
      <c r="Q969" s="196"/>
    </row>
    <row r="970" spans="3:17" x14ac:dyDescent="0.25">
      <c r="C970" s="198"/>
      <c r="D970" s="111"/>
      <c r="E970" s="33"/>
      <c r="F970" s="104"/>
      <c r="H970" s="115"/>
      <c r="I970" s="26"/>
      <c r="J970" s="98"/>
      <c r="K970" s="36"/>
      <c r="L970" s="26"/>
      <c r="M970" s="26"/>
      <c r="N970" s="26"/>
      <c r="O970" s="93"/>
      <c r="P970" s="95"/>
      <c r="Q970" s="196"/>
    </row>
    <row r="971" spans="3:17" x14ac:dyDescent="0.25">
      <c r="C971" s="198"/>
      <c r="D971" s="111"/>
      <c r="E971" s="33"/>
      <c r="F971" s="104"/>
      <c r="H971" s="115"/>
      <c r="I971" s="26"/>
      <c r="J971" s="98"/>
      <c r="K971" s="36"/>
      <c r="L971" s="26"/>
      <c r="M971" s="26"/>
      <c r="N971" s="26"/>
      <c r="O971" s="93"/>
      <c r="P971" s="95"/>
      <c r="Q971" s="196"/>
    </row>
    <row r="972" spans="3:17" x14ac:dyDescent="0.25">
      <c r="C972" s="198"/>
      <c r="D972" s="111"/>
      <c r="E972" s="33"/>
      <c r="F972" s="104"/>
      <c r="H972" s="115"/>
      <c r="I972" s="26"/>
      <c r="J972" s="98"/>
      <c r="K972" s="36"/>
      <c r="L972" s="26"/>
      <c r="M972" s="26"/>
      <c r="N972" s="26"/>
      <c r="O972" s="93"/>
      <c r="P972" s="95"/>
      <c r="Q972" s="196"/>
    </row>
    <row r="973" spans="3:17" x14ac:dyDescent="0.25">
      <c r="C973" s="198"/>
      <c r="D973" s="111"/>
      <c r="E973" s="33"/>
      <c r="F973" s="104"/>
      <c r="H973" s="115"/>
      <c r="I973" s="26"/>
      <c r="J973" s="98"/>
      <c r="K973" s="36"/>
      <c r="L973" s="26"/>
      <c r="M973" s="26"/>
      <c r="N973" s="26"/>
      <c r="O973" s="93"/>
      <c r="P973" s="95"/>
      <c r="Q973" s="196"/>
    </row>
    <row r="974" spans="3:17" x14ac:dyDescent="0.25">
      <c r="C974" s="198"/>
      <c r="D974" s="111"/>
      <c r="E974" s="33"/>
      <c r="F974" s="104"/>
      <c r="H974" s="115"/>
      <c r="I974" s="26"/>
      <c r="J974" s="98"/>
      <c r="K974" s="36"/>
      <c r="L974" s="26"/>
      <c r="M974" s="26"/>
      <c r="N974" s="26"/>
      <c r="O974" s="93"/>
      <c r="P974" s="95"/>
      <c r="Q974" s="196"/>
    </row>
    <row r="975" spans="3:17" x14ac:dyDescent="0.25">
      <c r="C975" s="198"/>
      <c r="D975" s="111"/>
      <c r="E975" s="33"/>
      <c r="F975" s="104"/>
      <c r="H975" s="115"/>
      <c r="I975" s="26"/>
      <c r="J975" s="98"/>
      <c r="K975" s="36"/>
      <c r="L975" s="26"/>
      <c r="M975" s="26"/>
      <c r="N975" s="26"/>
      <c r="O975" s="93"/>
      <c r="P975" s="95"/>
      <c r="Q975" s="196"/>
    </row>
    <row r="976" spans="3:17" x14ac:dyDescent="0.25">
      <c r="C976" s="198"/>
      <c r="D976" s="111"/>
      <c r="E976" s="33"/>
      <c r="F976" s="104"/>
      <c r="H976" s="115"/>
      <c r="I976" s="26"/>
      <c r="J976" s="98"/>
      <c r="K976" s="36"/>
      <c r="L976" s="26"/>
      <c r="M976" s="26"/>
      <c r="N976" s="26"/>
      <c r="O976" s="93"/>
      <c r="P976" s="95"/>
      <c r="Q976" s="196"/>
    </row>
    <row r="977" spans="3:17" x14ac:dyDescent="0.25">
      <c r="C977" s="198"/>
      <c r="D977" s="111"/>
      <c r="E977" s="33"/>
      <c r="F977" s="104"/>
      <c r="H977" s="115"/>
      <c r="I977" s="26"/>
      <c r="J977" s="98"/>
      <c r="K977" s="36"/>
      <c r="L977" s="26"/>
      <c r="M977" s="26"/>
      <c r="N977" s="26"/>
      <c r="O977" s="93"/>
      <c r="P977" s="95"/>
      <c r="Q977" s="196"/>
    </row>
    <row r="978" spans="3:17" x14ac:dyDescent="0.25">
      <c r="C978" s="198"/>
      <c r="D978" s="111"/>
      <c r="E978" s="33"/>
      <c r="F978" s="104"/>
      <c r="H978" s="115"/>
      <c r="I978" s="26"/>
      <c r="J978" s="98"/>
      <c r="K978" s="36"/>
      <c r="L978" s="26"/>
      <c r="M978" s="26"/>
      <c r="N978" s="26"/>
      <c r="O978" s="93"/>
      <c r="P978" s="95"/>
      <c r="Q978" s="196"/>
    </row>
    <row r="979" spans="3:17" x14ac:dyDescent="0.25">
      <c r="C979" s="198"/>
      <c r="D979" s="111"/>
      <c r="E979" s="33"/>
      <c r="F979" s="104"/>
      <c r="H979" s="115"/>
      <c r="I979" s="26"/>
      <c r="J979" s="98"/>
      <c r="K979" s="36"/>
      <c r="L979" s="26"/>
      <c r="M979" s="26"/>
      <c r="N979" s="26"/>
      <c r="O979" s="93"/>
      <c r="P979" s="95"/>
      <c r="Q979" s="196"/>
    </row>
    <row r="980" spans="3:17" x14ac:dyDescent="0.25">
      <c r="C980" s="198"/>
      <c r="D980" s="111"/>
      <c r="E980" s="33"/>
      <c r="F980" s="104"/>
      <c r="H980" s="115"/>
      <c r="I980" s="26"/>
      <c r="J980" s="98"/>
      <c r="K980" s="36"/>
      <c r="L980" s="26"/>
      <c r="M980" s="26"/>
      <c r="N980" s="26"/>
      <c r="O980" s="93"/>
      <c r="P980" s="95"/>
      <c r="Q980" s="196"/>
    </row>
    <row r="981" spans="3:17" x14ac:dyDescent="0.25">
      <c r="C981" s="198"/>
      <c r="D981" s="111"/>
      <c r="E981" s="33"/>
      <c r="F981" s="104"/>
      <c r="H981" s="115"/>
      <c r="I981" s="26"/>
      <c r="J981" s="98"/>
      <c r="K981" s="36"/>
      <c r="L981" s="26"/>
      <c r="M981" s="26"/>
      <c r="N981" s="26"/>
      <c r="O981" s="93"/>
      <c r="P981" s="95"/>
      <c r="Q981" s="196"/>
    </row>
    <row r="982" spans="3:17" x14ac:dyDescent="0.25">
      <c r="C982" s="198"/>
      <c r="D982" s="111"/>
      <c r="E982" s="33"/>
      <c r="F982" s="104"/>
      <c r="H982" s="115"/>
      <c r="I982" s="26"/>
      <c r="J982" s="98"/>
      <c r="K982" s="36"/>
      <c r="L982" s="26"/>
      <c r="M982" s="26"/>
      <c r="N982" s="26"/>
      <c r="O982" s="93"/>
      <c r="P982" s="95"/>
      <c r="Q982" s="196"/>
    </row>
    <row r="983" spans="3:17" x14ac:dyDescent="0.25">
      <c r="C983" s="198"/>
      <c r="D983" s="111"/>
      <c r="E983" s="33"/>
      <c r="F983" s="104"/>
      <c r="H983" s="115"/>
      <c r="I983" s="26"/>
      <c r="J983" s="98"/>
      <c r="K983" s="36"/>
      <c r="L983" s="26"/>
      <c r="M983" s="26"/>
      <c r="N983" s="26"/>
      <c r="O983" s="93"/>
      <c r="P983" s="95"/>
      <c r="Q983" s="196"/>
    </row>
    <row r="984" spans="3:17" x14ac:dyDescent="0.25">
      <c r="C984" s="198"/>
      <c r="D984" s="111"/>
      <c r="E984" s="33"/>
      <c r="F984" s="104"/>
      <c r="H984" s="115"/>
      <c r="I984" s="26"/>
      <c r="J984" s="98"/>
      <c r="K984" s="36"/>
      <c r="L984" s="26"/>
      <c r="M984" s="26"/>
      <c r="N984" s="26"/>
      <c r="O984" s="93"/>
      <c r="P984" s="95"/>
      <c r="Q984" s="196"/>
    </row>
    <row r="985" spans="3:17" x14ac:dyDescent="0.25">
      <c r="C985" s="198"/>
      <c r="D985" s="111"/>
      <c r="E985" s="33"/>
      <c r="F985" s="104"/>
      <c r="H985" s="115"/>
      <c r="I985" s="26"/>
      <c r="J985" s="98"/>
      <c r="K985" s="36"/>
      <c r="L985" s="26"/>
      <c r="M985" s="26"/>
      <c r="N985" s="26"/>
      <c r="O985" s="93"/>
      <c r="P985" s="95"/>
      <c r="Q985" s="196"/>
    </row>
    <row r="986" spans="3:17" x14ac:dyDescent="0.25">
      <c r="C986" s="198"/>
      <c r="D986" s="111"/>
      <c r="E986" s="33"/>
      <c r="F986" s="104"/>
      <c r="H986" s="115"/>
      <c r="I986" s="26"/>
      <c r="J986" s="98"/>
      <c r="K986" s="36"/>
      <c r="L986" s="26"/>
      <c r="M986" s="26"/>
      <c r="N986" s="26"/>
      <c r="O986" s="93"/>
      <c r="P986" s="95"/>
      <c r="Q986" s="196"/>
    </row>
    <row r="987" spans="3:17" x14ac:dyDescent="0.25">
      <c r="C987" s="198"/>
      <c r="D987" s="111"/>
      <c r="E987" s="33"/>
      <c r="F987" s="104"/>
      <c r="H987" s="115"/>
      <c r="I987" s="26"/>
      <c r="J987" s="98"/>
      <c r="K987" s="36"/>
      <c r="L987" s="26"/>
      <c r="M987" s="26"/>
      <c r="N987" s="26"/>
      <c r="O987" s="93"/>
      <c r="P987" s="95"/>
      <c r="Q987" s="196"/>
    </row>
    <row r="988" spans="3:17" x14ac:dyDescent="0.25">
      <c r="C988" s="198"/>
      <c r="D988" s="111"/>
      <c r="E988" s="33"/>
      <c r="F988" s="104"/>
      <c r="H988" s="115"/>
      <c r="I988" s="26"/>
      <c r="J988" s="98"/>
      <c r="K988" s="36"/>
      <c r="L988" s="26"/>
      <c r="M988" s="26"/>
      <c r="N988" s="26"/>
      <c r="O988" s="93"/>
      <c r="P988" s="95"/>
      <c r="Q988" s="196"/>
    </row>
    <row r="989" spans="3:17" x14ac:dyDescent="0.25">
      <c r="C989" s="198"/>
      <c r="D989" s="111"/>
      <c r="E989" s="33"/>
      <c r="F989" s="104"/>
      <c r="H989" s="115"/>
      <c r="I989" s="26"/>
      <c r="J989" s="98"/>
      <c r="K989" s="36"/>
      <c r="L989" s="26"/>
      <c r="M989" s="26"/>
      <c r="N989" s="26"/>
      <c r="O989" s="93"/>
      <c r="P989" s="95"/>
      <c r="Q989" s="196"/>
    </row>
    <row r="990" spans="3:17" x14ac:dyDescent="0.25">
      <c r="C990" s="198"/>
      <c r="D990" s="111"/>
      <c r="E990" s="33"/>
      <c r="F990" s="104"/>
      <c r="H990" s="115"/>
      <c r="I990" s="26"/>
      <c r="J990" s="98"/>
      <c r="K990" s="36"/>
      <c r="L990" s="26"/>
      <c r="M990" s="26"/>
      <c r="N990" s="26"/>
      <c r="O990" s="93"/>
      <c r="P990" s="95"/>
      <c r="Q990" s="196"/>
    </row>
    <row r="991" spans="3:17" x14ac:dyDescent="0.25">
      <c r="C991" s="198"/>
      <c r="D991" s="111"/>
      <c r="E991" s="33"/>
      <c r="F991" s="104"/>
      <c r="H991" s="115"/>
      <c r="I991" s="26"/>
      <c r="J991" s="98"/>
      <c r="K991" s="36"/>
      <c r="L991" s="26"/>
      <c r="M991" s="26"/>
      <c r="N991" s="26"/>
      <c r="O991" s="93"/>
      <c r="P991" s="95"/>
      <c r="Q991" s="196"/>
    </row>
    <row r="992" spans="3:17" x14ac:dyDescent="0.25">
      <c r="C992" s="198"/>
      <c r="D992" s="111"/>
      <c r="E992" s="33"/>
      <c r="F992" s="104"/>
      <c r="H992" s="115"/>
      <c r="I992" s="26"/>
      <c r="J992" s="98"/>
      <c r="K992" s="36"/>
      <c r="L992" s="26"/>
      <c r="M992" s="26"/>
      <c r="N992" s="26"/>
      <c r="O992" s="93"/>
      <c r="P992" s="95"/>
      <c r="Q992" s="196"/>
    </row>
    <row r="993" spans="3:17" x14ac:dyDescent="0.25">
      <c r="C993" s="198"/>
      <c r="D993" s="111"/>
      <c r="E993" s="33"/>
      <c r="F993" s="104"/>
      <c r="H993" s="115"/>
      <c r="I993" s="26"/>
      <c r="J993" s="98"/>
      <c r="K993" s="36"/>
      <c r="L993" s="26"/>
      <c r="M993" s="26"/>
      <c r="N993" s="26"/>
      <c r="O993" s="93"/>
      <c r="P993" s="95"/>
      <c r="Q993" s="196"/>
    </row>
    <row r="994" spans="3:17" x14ac:dyDescent="0.25">
      <c r="C994" s="198"/>
      <c r="D994" s="111"/>
      <c r="E994" s="33"/>
      <c r="F994" s="104"/>
      <c r="H994" s="115"/>
      <c r="I994" s="26"/>
      <c r="J994" s="98"/>
      <c r="K994" s="36"/>
      <c r="L994" s="26"/>
      <c r="M994" s="26"/>
      <c r="N994" s="26"/>
      <c r="O994" s="93"/>
      <c r="P994" s="95"/>
      <c r="Q994" s="196"/>
    </row>
    <row r="995" spans="3:17" x14ac:dyDescent="0.25">
      <c r="C995" s="198"/>
      <c r="D995" s="111"/>
      <c r="E995" s="33"/>
      <c r="F995" s="104"/>
      <c r="H995" s="115"/>
      <c r="I995" s="26"/>
      <c r="J995" s="98"/>
      <c r="K995" s="36"/>
      <c r="L995" s="26"/>
      <c r="M995" s="26"/>
      <c r="N995" s="26"/>
      <c r="O995" s="93"/>
      <c r="P995" s="95"/>
      <c r="Q995" s="196"/>
    </row>
    <row r="996" spans="3:17" x14ac:dyDescent="0.25">
      <c r="C996" s="198"/>
      <c r="D996" s="111"/>
      <c r="E996" s="33"/>
      <c r="F996" s="104"/>
      <c r="H996" s="115"/>
      <c r="I996" s="26"/>
      <c r="J996" s="98"/>
      <c r="K996" s="36"/>
      <c r="L996" s="26"/>
      <c r="M996" s="26"/>
      <c r="N996" s="26"/>
      <c r="O996" s="93"/>
      <c r="P996" s="95"/>
      <c r="Q996" s="196"/>
    </row>
    <row r="997" spans="3:17" x14ac:dyDescent="0.25">
      <c r="C997" s="198"/>
      <c r="D997" s="111"/>
      <c r="E997" s="33"/>
      <c r="F997" s="104"/>
      <c r="H997" s="115"/>
      <c r="I997" s="26"/>
      <c r="J997" s="98"/>
      <c r="K997" s="36"/>
      <c r="L997" s="26"/>
      <c r="M997" s="26"/>
      <c r="N997" s="26"/>
      <c r="O997" s="93"/>
      <c r="P997" s="95"/>
      <c r="Q997" s="196"/>
    </row>
    <row r="998" spans="3:17" x14ac:dyDescent="0.25">
      <c r="C998" s="198"/>
      <c r="D998" s="111"/>
      <c r="E998" s="33"/>
      <c r="F998" s="104"/>
      <c r="H998" s="115"/>
      <c r="I998" s="26"/>
      <c r="J998" s="98"/>
      <c r="K998" s="36"/>
      <c r="L998" s="26"/>
      <c r="M998" s="26"/>
      <c r="N998" s="26"/>
      <c r="O998" s="93"/>
      <c r="P998" s="95"/>
      <c r="Q998" s="196"/>
    </row>
    <row r="999" spans="3:17" x14ac:dyDescent="0.25">
      <c r="C999" s="198"/>
      <c r="D999" s="111"/>
      <c r="E999" s="33"/>
      <c r="F999" s="104"/>
      <c r="H999" s="115"/>
      <c r="I999" s="26"/>
      <c r="J999" s="98"/>
      <c r="K999" s="36"/>
      <c r="L999" s="26"/>
      <c r="M999" s="26"/>
      <c r="N999" s="26"/>
      <c r="O999" s="93"/>
      <c r="P999" s="95"/>
      <c r="Q999" s="196"/>
    </row>
    <row r="1000" spans="3:17" x14ac:dyDescent="0.25">
      <c r="C1000" s="198"/>
      <c r="D1000" s="111"/>
      <c r="E1000" s="33"/>
      <c r="F1000" s="104"/>
      <c r="H1000" s="115"/>
      <c r="I1000" s="26"/>
      <c r="J1000" s="98"/>
      <c r="K1000" s="36"/>
      <c r="L1000" s="26"/>
      <c r="M1000" s="26"/>
      <c r="N1000" s="26"/>
      <c r="O1000" s="93"/>
      <c r="P1000" s="95"/>
      <c r="Q1000" s="196"/>
    </row>
    <row r="1001" spans="3:17" x14ac:dyDescent="0.25">
      <c r="C1001" s="198"/>
      <c r="D1001" s="111"/>
      <c r="E1001" s="33"/>
      <c r="F1001" s="104"/>
      <c r="H1001" s="115"/>
      <c r="I1001" s="26"/>
      <c r="J1001" s="98"/>
      <c r="K1001" s="36"/>
      <c r="L1001" s="26"/>
      <c r="M1001" s="26"/>
      <c r="N1001" s="26"/>
      <c r="O1001" s="93"/>
      <c r="P1001" s="95"/>
      <c r="Q1001" s="196"/>
    </row>
    <row r="1002" spans="3:17" x14ac:dyDescent="0.25">
      <c r="C1002" s="198"/>
      <c r="D1002" s="111"/>
      <c r="E1002" s="33"/>
      <c r="F1002" s="104"/>
      <c r="H1002" s="115"/>
      <c r="I1002" s="26"/>
      <c r="J1002" s="98"/>
      <c r="K1002" s="36"/>
      <c r="L1002" s="26"/>
      <c r="M1002" s="26"/>
      <c r="N1002" s="26"/>
      <c r="O1002" s="93"/>
      <c r="P1002" s="95"/>
      <c r="Q1002" s="196"/>
    </row>
    <row r="1003" spans="3:17" x14ac:dyDescent="0.25">
      <c r="C1003" s="198"/>
      <c r="D1003" s="111"/>
      <c r="E1003" s="33"/>
      <c r="F1003" s="104"/>
      <c r="H1003" s="115"/>
      <c r="I1003" s="26"/>
      <c r="J1003" s="98"/>
      <c r="K1003" s="36"/>
      <c r="L1003" s="26"/>
      <c r="M1003" s="26"/>
      <c r="N1003" s="26"/>
      <c r="O1003" s="93"/>
      <c r="P1003" s="95"/>
      <c r="Q1003" s="196"/>
    </row>
    <row r="1004" spans="3:17" x14ac:dyDescent="0.25">
      <c r="C1004" s="198"/>
      <c r="D1004" s="111"/>
      <c r="E1004" s="33"/>
      <c r="F1004" s="104"/>
      <c r="H1004" s="115"/>
      <c r="I1004" s="26"/>
      <c r="J1004" s="98"/>
      <c r="K1004" s="36"/>
      <c r="L1004" s="26"/>
      <c r="M1004" s="26"/>
      <c r="N1004" s="26"/>
      <c r="O1004" s="93"/>
      <c r="P1004" s="95"/>
      <c r="Q1004" s="196"/>
    </row>
    <row r="1005" spans="3:17" x14ac:dyDescent="0.25">
      <c r="C1005" s="198"/>
      <c r="D1005" s="111"/>
      <c r="E1005" s="33"/>
      <c r="F1005" s="104"/>
      <c r="H1005" s="115"/>
      <c r="I1005" s="26"/>
      <c r="J1005" s="98"/>
      <c r="K1005" s="36"/>
      <c r="L1005" s="26"/>
      <c r="M1005" s="26"/>
      <c r="N1005" s="26"/>
      <c r="O1005" s="93"/>
      <c r="P1005" s="95"/>
      <c r="Q1005" s="196"/>
    </row>
    <row r="1006" spans="3:17" x14ac:dyDescent="0.25">
      <c r="C1006" s="198"/>
      <c r="D1006" s="111"/>
      <c r="E1006" s="33"/>
      <c r="F1006" s="104"/>
      <c r="H1006" s="115"/>
      <c r="I1006" s="26"/>
      <c r="J1006" s="98"/>
      <c r="K1006" s="36"/>
      <c r="L1006" s="26"/>
      <c r="M1006" s="26"/>
      <c r="N1006" s="26"/>
      <c r="O1006" s="93"/>
      <c r="P1006" s="95"/>
      <c r="Q1006" s="196"/>
    </row>
    <row r="1007" spans="3:17" x14ac:dyDescent="0.25">
      <c r="C1007" s="198"/>
      <c r="D1007" s="111"/>
      <c r="E1007" s="33"/>
      <c r="F1007" s="104"/>
      <c r="H1007" s="115"/>
      <c r="I1007" s="26"/>
      <c r="J1007" s="98"/>
      <c r="K1007" s="36"/>
      <c r="L1007" s="26"/>
      <c r="M1007" s="26"/>
      <c r="N1007" s="26"/>
      <c r="O1007" s="93"/>
      <c r="P1007" s="95"/>
      <c r="Q1007" s="196"/>
    </row>
    <row r="1008" spans="3:17" x14ac:dyDescent="0.25">
      <c r="C1008" s="198"/>
      <c r="D1008" s="111"/>
      <c r="E1008" s="33"/>
      <c r="F1008" s="104"/>
      <c r="H1008" s="115"/>
      <c r="I1008" s="26"/>
      <c r="J1008" s="98"/>
      <c r="K1008" s="36"/>
      <c r="L1008" s="26"/>
      <c r="M1008" s="26"/>
      <c r="N1008" s="26"/>
      <c r="O1008" s="93"/>
      <c r="P1008" s="95"/>
      <c r="Q1008" s="196"/>
    </row>
    <row r="1009" spans="3:17" x14ac:dyDescent="0.25">
      <c r="C1009" s="198"/>
      <c r="D1009" s="111"/>
      <c r="E1009" s="33"/>
      <c r="F1009" s="104"/>
      <c r="H1009" s="115"/>
      <c r="I1009" s="26"/>
      <c r="J1009" s="98"/>
      <c r="K1009" s="36"/>
      <c r="L1009" s="26"/>
      <c r="M1009" s="26"/>
      <c r="N1009" s="26"/>
      <c r="O1009" s="93"/>
      <c r="P1009" s="95"/>
      <c r="Q1009" s="196"/>
    </row>
    <row r="1010" spans="3:17" x14ac:dyDescent="0.25">
      <c r="C1010" s="198"/>
      <c r="D1010" s="111"/>
      <c r="E1010" s="33"/>
      <c r="F1010" s="104"/>
      <c r="H1010" s="115"/>
      <c r="I1010" s="26"/>
      <c r="J1010" s="98"/>
      <c r="K1010" s="36"/>
      <c r="L1010" s="26"/>
      <c r="M1010" s="26"/>
      <c r="N1010" s="26"/>
      <c r="O1010" s="93"/>
      <c r="P1010" s="95"/>
      <c r="Q1010" s="196"/>
    </row>
    <row r="1011" spans="3:17" x14ac:dyDescent="0.25">
      <c r="C1011" s="198"/>
      <c r="D1011" s="111"/>
      <c r="E1011" s="33"/>
      <c r="F1011" s="104"/>
      <c r="H1011" s="115"/>
      <c r="I1011" s="26"/>
      <c r="J1011" s="98"/>
      <c r="K1011" s="36"/>
      <c r="L1011" s="26"/>
      <c r="M1011" s="26"/>
      <c r="N1011" s="26"/>
      <c r="O1011" s="93"/>
      <c r="P1011" s="95"/>
      <c r="Q1011" s="196"/>
    </row>
    <row r="1012" spans="3:17" x14ac:dyDescent="0.25">
      <c r="C1012" s="198"/>
      <c r="D1012" s="111"/>
      <c r="E1012" s="33"/>
      <c r="F1012" s="104"/>
      <c r="H1012" s="115"/>
      <c r="I1012" s="26"/>
      <c r="J1012" s="98"/>
      <c r="K1012" s="36"/>
      <c r="L1012" s="26"/>
      <c r="M1012" s="26"/>
      <c r="N1012" s="26"/>
      <c r="O1012" s="93"/>
      <c r="P1012" s="95"/>
      <c r="Q1012" s="196"/>
    </row>
    <row r="1013" spans="3:17" x14ac:dyDescent="0.25">
      <c r="C1013" s="198"/>
      <c r="D1013" s="111"/>
      <c r="E1013" s="33"/>
      <c r="F1013" s="104"/>
      <c r="H1013" s="115"/>
      <c r="I1013" s="26"/>
      <c r="J1013" s="98"/>
      <c r="K1013" s="36"/>
      <c r="L1013" s="26"/>
      <c r="M1013" s="26"/>
      <c r="N1013" s="26"/>
      <c r="O1013" s="93"/>
      <c r="P1013" s="95"/>
      <c r="Q1013" s="196"/>
    </row>
    <row r="1014" spans="3:17" x14ac:dyDescent="0.25">
      <c r="C1014" s="198"/>
      <c r="D1014" s="111"/>
      <c r="E1014" s="33"/>
      <c r="F1014" s="104"/>
      <c r="H1014" s="115"/>
      <c r="I1014" s="26"/>
      <c r="J1014" s="98"/>
      <c r="K1014" s="36"/>
      <c r="L1014" s="26"/>
      <c r="M1014" s="26"/>
      <c r="N1014" s="26"/>
      <c r="O1014" s="93"/>
      <c r="P1014" s="95"/>
      <c r="Q1014" s="196"/>
    </row>
    <row r="1015" spans="3:17" x14ac:dyDescent="0.25">
      <c r="C1015" s="198"/>
      <c r="D1015" s="111"/>
      <c r="E1015" s="33"/>
      <c r="F1015" s="104"/>
      <c r="H1015" s="115"/>
      <c r="I1015" s="26"/>
      <c r="J1015" s="98"/>
      <c r="K1015" s="36"/>
      <c r="L1015" s="26"/>
      <c r="M1015" s="26"/>
      <c r="N1015" s="26"/>
      <c r="O1015" s="93"/>
      <c r="P1015" s="95"/>
      <c r="Q1015" s="196"/>
    </row>
    <row r="1016" spans="3:17" x14ac:dyDescent="0.25">
      <c r="C1016" s="198"/>
      <c r="D1016" s="111"/>
      <c r="E1016" s="33"/>
      <c r="F1016" s="104"/>
      <c r="H1016" s="115"/>
      <c r="I1016" s="26"/>
      <c r="J1016" s="98"/>
      <c r="K1016" s="36"/>
      <c r="L1016" s="26"/>
      <c r="M1016" s="26"/>
      <c r="N1016" s="26"/>
      <c r="O1016" s="93"/>
      <c r="P1016" s="95"/>
      <c r="Q1016" s="196"/>
    </row>
    <row r="1017" spans="3:17" x14ac:dyDescent="0.25">
      <c r="C1017" s="198"/>
      <c r="D1017" s="111"/>
      <c r="E1017" s="33"/>
      <c r="F1017" s="104"/>
      <c r="H1017" s="115"/>
      <c r="I1017" s="26"/>
      <c r="J1017" s="98"/>
      <c r="K1017" s="36"/>
      <c r="L1017" s="26"/>
      <c r="M1017" s="26"/>
      <c r="N1017" s="26"/>
      <c r="O1017" s="93"/>
      <c r="P1017" s="95"/>
      <c r="Q1017" s="196"/>
    </row>
    <row r="1018" spans="3:17" x14ac:dyDescent="0.25">
      <c r="C1018" s="198"/>
      <c r="D1018" s="111"/>
      <c r="E1018" s="33"/>
      <c r="F1018" s="104"/>
      <c r="H1018" s="115"/>
      <c r="I1018" s="26"/>
      <c r="J1018" s="98"/>
      <c r="K1018" s="36"/>
      <c r="L1018" s="26"/>
      <c r="M1018" s="26"/>
      <c r="N1018" s="26"/>
      <c r="O1018" s="93"/>
      <c r="P1018" s="95"/>
      <c r="Q1018" s="196"/>
    </row>
    <row r="1019" spans="3:17" x14ac:dyDescent="0.25">
      <c r="C1019" s="198"/>
      <c r="D1019" s="111"/>
      <c r="E1019" s="33"/>
      <c r="F1019" s="104"/>
      <c r="H1019" s="115"/>
      <c r="I1019" s="26"/>
      <c r="J1019" s="98"/>
      <c r="K1019" s="36"/>
      <c r="L1019" s="26"/>
      <c r="M1019" s="26"/>
      <c r="N1019" s="26"/>
      <c r="O1019" s="93"/>
      <c r="P1019" s="95"/>
      <c r="Q1019" s="196"/>
    </row>
    <row r="1020" spans="3:17" x14ac:dyDescent="0.25">
      <c r="C1020" s="198"/>
      <c r="D1020" s="111"/>
      <c r="E1020" s="33"/>
      <c r="F1020" s="104"/>
      <c r="H1020" s="115"/>
      <c r="I1020" s="26"/>
      <c r="J1020" s="98"/>
      <c r="K1020" s="36"/>
      <c r="L1020" s="26"/>
      <c r="M1020" s="26"/>
      <c r="N1020" s="26"/>
      <c r="O1020" s="93"/>
      <c r="P1020" s="95"/>
      <c r="Q1020" s="196"/>
    </row>
    <row r="1021" spans="3:17" x14ac:dyDescent="0.25">
      <c r="C1021" s="198"/>
      <c r="D1021" s="111"/>
      <c r="E1021" s="33"/>
      <c r="F1021" s="104"/>
      <c r="H1021" s="115"/>
      <c r="I1021" s="26"/>
      <c r="J1021" s="98"/>
      <c r="K1021" s="36"/>
      <c r="L1021" s="26"/>
      <c r="M1021" s="26"/>
      <c r="N1021" s="26"/>
      <c r="O1021" s="93"/>
      <c r="P1021" s="95"/>
      <c r="Q1021" s="196"/>
    </row>
    <row r="1022" spans="3:17" x14ac:dyDescent="0.25">
      <c r="C1022" s="198"/>
      <c r="D1022" s="111"/>
      <c r="E1022" s="33"/>
      <c r="F1022" s="104"/>
      <c r="H1022" s="115"/>
      <c r="I1022" s="26"/>
      <c r="J1022" s="98"/>
      <c r="K1022" s="36"/>
      <c r="L1022" s="26"/>
      <c r="M1022" s="26"/>
      <c r="N1022" s="26"/>
      <c r="O1022" s="93"/>
      <c r="P1022" s="95"/>
      <c r="Q1022" s="196"/>
    </row>
    <row r="1023" spans="3:17" x14ac:dyDescent="0.25">
      <c r="C1023" s="198"/>
      <c r="D1023" s="111"/>
      <c r="E1023" s="33"/>
      <c r="F1023" s="104"/>
      <c r="H1023" s="115"/>
      <c r="I1023" s="26"/>
      <c r="J1023" s="98"/>
      <c r="K1023" s="36"/>
      <c r="L1023" s="26"/>
      <c r="M1023" s="26"/>
      <c r="N1023" s="26"/>
      <c r="O1023" s="93"/>
      <c r="P1023" s="95"/>
      <c r="Q1023" s="196"/>
    </row>
    <row r="1024" spans="3:17" x14ac:dyDescent="0.25">
      <c r="C1024" s="198"/>
      <c r="D1024" s="111"/>
      <c r="E1024" s="33"/>
      <c r="F1024" s="104"/>
      <c r="H1024" s="115"/>
      <c r="I1024" s="26"/>
      <c r="J1024" s="98"/>
      <c r="K1024" s="36"/>
      <c r="L1024" s="26"/>
      <c r="M1024" s="26"/>
      <c r="N1024" s="26"/>
      <c r="O1024" s="93"/>
      <c r="P1024" s="95"/>
      <c r="Q1024" s="196"/>
    </row>
    <row r="1025" spans="3:17" x14ac:dyDescent="0.25">
      <c r="C1025" s="198"/>
      <c r="D1025" s="111"/>
      <c r="E1025" s="33"/>
      <c r="F1025" s="104"/>
      <c r="H1025" s="115"/>
      <c r="I1025" s="26"/>
      <c r="J1025" s="98"/>
      <c r="K1025" s="36"/>
      <c r="L1025" s="26"/>
      <c r="M1025" s="26"/>
      <c r="N1025" s="26"/>
      <c r="O1025" s="93"/>
      <c r="P1025" s="95"/>
      <c r="Q1025" s="196"/>
    </row>
    <row r="1026" spans="3:17" x14ac:dyDescent="0.25">
      <c r="C1026" s="198"/>
      <c r="D1026" s="111"/>
      <c r="E1026" s="33"/>
      <c r="F1026" s="104"/>
      <c r="H1026" s="115"/>
      <c r="I1026" s="26"/>
      <c r="J1026" s="98"/>
      <c r="K1026" s="36"/>
      <c r="L1026" s="26"/>
      <c r="M1026" s="26"/>
      <c r="N1026" s="26"/>
      <c r="O1026" s="93"/>
      <c r="P1026" s="95"/>
      <c r="Q1026" s="196"/>
    </row>
    <row r="1027" spans="3:17" x14ac:dyDescent="0.25">
      <c r="C1027" s="198"/>
      <c r="D1027" s="111"/>
      <c r="E1027" s="33"/>
      <c r="F1027" s="104"/>
      <c r="H1027" s="115"/>
      <c r="I1027" s="26"/>
      <c r="J1027" s="98"/>
      <c r="K1027" s="36"/>
      <c r="L1027" s="26"/>
      <c r="M1027" s="26"/>
      <c r="N1027" s="26"/>
      <c r="O1027" s="93"/>
      <c r="P1027" s="95"/>
      <c r="Q1027" s="196"/>
    </row>
    <row r="1028" spans="3:17" x14ac:dyDescent="0.25">
      <c r="C1028" s="198"/>
      <c r="D1028" s="111"/>
      <c r="E1028" s="33"/>
      <c r="F1028" s="104"/>
      <c r="H1028" s="115"/>
      <c r="I1028" s="26"/>
      <c r="J1028" s="98"/>
      <c r="K1028" s="36"/>
      <c r="L1028" s="26"/>
      <c r="M1028" s="26"/>
      <c r="N1028" s="26"/>
      <c r="O1028" s="93"/>
      <c r="P1028" s="95"/>
      <c r="Q1028" s="196"/>
    </row>
    <row r="1029" spans="3:17" x14ac:dyDescent="0.25">
      <c r="C1029" s="198"/>
      <c r="D1029" s="111"/>
      <c r="E1029" s="33"/>
      <c r="F1029" s="104"/>
      <c r="H1029" s="115"/>
      <c r="I1029" s="26"/>
      <c r="J1029" s="98"/>
      <c r="K1029" s="36"/>
      <c r="L1029" s="26"/>
      <c r="M1029" s="26"/>
      <c r="N1029" s="26"/>
      <c r="O1029" s="93"/>
      <c r="P1029" s="95"/>
      <c r="Q1029" s="196"/>
    </row>
    <row r="1030" spans="3:17" x14ac:dyDescent="0.25">
      <c r="C1030" s="198"/>
      <c r="D1030" s="111"/>
      <c r="E1030" s="33"/>
      <c r="F1030" s="104"/>
      <c r="H1030" s="115"/>
      <c r="I1030" s="26"/>
      <c r="J1030" s="98"/>
      <c r="K1030" s="36"/>
      <c r="L1030" s="26"/>
      <c r="M1030" s="26"/>
      <c r="N1030" s="26"/>
      <c r="O1030" s="93"/>
      <c r="P1030" s="95"/>
      <c r="Q1030" s="196"/>
    </row>
    <row r="1031" spans="3:17" x14ac:dyDescent="0.25">
      <c r="C1031" s="198"/>
      <c r="D1031" s="111"/>
      <c r="E1031" s="33"/>
      <c r="F1031" s="104"/>
      <c r="H1031" s="115"/>
      <c r="I1031" s="26"/>
      <c r="J1031" s="98"/>
      <c r="K1031" s="36"/>
      <c r="L1031" s="26"/>
      <c r="M1031" s="26"/>
      <c r="N1031" s="26"/>
      <c r="O1031" s="93"/>
      <c r="P1031" s="95"/>
      <c r="Q1031" s="196"/>
    </row>
    <row r="1032" spans="3:17" x14ac:dyDescent="0.25">
      <c r="C1032" s="198"/>
      <c r="D1032" s="111"/>
      <c r="E1032" s="33"/>
      <c r="F1032" s="104"/>
      <c r="H1032" s="115"/>
      <c r="I1032" s="26"/>
      <c r="J1032" s="98"/>
      <c r="K1032" s="36"/>
      <c r="L1032" s="26"/>
      <c r="M1032" s="26"/>
      <c r="N1032" s="26"/>
      <c r="O1032" s="93"/>
      <c r="P1032" s="95"/>
      <c r="Q1032" s="196"/>
    </row>
    <row r="1033" spans="3:17" x14ac:dyDescent="0.25">
      <c r="C1033" s="198"/>
      <c r="D1033" s="111"/>
      <c r="E1033" s="33"/>
      <c r="F1033" s="104"/>
      <c r="H1033" s="115"/>
      <c r="I1033" s="26"/>
      <c r="J1033" s="98"/>
      <c r="K1033" s="36"/>
      <c r="L1033" s="26"/>
      <c r="M1033" s="26"/>
      <c r="N1033" s="26"/>
      <c r="O1033" s="93"/>
      <c r="P1033" s="95"/>
      <c r="Q1033" s="196"/>
    </row>
    <row r="1034" spans="3:17" x14ac:dyDescent="0.25">
      <c r="C1034" s="198"/>
      <c r="D1034" s="111"/>
      <c r="E1034" s="33"/>
      <c r="F1034" s="104"/>
      <c r="H1034" s="115"/>
      <c r="I1034" s="26"/>
      <c r="J1034" s="98"/>
      <c r="K1034" s="36"/>
      <c r="L1034" s="26"/>
      <c r="M1034" s="26"/>
      <c r="N1034" s="26"/>
      <c r="O1034" s="93"/>
      <c r="P1034" s="95"/>
      <c r="Q1034" s="196"/>
    </row>
    <row r="1035" spans="3:17" x14ac:dyDescent="0.25">
      <c r="C1035" s="198"/>
      <c r="D1035" s="111"/>
      <c r="E1035" s="33"/>
      <c r="F1035" s="104"/>
      <c r="H1035" s="115"/>
      <c r="I1035" s="26"/>
      <c r="J1035" s="98"/>
      <c r="K1035" s="36"/>
      <c r="L1035" s="26"/>
      <c r="M1035" s="26"/>
      <c r="N1035" s="26"/>
      <c r="O1035" s="93"/>
      <c r="P1035" s="95"/>
      <c r="Q1035" s="196"/>
    </row>
    <row r="1036" spans="3:17" x14ac:dyDescent="0.25">
      <c r="C1036" s="198"/>
      <c r="D1036" s="111"/>
      <c r="E1036" s="33"/>
      <c r="F1036" s="104"/>
      <c r="H1036" s="115"/>
      <c r="I1036" s="26"/>
      <c r="J1036" s="98"/>
      <c r="K1036" s="36"/>
      <c r="L1036" s="26"/>
      <c r="M1036" s="26"/>
      <c r="N1036" s="26"/>
      <c r="O1036" s="93"/>
      <c r="P1036" s="95"/>
      <c r="Q1036" s="196"/>
    </row>
    <row r="1037" spans="3:17" x14ac:dyDescent="0.25">
      <c r="C1037" s="198"/>
      <c r="D1037" s="111"/>
      <c r="E1037" s="33"/>
      <c r="F1037" s="104"/>
      <c r="H1037" s="115"/>
      <c r="I1037" s="26"/>
      <c r="J1037" s="98"/>
      <c r="K1037" s="36"/>
      <c r="L1037" s="26"/>
      <c r="M1037" s="26"/>
      <c r="N1037" s="26"/>
      <c r="O1037" s="93"/>
      <c r="P1037" s="95"/>
      <c r="Q1037" s="196"/>
    </row>
    <row r="1038" spans="3:17" x14ac:dyDescent="0.25">
      <c r="C1038" s="198"/>
      <c r="D1038" s="111"/>
      <c r="E1038" s="33"/>
      <c r="F1038" s="104"/>
      <c r="H1038" s="115"/>
      <c r="I1038" s="26"/>
      <c r="J1038" s="98"/>
      <c r="K1038" s="36"/>
      <c r="L1038" s="26"/>
      <c r="M1038" s="26"/>
      <c r="N1038" s="26"/>
      <c r="O1038" s="93"/>
      <c r="P1038" s="95"/>
      <c r="Q1038" s="196"/>
    </row>
    <row r="1039" spans="3:17" x14ac:dyDescent="0.25">
      <c r="C1039" s="198"/>
      <c r="D1039" s="111"/>
      <c r="E1039" s="33"/>
      <c r="F1039" s="104"/>
      <c r="H1039" s="115"/>
      <c r="I1039" s="26"/>
      <c r="J1039" s="98"/>
      <c r="K1039" s="36"/>
      <c r="L1039" s="26"/>
      <c r="M1039" s="26"/>
      <c r="N1039" s="26"/>
      <c r="O1039" s="93"/>
      <c r="P1039" s="95"/>
      <c r="Q1039" s="196"/>
    </row>
    <row r="1040" spans="3:17" x14ac:dyDescent="0.25">
      <c r="C1040" s="198"/>
      <c r="D1040" s="111"/>
      <c r="E1040" s="33"/>
      <c r="F1040" s="104"/>
      <c r="H1040" s="115"/>
      <c r="I1040" s="26"/>
      <c r="J1040" s="98"/>
      <c r="K1040" s="36"/>
      <c r="L1040" s="26"/>
      <c r="M1040" s="26"/>
      <c r="N1040" s="26"/>
      <c r="O1040" s="93"/>
      <c r="P1040" s="95"/>
      <c r="Q1040" s="196"/>
    </row>
    <row r="1041" spans="3:17" x14ac:dyDescent="0.25">
      <c r="C1041" s="198"/>
      <c r="D1041" s="111"/>
      <c r="E1041" s="33"/>
      <c r="F1041" s="104"/>
      <c r="H1041" s="115"/>
      <c r="I1041" s="26"/>
      <c r="J1041" s="98"/>
      <c r="K1041" s="36"/>
      <c r="L1041" s="26"/>
      <c r="M1041" s="26"/>
      <c r="N1041" s="26"/>
      <c r="O1041" s="93"/>
      <c r="P1041" s="95"/>
      <c r="Q1041" s="196"/>
    </row>
    <row r="1042" spans="3:17" x14ac:dyDescent="0.25">
      <c r="C1042" s="198"/>
      <c r="D1042" s="111"/>
      <c r="E1042" s="33"/>
      <c r="F1042" s="104"/>
      <c r="H1042" s="115"/>
      <c r="I1042" s="26"/>
      <c r="J1042" s="98"/>
      <c r="K1042" s="36"/>
      <c r="L1042" s="26"/>
      <c r="M1042" s="26"/>
      <c r="N1042" s="26"/>
      <c r="O1042" s="93"/>
      <c r="P1042" s="95"/>
      <c r="Q1042" s="196"/>
    </row>
    <row r="1043" spans="3:17" x14ac:dyDescent="0.25">
      <c r="C1043" s="198"/>
      <c r="D1043" s="111"/>
      <c r="E1043" s="33"/>
      <c r="F1043" s="104"/>
      <c r="H1043" s="115"/>
      <c r="I1043" s="26"/>
      <c r="J1043" s="98"/>
      <c r="K1043" s="36"/>
      <c r="L1043" s="26"/>
      <c r="M1043" s="26"/>
      <c r="N1043" s="26"/>
      <c r="O1043" s="93"/>
      <c r="P1043" s="95"/>
      <c r="Q1043" s="196"/>
    </row>
    <row r="1044" spans="3:17" x14ac:dyDescent="0.25">
      <c r="C1044" s="198"/>
      <c r="D1044" s="111"/>
      <c r="E1044" s="33"/>
      <c r="F1044" s="104"/>
      <c r="H1044" s="115"/>
      <c r="I1044" s="26"/>
      <c r="J1044" s="98"/>
      <c r="K1044" s="36"/>
      <c r="L1044" s="26"/>
      <c r="M1044" s="26"/>
      <c r="N1044" s="26"/>
      <c r="O1044" s="93"/>
      <c r="P1044" s="95"/>
      <c r="Q1044" s="196"/>
    </row>
    <row r="1045" spans="3:17" x14ac:dyDescent="0.25">
      <c r="C1045" s="198"/>
      <c r="D1045" s="111"/>
      <c r="E1045" s="33"/>
      <c r="F1045" s="104"/>
      <c r="H1045" s="115"/>
      <c r="I1045" s="26"/>
      <c r="J1045" s="98"/>
      <c r="K1045" s="36"/>
      <c r="L1045" s="26"/>
      <c r="M1045" s="26"/>
      <c r="N1045" s="26"/>
      <c r="O1045" s="93"/>
      <c r="P1045" s="95"/>
      <c r="Q1045" s="196"/>
    </row>
    <row r="1046" spans="3:17" x14ac:dyDescent="0.25">
      <c r="C1046" s="198"/>
      <c r="D1046" s="111"/>
      <c r="E1046" s="33"/>
      <c r="F1046" s="104"/>
      <c r="H1046" s="115"/>
      <c r="I1046" s="26"/>
      <c r="J1046" s="98"/>
      <c r="K1046" s="36"/>
      <c r="L1046" s="26"/>
      <c r="M1046" s="26"/>
      <c r="N1046" s="26"/>
      <c r="O1046" s="93"/>
      <c r="P1046" s="95"/>
      <c r="Q1046" s="196"/>
    </row>
    <row r="1047" spans="3:17" x14ac:dyDescent="0.25">
      <c r="C1047" s="198"/>
      <c r="D1047" s="111"/>
      <c r="E1047" s="33"/>
      <c r="F1047" s="104"/>
      <c r="H1047" s="115"/>
      <c r="I1047" s="26"/>
      <c r="J1047" s="98"/>
      <c r="K1047" s="36"/>
      <c r="L1047" s="26"/>
      <c r="M1047" s="26"/>
      <c r="N1047" s="26"/>
      <c r="O1047" s="93"/>
      <c r="P1047" s="95"/>
      <c r="Q1047" s="196"/>
    </row>
    <row r="1048" spans="3:17" x14ac:dyDescent="0.25">
      <c r="C1048" s="198"/>
      <c r="D1048" s="111"/>
      <c r="E1048" s="33"/>
      <c r="F1048" s="104"/>
      <c r="H1048" s="115"/>
      <c r="I1048" s="26"/>
      <c r="J1048" s="98"/>
      <c r="K1048" s="36"/>
      <c r="L1048" s="26"/>
      <c r="M1048" s="26"/>
      <c r="N1048" s="26"/>
      <c r="O1048" s="93"/>
      <c r="P1048" s="95"/>
      <c r="Q1048" s="196"/>
    </row>
    <row r="1049" spans="3:17" x14ac:dyDescent="0.25">
      <c r="C1049" s="198"/>
      <c r="D1049" s="111"/>
      <c r="E1049" s="33"/>
      <c r="F1049" s="104"/>
      <c r="H1049" s="115"/>
      <c r="I1049" s="26"/>
      <c r="J1049" s="98"/>
      <c r="K1049" s="36"/>
      <c r="L1049" s="26"/>
      <c r="M1049" s="26"/>
      <c r="N1049" s="26"/>
      <c r="O1049" s="93"/>
      <c r="P1049" s="95"/>
      <c r="Q1049" s="196"/>
    </row>
    <row r="1050" spans="3:17" x14ac:dyDescent="0.25">
      <c r="C1050" s="198"/>
      <c r="D1050" s="111"/>
      <c r="E1050" s="33"/>
      <c r="F1050" s="104"/>
      <c r="H1050" s="115"/>
      <c r="I1050" s="26"/>
      <c r="J1050" s="98"/>
      <c r="K1050" s="36"/>
      <c r="L1050" s="26"/>
      <c r="M1050" s="26"/>
      <c r="N1050" s="26"/>
      <c r="O1050" s="93"/>
      <c r="P1050" s="95"/>
      <c r="Q1050" s="196"/>
    </row>
    <row r="1051" spans="3:17" x14ac:dyDescent="0.25">
      <c r="C1051" s="198"/>
      <c r="D1051" s="111"/>
      <c r="E1051" s="33"/>
      <c r="F1051" s="104"/>
      <c r="H1051" s="115"/>
      <c r="I1051" s="26"/>
      <c r="J1051" s="98"/>
      <c r="K1051" s="36"/>
      <c r="L1051" s="26"/>
      <c r="M1051" s="26"/>
      <c r="N1051" s="26"/>
      <c r="O1051" s="93"/>
      <c r="P1051" s="95"/>
      <c r="Q1051" s="196"/>
    </row>
    <row r="1052" spans="3:17" x14ac:dyDescent="0.25">
      <c r="C1052" s="198"/>
      <c r="D1052" s="111"/>
      <c r="E1052" s="33"/>
      <c r="F1052" s="104"/>
      <c r="H1052" s="115"/>
      <c r="I1052" s="26"/>
      <c r="J1052" s="98"/>
      <c r="K1052" s="36"/>
      <c r="L1052" s="26"/>
      <c r="M1052" s="26"/>
      <c r="N1052" s="26"/>
      <c r="O1052" s="93"/>
      <c r="P1052" s="95"/>
      <c r="Q1052" s="196"/>
    </row>
    <row r="1053" spans="3:17" x14ac:dyDescent="0.25">
      <c r="C1053" s="198"/>
      <c r="D1053" s="111"/>
      <c r="E1053" s="33"/>
      <c r="F1053" s="104"/>
      <c r="H1053" s="115"/>
      <c r="I1053" s="26"/>
      <c r="J1053" s="98"/>
      <c r="K1053" s="36"/>
      <c r="L1053" s="26"/>
      <c r="M1053" s="26"/>
      <c r="N1053" s="26"/>
      <c r="O1053" s="93"/>
      <c r="P1053" s="95"/>
      <c r="Q1053" s="196"/>
    </row>
    <row r="1054" spans="3:17" x14ac:dyDescent="0.25">
      <c r="C1054" s="198"/>
      <c r="D1054" s="111"/>
      <c r="E1054" s="33"/>
      <c r="F1054" s="104"/>
      <c r="H1054" s="115"/>
      <c r="I1054" s="26"/>
      <c r="J1054" s="98"/>
      <c r="K1054" s="36"/>
      <c r="L1054" s="26"/>
      <c r="M1054" s="26"/>
      <c r="N1054" s="26"/>
      <c r="O1054" s="93"/>
      <c r="P1054" s="95"/>
      <c r="Q1054" s="196"/>
    </row>
    <row r="1055" spans="3:17" x14ac:dyDescent="0.25">
      <c r="C1055" s="198"/>
      <c r="D1055" s="111"/>
      <c r="E1055" s="33"/>
      <c r="F1055" s="104"/>
      <c r="H1055" s="115"/>
      <c r="I1055" s="26"/>
      <c r="J1055" s="98"/>
      <c r="K1055" s="36"/>
      <c r="L1055" s="26"/>
      <c r="M1055" s="26"/>
      <c r="N1055" s="26"/>
      <c r="O1055" s="93"/>
      <c r="P1055" s="95"/>
      <c r="Q1055" s="196"/>
    </row>
    <row r="1056" spans="3:17" x14ac:dyDescent="0.25">
      <c r="C1056" s="198"/>
      <c r="D1056" s="111"/>
      <c r="E1056" s="33"/>
      <c r="F1056" s="104"/>
      <c r="H1056" s="115"/>
      <c r="I1056" s="26"/>
      <c r="J1056" s="98"/>
      <c r="K1056" s="36"/>
      <c r="L1056" s="26"/>
      <c r="M1056" s="26"/>
      <c r="N1056" s="26"/>
      <c r="O1056" s="93"/>
      <c r="P1056" s="95"/>
      <c r="Q1056" s="196"/>
    </row>
    <row r="1057" spans="3:17" x14ac:dyDescent="0.25">
      <c r="C1057" s="198"/>
      <c r="D1057" s="111"/>
      <c r="E1057" s="33"/>
      <c r="F1057" s="104"/>
      <c r="H1057" s="115"/>
      <c r="I1057" s="26"/>
      <c r="J1057" s="98"/>
      <c r="K1057" s="36"/>
      <c r="L1057" s="26"/>
      <c r="M1057" s="26"/>
      <c r="N1057" s="26"/>
      <c r="O1057" s="93"/>
      <c r="P1057" s="95"/>
      <c r="Q1057" s="196"/>
    </row>
    <row r="1058" spans="3:17" x14ac:dyDescent="0.25">
      <c r="C1058" s="198"/>
      <c r="D1058" s="111"/>
      <c r="E1058" s="33"/>
      <c r="F1058" s="104"/>
      <c r="H1058" s="115"/>
      <c r="I1058" s="26"/>
      <c r="J1058" s="98"/>
      <c r="K1058" s="36"/>
      <c r="L1058" s="26"/>
      <c r="M1058" s="26"/>
      <c r="N1058" s="26"/>
      <c r="O1058" s="93"/>
      <c r="P1058" s="95"/>
      <c r="Q1058" s="196"/>
    </row>
    <row r="1059" spans="3:17" x14ac:dyDescent="0.25">
      <c r="C1059" s="198"/>
      <c r="D1059" s="111"/>
      <c r="E1059" s="33"/>
      <c r="F1059" s="104"/>
      <c r="H1059" s="115"/>
      <c r="I1059" s="26"/>
      <c r="J1059" s="98"/>
      <c r="K1059" s="36"/>
      <c r="L1059" s="26"/>
      <c r="M1059" s="26"/>
      <c r="N1059" s="26"/>
      <c r="O1059" s="93"/>
      <c r="P1059" s="95"/>
      <c r="Q1059" s="196"/>
    </row>
    <row r="1060" spans="3:17" x14ac:dyDescent="0.25">
      <c r="C1060" s="198"/>
      <c r="D1060" s="111"/>
      <c r="E1060" s="33"/>
      <c r="F1060" s="104"/>
      <c r="H1060" s="115"/>
      <c r="I1060" s="26"/>
      <c r="J1060" s="98"/>
      <c r="K1060" s="36"/>
      <c r="L1060" s="26"/>
      <c r="M1060" s="26"/>
      <c r="N1060" s="26"/>
      <c r="O1060" s="93"/>
      <c r="P1060" s="95"/>
      <c r="Q1060" s="196"/>
    </row>
    <row r="1061" spans="3:17" x14ac:dyDescent="0.25">
      <c r="C1061" s="198"/>
      <c r="D1061" s="111"/>
      <c r="E1061" s="33"/>
      <c r="F1061" s="104"/>
      <c r="H1061" s="115"/>
      <c r="I1061" s="26"/>
      <c r="J1061" s="98"/>
      <c r="K1061" s="36"/>
      <c r="L1061" s="26"/>
      <c r="M1061" s="26"/>
      <c r="N1061" s="26"/>
      <c r="O1061" s="93"/>
      <c r="P1061" s="95"/>
      <c r="Q1061" s="196"/>
    </row>
    <row r="1062" spans="3:17" x14ac:dyDescent="0.25">
      <c r="C1062" s="198"/>
      <c r="D1062" s="111"/>
      <c r="E1062" s="33"/>
      <c r="F1062" s="104"/>
      <c r="H1062" s="115"/>
      <c r="I1062" s="26"/>
      <c r="J1062" s="98"/>
      <c r="K1062" s="36"/>
      <c r="L1062" s="26"/>
      <c r="M1062" s="26"/>
      <c r="N1062" s="26"/>
      <c r="O1062" s="93"/>
      <c r="P1062" s="95"/>
      <c r="Q1062" s="196"/>
    </row>
    <row r="1063" spans="3:17" x14ac:dyDescent="0.25">
      <c r="C1063" s="198"/>
      <c r="D1063" s="111"/>
      <c r="E1063" s="33"/>
      <c r="F1063" s="104"/>
      <c r="H1063" s="115"/>
      <c r="I1063" s="26"/>
      <c r="J1063" s="98"/>
      <c r="K1063" s="36"/>
      <c r="L1063" s="26"/>
      <c r="M1063" s="26"/>
      <c r="N1063" s="26"/>
      <c r="O1063" s="93"/>
      <c r="P1063" s="95"/>
      <c r="Q1063" s="196"/>
    </row>
    <row r="1064" spans="3:17" x14ac:dyDescent="0.25">
      <c r="C1064" s="198"/>
      <c r="D1064" s="111"/>
      <c r="E1064" s="33"/>
      <c r="F1064" s="104"/>
      <c r="H1064" s="115"/>
      <c r="I1064" s="26"/>
      <c r="J1064" s="98"/>
      <c r="K1064" s="36"/>
      <c r="L1064" s="26"/>
      <c r="M1064" s="26"/>
      <c r="N1064" s="26"/>
      <c r="O1064" s="93"/>
      <c r="P1064" s="95"/>
      <c r="Q1064" s="196"/>
    </row>
    <row r="1065" spans="3:17" x14ac:dyDescent="0.25">
      <c r="C1065" s="198"/>
      <c r="D1065" s="111"/>
      <c r="E1065" s="33"/>
      <c r="F1065" s="104"/>
      <c r="H1065" s="115"/>
      <c r="I1065" s="26"/>
      <c r="J1065" s="98"/>
      <c r="K1065" s="36"/>
      <c r="L1065" s="26"/>
      <c r="M1065" s="26"/>
      <c r="N1065" s="26"/>
      <c r="O1065" s="93"/>
      <c r="P1065" s="95"/>
      <c r="Q1065" s="196"/>
    </row>
    <row r="1066" spans="3:17" x14ac:dyDescent="0.25">
      <c r="C1066" s="198"/>
      <c r="D1066" s="111"/>
      <c r="E1066" s="33"/>
      <c r="F1066" s="104"/>
      <c r="H1066" s="115"/>
      <c r="I1066" s="26"/>
      <c r="J1066" s="98"/>
      <c r="K1066" s="36"/>
      <c r="L1066" s="26"/>
      <c r="M1066" s="26"/>
      <c r="N1066" s="26"/>
      <c r="O1066" s="93"/>
      <c r="P1066" s="95"/>
      <c r="Q1066" s="196"/>
    </row>
    <row r="1067" spans="3:17" x14ac:dyDescent="0.25">
      <c r="C1067" s="198"/>
      <c r="D1067" s="111"/>
      <c r="E1067" s="33"/>
      <c r="F1067" s="104"/>
      <c r="H1067" s="115"/>
      <c r="I1067" s="26"/>
      <c r="J1067" s="98"/>
      <c r="K1067" s="36"/>
      <c r="L1067" s="26"/>
      <c r="M1067" s="26"/>
      <c r="N1067" s="26"/>
      <c r="O1067" s="93"/>
      <c r="P1067" s="95"/>
      <c r="Q1067" s="196"/>
    </row>
    <row r="1068" spans="3:17" x14ac:dyDescent="0.25">
      <c r="C1068" s="198"/>
      <c r="D1068" s="111"/>
      <c r="E1068" s="33"/>
      <c r="F1068" s="104"/>
      <c r="H1068" s="115"/>
      <c r="I1068" s="26"/>
      <c r="J1068" s="98"/>
      <c r="K1068" s="36"/>
      <c r="L1068" s="26"/>
      <c r="M1068" s="26"/>
      <c r="N1068" s="26"/>
      <c r="O1068" s="93"/>
      <c r="P1068" s="95"/>
      <c r="Q1068" s="196"/>
    </row>
    <row r="1069" spans="3:17" x14ac:dyDescent="0.25">
      <c r="C1069" s="198"/>
      <c r="D1069" s="111"/>
      <c r="E1069" s="33"/>
      <c r="F1069" s="104"/>
      <c r="H1069" s="115"/>
      <c r="I1069" s="26"/>
      <c r="J1069" s="98"/>
      <c r="K1069" s="36"/>
      <c r="L1069" s="26"/>
      <c r="M1069" s="26"/>
      <c r="N1069" s="26"/>
      <c r="O1069" s="93"/>
      <c r="P1069" s="95"/>
      <c r="Q1069" s="196"/>
    </row>
    <row r="1070" spans="3:17" x14ac:dyDescent="0.25">
      <c r="C1070" s="198"/>
      <c r="D1070" s="111"/>
      <c r="E1070" s="33"/>
      <c r="F1070" s="104"/>
      <c r="H1070" s="115"/>
      <c r="I1070" s="26"/>
      <c r="J1070" s="98"/>
      <c r="K1070" s="36"/>
      <c r="L1070" s="26"/>
      <c r="M1070" s="26"/>
      <c r="N1070" s="26"/>
      <c r="O1070" s="93"/>
      <c r="P1070" s="95"/>
      <c r="Q1070" s="196"/>
    </row>
    <row r="1071" spans="3:17" x14ac:dyDescent="0.25">
      <c r="C1071" s="198"/>
      <c r="D1071" s="111"/>
      <c r="E1071" s="33"/>
      <c r="F1071" s="104"/>
      <c r="H1071" s="115"/>
      <c r="I1071" s="26"/>
      <c r="J1071" s="98"/>
      <c r="K1071" s="36"/>
      <c r="L1071" s="26"/>
      <c r="M1071" s="26"/>
      <c r="N1071" s="26"/>
      <c r="O1071" s="93"/>
      <c r="P1071" s="95"/>
      <c r="Q1071" s="196"/>
    </row>
    <row r="1072" spans="3:17" x14ac:dyDescent="0.25">
      <c r="C1072" s="198"/>
      <c r="D1072" s="111"/>
      <c r="E1072" s="33"/>
      <c r="F1072" s="104"/>
      <c r="H1072" s="115"/>
      <c r="I1072" s="26"/>
      <c r="J1072" s="98"/>
      <c r="K1072" s="36"/>
      <c r="L1072" s="26"/>
      <c r="M1072" s="26"/>
      <c r="N1072" s="26"/>
      <c r="O1072" s="93"/>
      <c r="P1072" s="95"/>
      <c r="Q1072" s="196"/>
    </row>
    <row r="1073" spans="3:17" x14ac:dyDescent="0.25">
      <c r="C1073" s="198"/>
      <c r="D1073" s="111"/>
      <c r="E1073" s="33"/>
      <c r="F1073" s="104"/>
      <c r="H1073" s="115"/>
      <c r="I1073" s="26"/>
      <c r="J1073" s="98"/>
      <c r="K1073" s="36"/>
      <c r="L1073" s="26"/>
      <c r="M1073" s="26"/>
      <c r="N1073" s="26"/>
      <c r="O1073" s="93"/>
      <c r="P1073" s="95"/>
      <c r="Q1073" s="196"/>
    </row>
    <row r="1074" spans="3:17" x14ac:dyDescent="0.25">
      <c r="C1074" s="198"/>
      <c r="D1074" s="111"/>
      <c r="E1074" s="33"/>
      <c r="F1074" s="104"/>
      <c r="H1074" s="115"/>
      <c r="I1074" s="26"/>
      <c r="J1074" s="98"/>
      <c r="K1074" s="36"/>
      <c r="L1074" s="26"/>
      <c r="M1074" s="26"/>
      <c r="N1074" s="26"/>
      <c r="O1074" s="93"/>
      <c r="P1074" s="95"/>
      <c r="Q1074" s="196"/>
    </row>
    <row r="1075" spans="3:17" x14ac:dyDescent="0.25">
      <c r="C1075" s="198"/>
      <c r="D1075" s="111"/>
      <c r="E1075" s="33"/>
      <c r="F1075" s="104"/>
      <c r="H1075" s="115"/>
      <c r="I1075" s="26"/>
      <c r="J1075" s="98"/>
      <c r="K1075" s="36"/>
      <c r="L1075" s="26"/>
      <c r="M1075" s="26"/>
      <c r="N1075" s="26"/>
      <c r="O1075" s="93"/>
      <c r="P1075" s="95"/>
      <c r="Q1075" s="196"/>
    </row>
    <row r="1076" spans="3:17" x14ac:dyDescent="0.25">
      <c r="C1076" s="198"/>
      <c r="D1076" s="111"/>
      <c r="E1076" s="33"/>
      <c r="F1076" s="104"/>
      <c r="H1076" s="115"/>
      <c r="I1076" s="26"/>
      <c r="J1076" s="98"/>
      <c r="K1076" s="36"/>
      <c r="L1076" s="26"/>
      <c r="M1076" s="26"/>
      <c r="N1076" s="26"/>
      <c r="O1076" s="93"/>
      <c r="P1076" s="95"/>
      <c r="Q1076" s="196"/>
    </row>
    <row r="1077" spans="3:17" x14ac:dyDescent="0.25">
      <c r="C1077" s="198"/>
      <c r="D1077" s="111"/>
      <c r="E1077" s="33"/>
      <c r="F1077" s="104"/>
      <c r="H1077" s="115"/>
      <c r="I1077" s="26"/>
      <c r="J1077" s="98"/>
      <c r="K1077" s="36"/>
      <c r="L1077" s="26"/>
      <c r="M1077" s="26"/>
      <c r="N1077" s="26"/>
      <c r="O1077" s="93"/>
      <c r="P1077" s="95"/>
      <c r="Q1077" s="196"/>
    </row>
    <row r="1078" spans="3:17" x14ac:dyDescent="0.25">
      <c r="C1078" s="198"/>
      <c r="D1078" s="111"/>
      <c r="E1078" s="33"/>
      <c r="F1078" s="104"/>
      <c r="H1078" s="115"/>
      <c r="I1078" s="26"/>
      <c r="J1078" s="98"/>
      <c r="K1078" s="36"/>
      <c r="L1078" s="26"/>
      <c r="M1078" s="26"/>
      <c r="N1078" s="26"/>
      <c r="O1078" s="93"/>
      <c r="P1078" s="95"/>
      <c r="Q1078" s="196"/>
    </row>
    <row r="1079" spans="3:17" x14ac:dyDescent="0.25">
      <c r="C1079" s="198"/>
      <c r="D1079" s="111"/>
      <c r="E1079" s="33"/>
      <c r="F1079" s="104"/>
      <c r="H1079" s="115"/>
      <c r="I1079" s="26"/>
      <c r="J1079" s="98"/>
      <c r="K1079" s="36"/>
      <c r="L1079" s="26"/>
      <c r="M1079" s="26"/>
      <c r="N1079" s="26"/>
      <c r="O1079" s="93"/>
      <c r="P1079" s="95"/>
      <c r="Q1079" s="196"/>
    </row>
    <row r="1080" spans="3:17" x14ac:dyDescent="0.25">
      <c r="C1080" s="198"/>
      <c r="D1080" s="111"/>
      <c r="E1080" s="33"/>
      <c r="F1080" s="104"/>
      <c r="H1080" s="115"/>
      <c r="I1080" s="26"/>
      <c r="J1080" s="98"/>
      <c r="K1080" s="36"/>
      <c r="L1080" s="26"/>
      <c r="M1080" s="26"/>
      <c r="N1080" s="26"/>
      <c r="O1080" s="93"/>
      <c r="P1080" s="95"/>
      <c r="Q1080" s="196"/>
    </row>
    <row r="1081" spans="3:17" x14ac:dyDescent="0.25">
      <c r="C1081" s="198"/>
      <c r="D1081" s="111"/>
      <c r="E1081" s="33"/>
      <c r="F1081" s="104"/>
      <c r="H1081" s="115"/>
      <c r="I1081" s="26"/>
      <c r="J1081" s="98"/>
      <c r="K1081" s="36"/>
      <c r="L1081" s="26"/>
      <c r="M1081" s="26"/>
      <c r="N1081" s="26"/>
      <c r="O1081" s="93"/>
      <c r="P1081" s="95"/>
      <c r="Q1081" s="196"/>
    </row>
    <row r="1082" spans="3:17" x14ac:dyDescent="0.25">
      <c r="C1082" s="198"/>
      <c r="D1082" s="111"/>
      <c r="E1082" s="33"/>
      <c r="F1082" s="104"/>
      <c r="H1082" s="115"/>
      <c r="I1082" s="26"/>
      <c r="J1082" s="98"/>
      <c r="K1082" s="36"/>
      <c r="L1082" s="26"/>
      <c r="M1082" s="26"/>
      <c r="N1082" s="26"/>
      <c r="O1082" s="93"/>
      <c r="P1082" s="95"/>
      <c r="Q1082" s="196"/>
    </row>
    <row r="1083" spans="3:17" x14ac:dyDescent="0.25">
      <c r="C1083" s="198"/>
      <c r="D1083" s="111"/>
      <c r="E1083" s="33"/>
      <c r="F1083" s="104"/>
      <c r="H1083" s="115"/>
      <c r="I1083" s="26"/>
      <c r="J1083" s="98"/>
      <c r="K1083" s="36"/>
      <c r="L1083" s="26"/>
      <c r="M1083" s="26"/>
      <c r="N1083" s="26"/>
      <c r="O1083" s="93"/>
      <c r="P1083" s="95"/>
      <c r="Q1083" s="196"/>
    </row>
    <row r="1084" spans="3:17" x14ac:dyDescent="0.25">
      <c r="C1084" s="198"/>
      <c r="D1084" s="111"/>
      <c r="E1084" s="33"/>
      <c r="F1084" s="104"/>
      <c r="H1084" s="115"/>
      <c r="I1084" s="26"/>
      <c r="J1084" s="98"/>
      <c r="K1084" s="36"/>
      <c r="L1084" s="26"/>
      <c r="M1084" s="26"/>
      <c r="N1084" s="26"/>
      <c r="O1084" s="93"/>
      <c r="P1084" s="95"/>
      <c r="Q1084" s="196"/>
    </row>
    <row r="1085" spans="3:17" x14ac:dyDescent="0.25">
      <c r="C1085" s="198"/>
      <c r="D1085" s="111"/>
      <c r="E1085" s="33"/>
      <c r="F1085" s="104"/>
      <c r="H1085" s="115"/>
      <c r="I1085" s="26"/>
      <c r="J1085" s="98"/>
      <c r="K1085" s="36"/>
      <c r="L1085" s="26"/>
      <c r="M1085" s="26"/>
      <c r="N1085" s="26"/>
      <c r="O1085" s="93"/>
      <c r="P1085" s="95"/>
      <c r="Q1085" s="196"/>
    </row>
    <row r="1086" spans="3:17" x14ac:dyDescent="0.25">
      <c r="C1086" s="198"/>
      <c r="D1086" s="111"/>
      <c r="E1086" s="33"/>
      <c r="F1086" s="104"/>
      <c r="H1086" s="115"/>
      <c r="I1086" s="26"/>
      <c r="J1086" s="98"/>
      <c r="K1086" s="36"/>
      <c r="L1086" s="26"/>
      <c r="M1086" s="26"/>
      <c r="N1086" s="26"/>
      <c r="O1086" s="93"/>
      <c r="P1086" s="95"/>
      <c r="Q1086" s="196"/>
    </row>
    <row r="1087" spans="3:17" x14ac:dyDescent="0.25">
      <c r="C1087" s="198"/>
      <c r="D1087" s="111"/>
      <c r="E1087" s="33"/>
      <c r="F1087" s="104"/>
      <c r="H1087" s="115"/>
      <c r="I1087" s="26"/>
      <c r="J1087" s="98"/>
      <c r="K1087" s="36"/>
      <c r="L1087" s="26"/>
      <c r="M1087" s="26"/>
      <c r="N1087" s="26"/>
      <c r="O1087" s="93"/>
      <c r="P1087" s="95"/>
      <c r="Q1087" s="196"/>
    </row>
    <row r="1088" spans="3:17" x14ac:dyDescent="0.25">
      <c r="C1088" s="198"/>
      <c r="D1088" s="111"/>
      <c r="E1088" s="33"/>
      <c r="F1088" s="104"/>
      <c r="H1088" s="115"/>
      <c r="I1088" s="26"/>
      <c r="J1088" s="98"/>
      <c r="K1088" s="36"/>
      <c r="L1088" s="26"/>
      <c r="M1088" s="26"/>
      <c r="N1088" s="26"/>
      <c r="O1088" s="93"/>
      <c r="P1088" s="95"/>
      <c r="Q1088" s="196"/>
    </row>
    <row r="1089" spans="3:17" x14ac:dyDescent="0.25">
      <c r="C1089" s="198"/>
      <c r="D1089" s="111"/>
      <c r="E1089" s="33"/>
      <c r="F1089" s="104"/>
      <c r="H1089" s="115"/>
      <c r="I1089" s="26"/>
      <c r="J1089" s="98"/>
      <c r="K1089" s="36"/>
      <c r="L1089" s="26"/>
      <c r="M1089" s="26"/>
      <c r="N1089" s="26"/>
      <c r="O1089" s="93"/>
      <c r="P1089" s="95"/>
      <c r="Q1089" s="196"/>
    </row>
    <row r="1090" spans="3:17" x14ac:dyDescent="0.25">
      <c r="C1090" s="198"/>
      <c r="D1090" s="111"/>
      <c r="E1090" s="33"/>
      <c r="F1090" s="104"/>
      <c r="H1090" s="115"/>
      <c r="I1090" s="26"/>
      <c r="J1090" s="98"/>
      <c r="K1090" s="36"/>
      <c r="L1090" s="26"/>
      <c r="M1090" s="26"/>
      <c r="N1090" s="26"/>
      <c r="O1090" s="93"/>
      <c r="P1090" s="95"/>
      <c r="Q1090" s="196"/>
    </row>
    <row r="1091" spans="3:17" x14ac:dyDescent="0.25">
      <c r="C1091" s="198"/>
      <c r="D1091" s="111"/>
      <c r="E1091" s="33"/>
      <c r="F1091" s="104"/>
      <c r="H1091" s="115"/>
      <c r="I1091" s="26"/>
      <c r="J1091" s="98"/>
      <c r="K1091" s="36"/>
      <c r="L1091" s="26"/>
      <c r="M1091" s="26"/>
      <c r="N1091" s="26"/>
      <c r="O1091" s="93"/>
      <c r="P1091" s="95"/>
      <c r="Q1091" s="196"/>
    </row>
    <row r="1092" spans="3:17" x14ac:dyDescent="0.25">
      <c r="C1092" s="198"/>
      <c r="D1092" s="111"/>
      <c r="E1092" s="33"/>
      <c r="F1092" s="104"/>
      <c r="H1092" s="115"/>
      <c r="I1092" s="26"/>
      <c r="J1092" s="98"/>
      <c r="K1092" s="36"/>
      <c r="L1092" s="26"/>
      <c r="M1092" s="26"/>
      <c r="N1092" s="26"/>
      <c r="O1092" s="93"/>
      <c r="P1092" s="95"/>
      <c r="Q1092" s="196"/>
    </row>
    <row r="1093" spans="3:17" x14ac:dyDescent="0.25">
      <c r="C1093" s="198"/>
      <c r="D1093" s="111"/>
      <c r="E1093" s="33"/>
      <c r="F1093" s="104"/>
      <c r="H1093" s="115"/>
      <c r="I1093" s="26"/>
      <c r="J1093" s="98"/>
      <c r="K1093" s="36"/>
      <c r="L1093" s="26"/>
      <c r="M1093" s="26"/>
      <c r="N1093" s="26"/>
      <c r="O1093" s="93"/>
      <c r="P1093" s="95"/>
      <c r="Q1093" s="196"/>
    </row>
    <row r="1094" spans="3:17" x14ac:dyDescent="0.25">
      <c r="C1094" s="198"/>
      <c r="D1094" s="111"/>
      <c r="E1094" s="33"/>
      <c r="F1094" s="104"/>
      <c r="H1094" s="115"/>
      <c r="I1094" s="26"/>
      <c r="J1094" s="98"/>
      <c r="K1094" s="36"/>
      <c r="L1094" s="26"/>
      <c r="M1094" s="26"/>
      <c r="N1094" s="26"/>
      <c r="O1094" s="93"/>
      <c r="P1094" s="95"/>
      <c r="Q1094" s="196"/>
    </row>
    <row r="1095" spans="3:17" x14ac:dyDescent="0.25">
      <c r="C1095" s="198"/>
      <c r="D1095" s="111"/>
      <c r="E1095" s="33"/>
      <c r="F1095" s="104"/>
      <c r="H1095" s="115"/>
      <c r="I1095" s="26"/>
      <c r="J1095" s="98"/>
      <c r="K1095" s="36"/>
      <c r="L1095" s="26"/>
      <c r="M1095" s="26"/>
      <c r="N1095" s="26"/>
      <c r="O1095" s="93"/>
      <c r="P1095" s="95"/>
      <c r="Q1095" s="196"/>
    </row>
    <row r="1096" spans="3:17" x14ac:dyDescent="0.25">
      <c r="C1096" s="198"/>
      <c r="D1096" s="111"/>
      <c r="E1096" s="33"/>
      <c r="F1096" s="104"/>
      <c r="H1096" s="115"/>
      <c r="I1096" s="26"/>
      <c r="J1096" s="98"/>
      <c r="K1096" s="36"/>
      <c r="L1096" s="26"/>
      <c r="M1096" s="26"/>
      <c r="N1096" s="26"/>
      <c r="O1096" s="93"/>
      <c r="P1096" s="95"/>
      <c r="Q1096" s="196"/>
    </row>
    <row r="1097" spans="3:17" x14ac:dyDescent="0.25">
      <c r="C1097" s="198"/>
      <c r="D1097" s="111"/>
      <c r="E1097" s="33"/>
      <c r="F1097" s="104"/>
      <c r="H1097" s="115"/>
      <c r="I1097" s="26"/>
      <c r="J1097" s="98"/>
      <c r="K1097" s="36"/>
      <c r="L1097" s="26"/>
      <c r="M1097" s="26"/>
      <c r="N1097" s="26"/>
      <c r="O1097" s="93"/>
      <c r="P1097" s="95"/>
      <c r="Q1097" s="196"/>
    </row>
    <row r="1098" spans="3:17" x14ac:dyDescent="0.25">
      <c r="C1098" s="198"/>
      <c r="D1098" s="111"/>
      <c r="E1098" s="33"/>
      <c r="F1098" s="104"/>
      <c r="H1098" s="115"/>
      <c r="I1098" s="26"/>
      <c r="J1098" s="98"/>
      <c r="K1098" s="36"/>
      <c r="L1098" s="26"/>
      <c r="M1098" s="26"/>
      <c r="N1098" s="26"/>
      <c r="O1098" s="93"/>
      <c r="P1098" s="95"/>
      <c r="Q1098" s="196"/>
    </row>
    <row r="1099" spans="3:17" x14ac:dyDescent="0.25">
      <c r="C1099" s="198"/>
      <c r="D1099" s="111"/>
      <c r="E1099" s="33"/>
      <c r="F1099" s="104"/>
      <c r="H1099" s="115"/>
      <c r="I1099" s="26"/>
      <c r="J1099" s="98"/>
      <c r="K1099" s="36"/>
      <c r="L1099" s="26"/>
      <c r="M1099" s="26"/>
      <c r="N1099" s="26"/>
      <c r="O1099" s="93"/>
      <c r="P1099" s="95"/>
      <c r="Q1099" s="196"/>
    </row>
    <row r="1100" spans="3:17" x14ac:dyDescent="0.25">
      <c r="C1100" s="198"/>
      <c r="D1100" s="111"/>
      <c r="E1100" s="33"/>
      <c r="F1100" s="104"/>
      <c r="H1100" s="115"/>
      <c r="I1100" s="26"/>
      <c r="J1100" s="98"/>
      <c r="K1100" s="36"/>
      <c r="L1100" s="26"/>
      <c r="M1100" s="26"/>
      <c r="N1100" s="26"/>
      <c r="O1100" s="93"/>
      <c r="P1100" s="95"/>
      <c r="Q1100" s="196"/>
    </row>
    <row r="1101" spans="3:17" x14ac:dyDescent="0.25">
      <c r="C1101" s="198"/>
      <c r="D1101" s="111"/>
      <c r="E1101" s="33"/>
      <c r="F1101" s="104"/>
      <c r="H1101" s="115"/>
      <c r="I1101" s="26"/>
      <c r="J1101" s="98"/>
      <c r="K1101" s="36"/>
      <c r="L1101" s="26"/>
      <c r="M1101" s="26"/>
      <c r="N1101" s="26"/>
      <c r="O1101" s="93"/>
      <c r="P1101" s="95"/>
      <c r="Q1101" s="196"/>
    </row>
    <row r="1102" spans="3:17" x14ac:dyDescent="0.25">
      <c r="C1102" s="198"/>
      <c r="D1102" s="111"/>
      <c r="E1102" s="33"/>
      <c r="F1102" s="104"/>
      <c r="H1102" s="115"/>
      <c r="I1102" s="26"/>
      <c r="J1102" s="98"/>
      <c r="K1102" s="36"/>
      <c r="L1102" s="26"/>
      <c r="M1102" s="26"/>
      <c r="N1102" s="26"/>
      <c r="O1102" s="93"/>
      <c r="P1102" s="95"/>
      <c r="Q1102" s="196"/>
    </row>
    <row r="1103" spans="3:17" x14ac:dyDescent="0.25">
      <c r="C1103" s="198"/>
      <c r="D1103" s="111"/>
      <c r="E1103" s="33"/>
      <c r="F1103" s="104"/>
      <c r="H1103" s="115"/>
      <c r="I1103" s="26"/>
      <c r="J1103" s="98"/>
      <c r="K1103" s="36"/>
      <c r="L1103" s="26"/>
      <c r="M1103" s="26"/>
      <c r="N1103" s="26"/>
      <c r="O1103" s="93"/>
      <c r="P1103" s="95"/>
      <c r="Q1103" s="196"/>
    </row>
    <row r="1104" spans="3:17" x14ac:dyDescent="0.25">
      <c r="C1104" s="198"/>
      <c r="D1104" s="111"/>
      <c r="E1104" s="33"/>
      <c r="F1104" s="104"/>
      <c r="H1104" s="115"/>
      <c r="I1104" s="26"/>
      <c r="J1104" s="98"/>
      <c r="K1104" s="36"/>
      <c r="L1104" s="26"/>
      <c r="M1104" s="26"/>
      <c r="N1104" s="26"/>
      <c r="O1104" s="93"/>
      <c r="P1104" s="95"/>
      <c r="Q1104" s="196"/>
    </row>
    <row r="1105" spans="3:17" x14ac:dyDescent="0.25">
      <c r="C1105" s="198"/>
      <c r="D1105" s="111"/>
      <c r="E1105" s="33"/>
      <c r="F1105" s="104"/>
      <c r="H1105" s="115"/>
      <c r="I1105" s="26"/>
      <c r="J1105" s="98"/>
      <c r="K1105" s="36"/>
      <c r="L1105" s="26"/>
      <c r="M1105" s="26"/>
      <c r="N1105" s="26"/>
      <c r="O1105" s="93"/>
      <c r="P1105" s="95"/>
      <c r="Q1105" s="196"/>
    </row>
    <row r="1106" spans="3:17" x14ac:dyDescent="0.25">
      <c r="C1106" s="198"/>
      <c r="D1106" s="111"/>
      <c r="E1106" s="33"/>
      <c r="F1106" s="104"/>
      <c r="H1106" s="115"/>
      <c r="I1106" s="26"/>
      <c r="J1106" s="98"/>
      <c r="K1106" s="36"/>
      <c r="L1106" s="26"/>
      <c r="M1106" s="26"/>
      <c r="N1106" s="26"/>
      <c r="O1106" s="93"/>
      <c r="P1106" s="95"/>
      <c r="Q1106" s="196"/>
    </row>
    <row r="1107" spans="3:17" x14ac:dyDescent="0.25">
      <c r="C1107" s="198"/>
      <c r="D1107" s="111"/>
      <c r="E1107" s="33"/>
      <c r="F1107" s="104"/>
      <c r="H1107" s="115"/>
      <c r="I1107" s="26"/>
      <c r="J1107" s="98"/>
      <c r="K1107" s="36"/>
      <c r="L1107" s="26"/>
      <c r="M1107" s="26"/>
      <c r="N1107" s="26"/>
      <c r="O1107" s="93"/>
      <c r="P1107" s="95"/>
      <c r="Q1107" s="196"/>
    </row>
    <row r="1108" spans="3:17" x14ac:dyDescent="0.25">
      <c r="C1108" s="198"/>
      <c r="D1108" s="111"/>
      <c r="E1108" s="33"/>
      <c r="F1108" s="104"/>
      <c r="H1108" s="115"/>
      <c r="I1108" s="26"/>
      <c r="J1108" s="98"/>
      <c r="K1108" s="36"/>
      <c r="L1108" s="26"/>
      <c r="M1108" s="26"/>
      <c r="N1108" s="26"/>
      <c r="O1108" s="93"/>
      <c r="P1108" s="95"/>
      <c r="Q1108" s="196"/>
    </row>
    <row r="1109" spans="3:17" x14ac:dyDescent="0.25">
      <c r="C1109" s="198"/>
      <c r="D1109" s="111"/>
      <c r="E1109" s="33"/>
      <c r="F1109" s="104"/>
      <c r="H1109" s="115"/>
      <c r="I1109" s="26"/>
      <c r="J1109" s="98"/>
      <c r="K1109" s="36"/>
      <c r="L1109" s="26"/>
      <c r="M1109" s="26"/>
      <c r="N1109" s="26"/>
      <c r="O1109" s="93"/>
      <c r="P1109" s="95"/>
      <c r="Q1109" s="196"/>
    </row>
    <row r="1110" spans="3:17" x14ac:dyDescent="0.25">
      <c r="C1110" s="198"/>
      <c r="D1110" s="111"/>
      <c r="E1110" s="33"/>
      <c r="F1110" s="104"/>
      <c r="H1110" s="115"/>
      <c r="I1110" s="26"/>
      <c r="J1110" s="98"/>
      <c r="K1110" s="36"/>
      <c r="L1110" s="26"/>
      <c r="M1110" s="26"/>
      <c r="N1110" s="26"/>
      <c r="O1110" s="93"/>
      <c r="P1110" s="95"/>
      <c r="Q1110" s="196"/>
    </row>
    <row r="1111" spans="3:17" x14ac:dyDescent="0.25">
      <c r="C1111" s="198"/>
      <c r="D1111" s="111"/>
      <c r="E1111" s="33"/>
      <c r="F1111" s="104"/>
      <c r="H1111" s="115"/>
      <c r="I1111" s="26"/>
      <c r="J1111" s="98"/>
      <c r="K1111" s="36"/>
      <c r="L1111" s="26"/>
      <c r="M1111" s="26"/>
      <c r="N1111" s="26"/>
      <c r="O1111" s="93"/>
      <c r="P1111" s="95"/>
      <c r="Q1111" s="196"/>
    </row>
    <row r="1112" spans="3:17" x14ac:dyDescent="0.25">
      <c r="C1112" s="198"/>
      <c r="D1112" s="111"/>
      <c r="E1112" s="33"/>
      <c r="F1112" s="104"/>
      <c r="H1112" s="115"/>
      <c r="I1112" s="26"/>
      <c r="J1112" s="98"/>
      <c r="K1112" s="36"/>
      <c r="L1112" s="26"/>
      <c r="M1112" s="26"/>
      <c r="N1112" s="26"/>
      <c r="O1112" s="93"/>
      <c r="P1112" s="95"/>
      <c r="Q1112" s="196"/>
    </row>
    <row r="1113" spans="3:17" x14ac:dyDescent="0.25">
      <c r="C1113" s="198"/>
      <c r="D1113" s="111"/>
      <c r="E1113" s="33"/>
      <c r="F1113" s="104"/>
      <c r="H1113" s="115"/>
      <c r="I1113" s="26"/>
      <c r="J1113" s="98"/>
      <c r="K1113" s="36"/>
      <c r="L1113" s="26"/>
      <c r="M1113" s="26"/>
      <c r="N1113" s="26"/>
      <c r="O1113" s="93"/>
      <c r="P1113" s="95"/>
      <c r="Q1113" s="196"/>
    </row>
    <row r="1114" spans="3:17" x14ac:dyDescent="0.25">
      <c r="C1114" s="198"/>
      <c r="D1114" s="111"/>
      <c r="E1114" s="33"/>
      <c r="F1114" s="104"/>
      <c r="H1114" s="115"/>
      <c r="I1114" s="26"/>
      <c r="J1114" s="98"/>
      <c r="K1114" s="36"/>
      <c r="L1114" s="26"/>
      <c r="M1114" s="26"/>
      <c r="N1114" s="26"/>
      <c r="O1114" s="93"/>
      <c r="P1114" s="95"/>
      <c r="Q1114" s="196"/>
    </row>
    <row r="1115" spans="3:17" x14ac:dyDescent="0.25">
      <c r="C1115" s="198"/>
      <c r="D1115" s="111"/>
      <c r="E1115" s="33"/>
      <c r="F1115" s="104"/>
      <c r="H1115" s="115"/>
      <c r="I1115" s="26"/>
      <c r="J1115" s="98"/>
      <c r="K1115" s="36"/>
      <c r="L1115" s="26"/>
      <c r="M1115" s="26"/>
      <c r="N1115" s="26"/>
      <c r="O1115" s="93"/>
      <c r="P1115" s="95"/>
      <c r="Q1115" s="196"/>
    </row>
    <row r="1116" spans="3:17" x14ac:dyDescent="0.25">
      <c r="C1116" s="198"/>
      <c r="D1116" s="111"/>
      <c r="E1116" s="33"/>
      <c r="F1116" s="104"/>
      <c r="H1116" s="115"/>
      <c r="I1116" s="26"/>
      <c r="J1116" s="98"/>
      <c r="K1116" s="36"/>
      <c r="L1116" s="26"/>
      <c r="M1116" s="26"/>
      <c r="N1116" s="26"/>
      <c r="O1116" s="93"/>
      <c r="P1116" s="95"/>
      <c r="Q1116" s="196"/>
    </row>
    <row r="1117" spans="3:17" x14ac:dyDescent="0.25">
      <c r="C1117" s="198"/>
      <c r="D1117" s="111"/>
      <c r="E1117" s="33"/>
      <c r="F1117" s="104"/>
      <c r="H1117" s="115"/>
      <c r="I1117" s="26"/>
      <c r="J1117" s="98"/>
      <c r="K1117" s="36"/>
      <c r="L1117" s="26"/>
      <c r="M1117" s="26"/>
      <c r="N1117" s="26"/>
      <c r="O1117" s="93"/>
      <c r="P1117" s="95"/>
      <c r="Q1117" s="196"/>
    </row>
    <row r="1118" spans="3:17" x14ac:dyDescent="0.25">
      <c r="C1118" s="198"/>
      <c r="D1118" s="111"/>
      <c r="E1118" s="33"/>
      <c r="F1118" s="104"/>
      <c r="H1118" s="115"/>
      <c r="I1118" s="26"/>
      <c r="J1118" s="98"/>
      <c r="K1118" s="36"/>
      <c r="L1118" s="26"/>
      <c r="M1118" s="26"/>
      <c r="N1118" s="26"/>
      <c r="O1118" s="93"/>
      <c r="P1118" s="95"/>
      <c r="Q1118" s="196"/>
    </row>
    <row r="1119" spans="3:17" x14ac:dyDescent="0.25">
      <c r="C1119" s="198"/>
      <c r="D1119" s="111"/>
      <c r="E1119" s="33"/>
      <c r="F1119" s="104"/>
      <c r="H1119" s="115"/>
      <c r="I1119" s="26"/>
      <c r="J1119" s="98"/>
      <c r="K1119" s="36"/>
      <c r="L1119" s="26"/>
      <c r="M1119" s="26"/>
      <c r="N1119" s="26"/>
      <c r="O1119" s="93"/>
      <c r="P1119" s="95"/>
      <c r="Q1119" s="196"/>
    </row>
    <row r="1120" spans="3:17" x14ac:dyDescent="0.25">
      <c r="C1120" s="198"/>
      <c r="D1120" s="111"/>
      <c r="E1120" s="33"/>
      <c r="F1120" s="104"/>
      <c r="H1120" s="115"/>
      <c r="I1120" s="26"/>
      <c r="J1120" s="98"/>
      <c r="K1120" s="36"/>
      <c r="L1120" s="26"/>
      <c r="M1120" s="26"/>
      <c r="N1120" s="26"/>
      <c r="O1120" s="93"/>
      <c r="P1120" s="95"/>
      <c r="Q1120" s="196"/>
    </row>
    <row r="1121" spans="3:17" x14ac:dyDescent="0.25">
      <c r="C1121" s="198"/>
      <c r="D1121" s="111"/>
      <c r="E1121" s="33"/>
      <c r="F1121" s="104"/>
      <c r="H1121" s="115"/>
      <c r="I1121" s="26"/>
      <c r="J1121" s="98"/>
      <c r="K1121" s="36"/>
      <c r="L1121" s="26"/>
      <c r="M1121" s="26"/>
      <c r="N1121" s="26"/>
      <c r="O1121" s="93"/>
      <c r="P1121" s="95"/>
      <c r="Q1121" s="196"/>
    </row>
    <row r="1122" spans="3:17" x14ac:dyDescent="0.25">
      <c r="C1122" s="198"/>
      <c r="D1122" s="111"/>
      <c r="E1122" s="33"/>
      <c r="F1122" s="104"/>
      <c r="H1122" s="115"/>
      <c r="I1122" s="26"/>
      <c r="J1122" s="98"/>
      <c r="K1122" s="36"/>
      <c r="L1122" s="26"/>
      <c r="M1122" s="26"/>
      <c r="N1122" s="26"/>
      <c r="O1122" s="93"/>
      <c r="P1122" s="95"/>
      <c r="Q1122" s="196"/>
    </row>
    <row r="1123" spans="3:17" x14ac:dyDescent="0.25">
      <c r="C1123" s="198"/>
      <c r="D1123" s="111"/>
      <c r="E1123" s="33"/>
      <c r="F1123" s="104"/>
      <c r="H1123" s="115"/>
      <c r="I1123" s="26"/>
      <c r="J1123" s="98"/>
      <c r="K1123" s="36"/>
      <c r="L1123" s="26"/>
      <c r="M1123" s="26"/>
      <c r="N1123" s="26"/>
      <c r="O1123" s="93"/>
      <c r="P1123" s="95"/>
      <c r="Q1123" s="196"/>
    </row>
    <row r="1124" spans="3:17" x14ac:dyDescent="0.25">
      <c r="C1124" s="198"/>
      <c r="D1124" s="111"/>
      <c r="E1124" s="33"/>
      <c r="F1124" s="104"/>
      <c r="H1124" s="115"/>
      <c r="I1124" s="26"/>
      <c r="J1124" s="98"/>
      <c r="K1124" s="36"/>
      <c r="L1124" s="26"/>
      <c r="M1124" s="26"/>
      <c r="N1124" s="26"/>
      <c r="O1124" s="93"/>
      <c r="P1124" s="95"/>
      <c r="Q1124" s="196"/>
    </row>
    <row r="1125" spans="3:17" x14ac:dyDescent="0.25">
      <c r="C1125" s="198"/>
      <c r="D1125" s="111"/>
      <c r="E1125" s="33"/>
      <c r="F1125" s="104"/>
      <c r="H1125" s="115"/>
      <c r="I1125" s="26"/>
      <c r="J1125" s="98"/>
      <c r="K1125" s="36"/>
      <c r="L1125" s="26"/>
      <c r="M1125" s="26"/>
      <c r="N1125" s="26"/>
      <c r="O1125" s="93"/>
      <c r="P1125" s="95"/>
      <c r="Q1125" s="196"/>
    </row>
    <row r="1126" spans="3:17" x14ac:dyDescent="0.25">
      <c r="C1126" s="198"/>
      <c r="D1126" s="111"/>
      <c r="E1126" s="33"/>
      <c r="F1126" s="104"/>
      <c r="H1126" s="115"/>
      <c r="I1126" s="26"/>
      <c r="J1126" s="98"/>
      <c r="K1126" s="36"/>
      <c r="L1126" s="26"/>
      <c r="M1126" s="26"/>
      <c r="N1126" s="26"/>
      <c r="O1126" s="93"/>
      <c r="P1126" s="95"/>
      <c r="Q1126" s="196"/>
    </row>
    <row r="1127" spans="3:17" x14ac:dyDescent="0.25">
      <c r="C1127" s="198"/>
      <c r="D1127" s="111"/>
      <c r="E1127" s="33"/>
      <c r="F1127" s="104"/>
      <c r="H1127" s="115"/>
      <c r="I1127" s="26"/>
      <c r="J1127" s="98"/>
      <c r="K1127" s="36"/>
      <c r="L1127" s="26"/>
      <c r="M1127" s="26"/>
      <c r="N1127" s="26"/>
      <c r="O1127" s="93"/>
      <c r="P1127" s="95"/>
      <c r="Q1127" s="196"/>
    </row>
    <row r="1128" spans="3:17" x14ac:dyDescent="0.25">
      <c r="C1128" s="198"/>
      <c r="D1128" s="111"/>
      <c r="E1128" s="33"/>
      <c r="F1128" s="104"/>
      <c r="H1128" s="115"/>
      <c r="I1128" s="26"/>
      <c r="J1128" s="98"/>
      <c r="K1128" s="36"/>
      <c r="L1128" s="26"/>
      <c r="M1128" s="26"/>
      <c r="N1128" s="26"/>
      <c r="O1128" s="93"/>
      <c r="P1128" s="95"/>
      <c r="Q1128" s="196"/>
    </row>
    <row r="1129" spans="3:17" x14ac:dyDescent="0.25">
      <c r="C1129" s="198"/>
      <c r="D1129" s="111"/>
      <c r="E1129" s="33"/>
      <c r="F1129" s="104"/>
      <c r="H1129" s="115"/>
      <c r="I1129" s="26"/>
      <c r="J1129" s="98"/>
      <c r="K1129" s="36"/>
      <c r="L1129" s="26"/>
      <c r="M1129" s="26"/>
      <c r="N1129" s="26"/>
      <c r="O1129" s="93"/>
      <c r="P1129" s="95"/>
      <c r="Q1129" s="196"/>
    </row>
    <row r="1130" spans="3:17" x14ac:dyDescent="0.25">
      <c r="C1130" s="198"/>
      <c r="D1130" s="111"/>
      <c r="E1130" s="33"/>
      <c r="F1130" s="104"/>
      <c r="H1130" s="115"/>
      <c r="I1130" s="26"/>
      <c r="J1130" s="98"/>
      <c r="K1130" s="36"/>
      <c r="L1130" s="26"/>
      <c r="M1130" s="26"/>
      <c r="N1130" s="26"/>
      <c r="O1130" s="93"/>
      <c r="P1130" s="95"/>
      <c r="Q1130" s="196"/>
    </row>
    <row r="1131" spans="3:17" x14ac:dyDescent="0.25">
      <c r="C1131" s="198"/>
      <c r="D1131" s="111"/>
      <c r="E1131" s="33"/>
      <c r="F1131" s="104"/>
      <c r="H1131" s="115"/>
      <c r="I1131" s="26"/>
      <c r="J1131" s="98"/>
      <c r="K1131" s="36"/>
      <c r="L1131" s="26"/>
      <c r="M1131" s="26"/>
      <c r="N1131" s="26"/>
      <c r="O1131" s="93"/>
      <c r="P1131" s="95"/>
      <c r="Q1131" s="196"/>
    </row>
    <row r="1132" spans="3:17" x14ac:dyDescent="0.25">
      <c r="C1132" s="198"/>
      <c r="D1132" s="111"/>
      <c r="E1132" s="33"/>
      <c r="F1132" s="104"/>
      <c r="H1132" s="115"/>
      <c r="I1132" s="26"/>
      <c r="J1132" s="98"/>
      <c r="K1132" s="36"/>
      <c r="L1132" s="26"/>
      <c r="M1132" s="26"/>
      <c r="N1132" s="26"/>
      <c r="O1132" s="93"/>
      <c r="P1132" s="95"/>
      <c r="Q1132" s="196"/>
    </row>
    <row r="1133" spans="3:17" x14ac:dyDescent="0.25">
      <c r="C1133" s="198"/>
      <c r="D1133" s="111"/>
      <c r="E1133" s="33"/>
      <c r="F1133" s="104"/>
      <c r="H1133" s="115"/>
      <c r="I1133" s="26"/>
      <c r="J1133" s="98"/>
      <c r="K1133" s="36"/>
      <c r="L1133" s="26"/>
      <c r="M1133" s="26"/>
      <c r="N1133" s="26"/>
      <c r="O1133" s="93"/>
      <c r="P1133" s="95"/>
      <c r="Q1133" s="196"/>
    </row>
    <row r="1134" spans="3:17" x14ac:dyDescent="0.25">
      <c r="C1134" s="198"/>
      <c r="D1134" s="111"/>
      <c r="E1134" s="33"/>
      <c r="F1134" s="104"/>
      <c r="H1134" s="115"/>
      <c r="I1134" s="26"/>
      <c r="J1134" s="98"/>
      <c r="K1134" s="36"/>
      <c r="L1134" s="26"/>
      <c r="M1134" s="26"/>
      <c r="N1134" s="26"/>
      <c r="O1134" s="93"/>
      <c r="P1134" s="95"/>
      <c r="Q1134" s="196"/>
    </row>
    <row r="1135" spans="3:17" x14ac:dyDescent="0.25">
      <c r="C1135" s="198"/>
      <c r="D1135" s="111"/>
      <c r="E1135" s="33"/>
      <c r="F1135" s="104"/>
      <c r="H1135" s="115"/>
      <c r="I1135" s="26"/>
      <c r="J1135" s="98"/>
      <c r="K1135" s="36"/>
      <c r="L1135" s="26"/>
      <c r="M1135" s="26"/>
      <c r="N1135" s="26"/>
      <c r="O1135" s="93"/>
      <c r="P1135" s="95"/>
      <c r="Q1135" s="196"/>
    </row>
    <row r="1136" spans="3:17" x14ac:dyDescent="0.25">
      <c r="C1136" s="198"/>
      <c r="D1136" s="111"/>
      <c r="E1136" s="33"/>
      <c r="F1136" s="104"/>
      <c r="H1136" s="115"/>
      <c r="I1136" s="26"/>
      <c r="J1136" s="98"/>
      <c r="K1136" s="36"/>
      <c r="L1136" s="26"/>
      <c r="M1136" s="26"/>
      <c r="N1136" s="26"/>
      <c r="O1136" s="93"/>
      <c r="P1136" s="95"/>
      <c r="Q1136" s="196"/>
    </row>
    <row r="1137" spans="3:17" x14ac:dyDescent="0.25">
      <c r="C1137" s="198"/>
      <c r="D1137" s="111"/>
      <c r="E1137" s="33"/>
      <c r="F1137" s="104"/>
      <c r="H1137" s="115"/>
      <c r="I1137" s="26"/>
      <c r="J1137" s="98"/>
      <c r="K1137" s="36"/>
      <c r="L1137" s="26"/>
      <c r="M1137" s="26"/>
      <c r="N1137" s="26"/>
      <c r="O1137" s="93"/>
      <c r="P1137" s="95"/>
      <c r="Q1137" s="196"/>
    </row>
    <row r="1138" spans="3:17" x14ac:dyDescent="0.25">
      <c r="C1138" s="198"/>
      <c r="D1138" s="111"/>
      <c r="E1138" s="33"/>
      <c r="F1138" s="104"/>
      <c r="H1138" s="115"/>
      <c r="I1138" s="26"/>
      <c r="J1138" s="98"/>
      <c r="K1138" s="36"/>
      <c r="L1138" s="26"/>
      <c r="M1138" s="26"/>
      <c r="N1138" s="26"/>
      <c r="O1138" s="93"/>
      <c r="P1138" s="95"/>
      <c r="Q1138" s="196"/>
    </row>
    <row r="1139" spans="3:17" x14ac:dyDescent="0.25">
      <c r="C1139" s="198"/>
      <c r="D1139" s="111"/>
      <c r="E1139" s="33"/>
      <c r="F1139" s="104"/>
      <c r="H1139" s="115"/>
      <c r="I1139" s="26"/>
      <c r="J1139" s="98"/>
      <c r="K1139" s="36"/>
      <c r="L1139" s="26"/>
      <c r="M1139" s="26"/>
      <c r="N1139" s="26"/>
      <c r="O1139" s="93"/>
      <c r="P1139" s="95"/>
      <c r="Q1139" s="196"/>
    </row>
    <row r="1140" spans="3:17" x14ac:dyDescent="0.25">
      <c r="C1140" s="198"/>
      <c r="D1140" s="111"/>
      <c r="E1140" s="33"/>
      <c r="F1140" s="104"/>
      <c r="H1140" s="115"/>
      <c r="I1140" s="26"/>
      <c r="J1140" s="98"/>
      <c r="K1140" s="36"/>
      <c r="L1140" s="26"/>
      <c r="M1140" s="26"/>
      <c r="N1140" s="26"/>
      <c r="O1140" s="93"/>
      <c r="P1140" s="95"/>
      <c r="Q1140" s="196"/>
    </row>
    <row r="1141" spans="3:17" x14ac:dyDescent="0.25">
      <c r="C1141" s="198"/>
      <c r="D1141" s="111"/>
      <c r="E1141" s="33"/>
      <c r="F1141" s="104"/>
      <c r="H1141" s="115"/>
      <c r="I1141" s="26"/>
      <c r="J1141" s="98"/>
      <c r="K1141" s="36"/>
      <c r="L1141" s="26"/>
      <c r="M1141" s="26"/>
      <c r="N1141" s="26"/>
      <c r="O1141" s="93"/>
      <c r="P1141" s="95"/>
      <c r="Q1141" s="196"/>
    </row>
    <row r="1142" spans="3:17" x14ac:dyDescent="0.25">
      <c r="C1142" s="198"/>
      <c r="D1142" s="111"/>
      <c r="E1142" s="33"/>
      <c r="F1142" s="104"/>
      <c r="H1142" s="115"/>
      <c r="I1142" s="26"/>
      <c r="J1142" s="98"/>
      <c r="K1142" s="36"/>
      <c r="L1142" s="26"/>
      <c r="M1142" s="26"/>
      <c r="N1142" s="26"/>
      <c r="O1142" s="93"/>
      <c r="P1142" s="95"/>
      <c r="Q1142" s="196"/>
    </row>
    <row r="1143" spans="3:17" x14ac:dyDescent="0.25">
      <c r="C1143" s="198"/>
      <c r="D1143" s="111"/>
      <c r="E1143" s="33"/>
      <c r="F1143" s="104"/>
      <c r="H1143" s="115"/>
      <c r="I1143" s="26"/>
      <c r="J1143" s="98"/>
      <c r="K1143" s="36"/>
      <c r="L1143" s="26"/>
      <c r="M1143" s="26"/>
      <c r="N1143" s="26"/>
      <c r="O1143" s="93"/>
      <c r="P1143" s="95"/>
      <c r="Q1143" s="196"/>
    </row>
    <row r="1144" spans="3:17" x14ac:dyDescent="0.25">
      <c r="C1144" s="198"/>
      <c r="D1144" s="111"/>
      <c r="E1144" s="33"/>
      <c r="F1144" s="104"/>
      <c r="H1144" s="115"/>
      <c r="I1144" s="26"/>
      <c r="J1144" s="98"/>
      <c r="K1144" s="36"/>
      <c r="L1144" s="26"/>
      <c r="M1144" s="26"/>
      <c r="N1144" s="26"/>
      <c r="O1144" s="93"/>
      <c r="P1144" s="95"/>
      <c r="Q1144" s="196"/>
    </row>
    <row r="1145" spans="3:17" x14ac:dyDescent="0.25">
      <c r="C1145" s="198"/>
      <c r="D1145" s="111"/>
      <c r="E1145" s="33"/>
      <c r="F1145" s="104"/>
      <c r="H1145" s="115"/>
      <c r="I1145" s="26"/>
      <c r="J1145" s="98"/>
      <c r="K1145" s="36"/>
      <c r="L1145" s="26"/>
      <c r="M1145" s="26"/>
      <c r="N1145" s="26"/>
      <c r="O1145" s="93"/>
      <c r="P1145" s="95"/>
      <c r="Q1145" s="196"/>
    </row>
    <row r="1146" spans="3:17" x14ac:dyDescent="0.25">
      <c r="C1146" s="198"/>
      <c r="D1146" s="111"/>
      <c r="E1146" s="33"/>
      <c r="F1146" s="104"/>
      <c r="H1146" s="115"/>
      <c r="I1146" s="26"/>
      <c r="J1146" s="98"/>
      <c r="K1146" s="36"/>
      <c r="L1146" s="26"/>
      <c r="M1146" s="26"/>
      <c r="N1146" s="26"/>
      <c r="O1146" s="93"/>
      <c r="P1146" s="95"/>
      <c r="Q1146" s="196"/>
    </row>
    <row r="1147" spans="3:17" x14ac:dyDescent="0.25">
      <c r="C1147" s="198"/>
      <c r="D1147" s="111"/>
      <c r="E1147" s="33"/>
      <c r="F1147" s="104"/>
      <c r="H1147" s="115"/>
      <c r="I1147" s="26"/>
      <c r="J1147" s="98"/>
      <c r="K1147" s="36"/>
      <c r="L1147" s="26"/>
      <c r="M1147" s="26"/>
      <c r="N1147" s="26"/>
      <c r="O1147" s="93"/>
      <c r="P1147" s="95"/>
      <c r="Q1147" s="196"/>
    </row>
    <row r="1148" spans="3:17" x14ac:dyDescent="0.25">
      <c r="C1148" s="198"/>
      <c r="D1148" s="111"/>
      <c r="E1148" s="33"/>
      <c r="F1148" s="104"/>
      <c r="H1148" s="115"/>
      <c r="I1148" s="26"/>
      <c r="J1148" s="98"/>
      <c r="K1148" s="36"/>
      <c r="L1148" s="26"/>
      <c r="M1148" s="26"/>
      <c r="N1148" s="26"/>
      <c r="O1148" s="93"/>
      <c r="P1148" s="95"/>
      <c r="Q1148" s="196"/>
    </row>
    <row r="1149" spans="3:17" x14ac:dyDescent="0.25">
      <c r="C1149" s="198"/>
      <c r="D1149" s="111"/>
      <c r="E1149" s="33"/>
      <c r="F1149" s="104"/>
      <c r="H1149" s="115"/>
      <c r="I1149" s="26"/>
      <c r="J1149" s="98"/>
      <c r="K1149" s="36"/>
      <c r="L1149" s="26"/>
      <c r="M1149" s="26"/>
      <c r="N1149" s="26"/>
      <c r="O1149" s="93"/>
      <c r="P1149" s="95"/>
      <c r="Q1149" s="196"/>
    </row>
    <row r="1150" spans="3:17" x14ac:dyDescent="0.25">
      <c r="C1150" s="198"/>
      <c r="D1150" s="111"/>
      <c r="E1150" s="33"/>
      <c r="F1150" s="104"/>
      <c r="H1150" s="115"/>
      <c r="I1150" s="26"/>
      <c r="J1150" s="98"/>
      <c r="K1150" s="36"/>
      <c r="L1150" s="26"/>
      <c r="M1150" s="26"/>
      <c r="N1150" s="26"/>
      <c r="O1150" s="93"/>
      <c r="P1150" s="95"/>
      <c r="Q1150" s="196"/>
    </row>
    <row r="1151" spans="3:17" x14ac:dyDescent="0.25">
      <c r="C1151" s="198"/>
      <c r="D1151" s="111"/>
      <c r="E1151" s="33"/>
      <c r="F1151" s="104"/>
      <c r="H1151" s="115"/>
      <c r="I1151" s="26"/>
      <c r="J1151" s="98"/>
      <c r="K1151" s="36"/>
      <c r="L1151" s="26"/>
      <c r="M1151" s="26"/>
      <c r="N1151" s="26"/>
      <c r="O1151" s="93"/>
      <c r="P1151" s="95"/>
      <c r="Q1151" s="196"/>
    </row>
    <row r="1152" spans="3:17" x14ac:dyDescent="0.25">
      <c r="C1152" s="198"/>
      <c r="D1152" s="111"/>
      <c r="E1152" s="33"/>
      <c r="F1152" s="104"/>
      <c r="H1152" s="115"/>
      <c r="I1152" s="26"/>
      <c r="J1152" s="98"/>
      <c r="K1152" s="36"/>
      <c r="L1152" s="26"/>
      <c r="M1152" s="26"/>
      <c r="N1152" s="26"/>
      <c r="O1152" s="93"/>
      <c r="P1152" s="95"/>
      <c r="Q1152" s="196"/>
    </row>
    <row r="1153" spans="3:17" x14ac:dyDescent="0.25">
      <c r="C1153" s="198"/>
      <c r="D1153" s="111"/>
      <c r="E1153" s="33"/>
      <c r="F1153" s="104"/>
      <c r="H1153" s="115"/>
      <c r="I1153" s="26"/>
      <c r="J1153" s="98"/>
      <c r="K1153" s="36"/>
      <c r="L1153" s="26"/>
      <c r="M1153" s="26"/>
      <c r="N1153" s="26"/>
      <c r="O1153" s="93"/>
      <c r="P1153" s="95"/>
      <c r="Q1153" s="196"/>
    </row>
    <row r="1154" spans="3:17" x14ac:dyDescent="0.25">
      <c r="C1154" s="198"/>
      <c r="D1154" s="111"/>
      <c r="E1154" s="33"/>
      <c r="F1154" s="104"/>
      <c r="H1154" s="115"/>
      <c r="I1154" s="26"/>
      <c r="J1154" s="98"/>
      <c r="K1154" s="36"/>
      <c r="L1154" s="26"/>
      <c r="M1154" s="26"/>
      <c r="N1154" s="26"/>
      <c r="O1154" s="93"/>
      <c r="P1154" s="95"/>
      <c r="Q1154" s="196"/>
    </row>
    <row r="1155" spans="3:17" x14ac:dyDescent="0.25">
      <c r="C1155" s="198"/>
      <c r="D1155" s="111"/>
      <c r="E1155" s="33"/>
      <c r="F1155" s="104"/>
      <c r="H1155" s="115"/>
      <c r="I1155" s="26"/>
      <c r="J1155" s="98"/>
      <c r="K1155" s="36"/>
      <c r="L1155" s="26"/>
      <c r="M1155" s="26"/>
      <c r="N1155" s="26"/>
      <c r="O1155" s="93"/>
      <c r="P1155" s="95"/>
      <c r="Q1155" s="196"/>
    </row>
    <row r="1156" spans="3:17" x14ac:dyDescent="0.25">
      <c r="C1156" s="198"/>
      <c r="D1156" s="111"/>
      <c r="E1156" s="33"/>
      <c r="F1156" s="104"/>
      <c r="H1156" s="115"/>
      <c r="I1156" s="26"/>
      <c r="J1156" s="98"/>
      <c r="K1156" s="36"/>
      <c r="L1156" s="26"/>
      <c r="M1156" s="26"/>
      <c r="N1156" s="26"/>
      <c r="O1156" s="93"/>
      <c r="P1156" s="95"/>
      <c r="Q1156" s="196"/>
    </row>
    <row r="1157" spans="3:17" x14ac:dyDescent="0.25">
      <c r="C1157" s="198"/>
      <c r="D1157" s="111"/>
      <c r="E1157" s="33"/>
      <c r="F1157" s="104"/>
      <c r="H1157" s="115"/>
      <c r="I1157" s="26"/>
      <c r="J1157" s="98"/>
      <c r="K1157" s="36"/>
      <c r="L1157" s="26"/>
      <c r="M1157" s="26"/>
      <c r="N1157" s="26"/>
      <c r="O1157" s="93"/>
      <c r="P1157" s="95"/>
      <c r="Q1157" s="196"/>
    </row>
    <row r="1158" spans="3:17" x14ac:dyDescent="0.25">
      <c r="C1158" s="198"/>
      <c r="D1158" s="111"/>
      <c r="E1158" s="33"/>
      <c r="F1158" s="104"/>
      <c r="H1158" s="115"/>
      <c r="I1158" s="26"/>
      <c r="J1158" s="98"/>
      <c r="K1158" s="36"/>
      <c r="L1158" s="26"/>
      <c r="M1158" s="26"/>
      <c r="N1158" s="26"/>
      <c r="O1158" s="93"/>
      <c r="P1158" s="95"/>
      <c r="Q1158" s="196"/>
    </row>
    <row r="1159" spans="3:17" x14ac:dyDescent="0.25">
      <c r="C1159" s="198"/>
      <c r="D1159" s="111"/>
      <c r="E1159" s="33"/>
      <c r="F1159" s="104"/>
      <c r="H1159" s="115"/>
      <c r="I1159" s="26"/>
      <c r="J1159" s="98"/>
      <c r="K1159" s="36"/>
      <c r="L1159" s="26"/>
      <c r="M1159" s="26"/>
      <c r="N1159" s="26"/>
      <c r="O1159" s="93"/>
      <c r="P1159" s="95"/>
      <c r="Q1159" s="196"/>
    </row>
    <row r="1160" spans="3:17" x14ac:dyDescent="0.25">
      <c r="C1160" s="198"/>
      <c r="D1160" s="111"/>
      <c r="E1160" s="33"/>
      <c r="F1160" s="104"/>
      <c r="H1160" s="115"/>
      <c r="I1160" s="26"/>
      <c r="J1160" s="98"/>
      <c r="K1160" s="36"/>
      <c r="L1160" s="26"/>
      <c r="M1160" s="26"/>
      <c r="N1160" s="26"/>
      <c r="O1160" s="93"/>
      <c r="P1160" s="95"/>
      <c r="Q1160" s="196"/>
    </row>
    <row r="1161" spans="3:17" x14ac:dyDescent="0.25">
      <c r="C1161" s="198"/>
      <c r="D1161" s="111"/>
      <c r="E1161" s="33"/>
      <c r="F1161" s="104"/>
      <c r="H1161" s="115"/>
      <c r="I1161" s="26"/>
      <c r="J1161" s="98"/>
      <c r="K1161" s="36"/>
      <c r="L1161" s="26"/>
      <c r="M1161" s="26"/>
      <c r="N1161" s="26"/>
      <c r="O1161" s="93"/>
      <c r="P1161" s="95"/>
      <c r="Q1161" s="196"/>
    </row>
    <row r="1162" spans="3:17" x14ac:dyDescent="0.25">
      <c r="C1162" s="198"/>
      <c r="D1162" s="111"/>
      <c r="E1162" s="33"/>
      <c r="F1162" s="104"/>
      <c r="H1162" s="115"/>
      <c r="I1162" s="26"/>
      <c r="J1162" s="98"/>
      <c r="K1162" s="36"/>
      <c r="L1162" s="26"/>
      <c r="M1162" s="26"/>
      <c r="N1162" s="26"/>
      <c r="O1162" s="93"/>
      <c r="P1162" s="95"/>
      <c r="Q1162" s="196"/>
    </row>
    <row r="1163" spans="3:17" x14ac:dyDescent="0.25">
      <c r="C1163" s="198"/>
      <c r="D1163" s="111"/>
      <c r="E1163" s="33"/>
      <c r="F1163" s="104"/>
      <c r="H1163" s="115"/>
      <c r="I1163" s="26"/>
      <c r="J1163" s="98"/>
      <c r="K1163" s="36"/>
      <c r="L1163" s="26"/>
      <c r="M1163" s="26"/>
      <c r="N1163" s="26"/>
      <c r="O1163" s="93"/>
      <c r="P1163" s="95"/>
      <c r="Q1163" s="196"/>
    </row>
    <row r="1164" spans="3:17" x14ac:dyDescent="0.25">
      <c r="C1164" s="198"/>
      <c r="D1164" s="111"/>
      <c r="E1164" s="33"/>
      <c r="F1164" s="104"/>
      <c r="H1164" s="115"/>
      <c r="I1164" s="26"/>
      <c r="J1164" s="98"/>
      <c r="K1164" s="36"/>
      <c r="L1164" s="26"/>
      <c r="M1164" s="26"/>
      <c r="N1164" s="26"/>
      <c r="O1164" s="93"/>
      <c r="P1164" s="95"/>
      <c r="Q1164" s="196"/>
    </row>
    <row r="1165" spans="3:17" x14ac:dyDescent="0.25">
      <c r="C1165" s="198"/>
      <c r="D1165" s="111"/>
      <c r="E1165" s="33"/>
      <c r="F1165" s="104"/>
      <c r="H1165" s="115"/>
      <c r="I1165" s="26"/>
      <c r="J1165" s="98"/>
      <c r="K1165" s="36"/>
      <c r="L1165" s="26"/>
      <c r="M1165" s="26"/>
      <c r="N1165" s="26"/>
      <c r="O1165" s="93"/>
      <c r="P1165" s="95"/>
      <c r="Q1165" s="196"/>
    </row>
    <row r="1166" spans="3:17" x14ac:dyDescent="0.25">
      <c r="C1166" s="198"/>
      <c r="D1166" s="111"/>
      <c r="E1166" s="33"/>
      <c r="F1166" s="104"/>
      <c r="H1166" s="115"/>
      <c r="I1166" s="26"/>
      <c r="J1166" s="98"/>
      <c r="K1166" s="36"/>
      <c r="L1166" s="26"/>
      <c r="M1166" s="26"/>
      <c r="N1166" s="26"/>
      <c r="O1166" s="93"/>
      <c r="P1166" s="95"/>
      <c r="Q1166" s="196"/>
    </row>
    <row r="1167" spans="3:17" x14ac:dyDescent="0.25">
      <c r="C1167" s="198"/>
      <c r="D1167" s="111"/>
      <c r="E1167" s="33"/>
      <c r="F1167" s="104"/>
      <c r="H1167" s="115"/>
      <c r="I1167" s="26"/>
      <c r="J1167" s="98"/>
      <c r="K1167" s="36"/>
      <c r="L1167" s="26"/>
      <c r="M1167" s="26"/>
      <c r="N1167" s="26"/>
      <c r="O1167" s="93"/>
      <c r="P1167" s="95"/>
      <c r="Q1167" s="196"/>
    </row>
    <row r="1168" spans="3:17" x14ac:dyDescent="0.25">
      <c r="C1168" s="198"/>
      <c r="D1168" s="111"/>
      <c r="E1168" s="33"/>
      <c r="F1168" s="104"/>
      <c r="H1168" s="115"/>
      <c r="I1168" s="26"/>
      <c r="J1168" s="98"/>
      <c r="K1168" s="36"/>
      <c r="L1168" s="26"/>
      <c r="M1168" s="26"/>
      <c r="N1168" s="26"/>
      <c r="O1168" s="93"/>
      <c r="P1168" s="95"/>
      <c r="Q1168" s="196"/>
    </row>
    <row r="1169" spans="3:17" x14ac:dyDescent="0.25">
      <c r="C1169" s="198"/>
      <c r="D1169" s="111"/>
      <c r="E1169" s="33"/>
      <c r="F1169" s="104"/>
      <c r="H1169" s="115"/>
      <c r="I1169" s="26"/>
      <c r="J1169" s="98"/>
      <c r="K1169" s="36"/>
      <c r="L1169" s="26"/>
      <c r="M1169" s="26"/>
      <c r="N1169" s="26"/>
      <c r="O1169" s="93"/>
      <c r="P1169" s="95"/>
      <c r="Q1169" s="196"/>
    </row>
    <row r="1170" spans="3:17" x14ac:dyDescent="0.25">
      <c r="C1170" s="198"/>
      <c r="D1170" s="111"/>
      <c r="E1170" s="33"/>
      <c r="F1170" s="104"/>
      <c r="H1170" s="115"/>
      <c r="I1170" s="26"/>
      <c r="J1170" s="98"/>
      <c r="K1170" s="36"/>
      <c r="L1170" s="26"/>
      <c r="M1170" s="26"/>
      <c r="N1170" s="26"/>
      <c r="O1170" s="93"/>
      <c r="P1170" s="95"/>
      <c r="Q1170" s="196"/>
    </row>
    <row r="1171" spans="3:17" x14ac:dyDescent="0.25">
      <c r="C1171" s="198"/>
      <c r="D1171" s="111"/>
      <c r="E1171" s="33"/>
      <c r="F1171" s="104"/>
      <c r="H1171" s="115"/>
      <c r="I1171" s="26"/>
      <c r="J1171" s="98"/>
      <c r="K1171" s="36"/>
      <c r="L1171" s="26"/>
      <c r="M1171" s="26"/>
      <c r="N1171" s="26"/>
      <c r="O1171" s="93"/>
      <c r="P1171" s="95"/>
      <c r="Q1171" s="196"/>
    </row>
    <row r="1172" spans="3:17" x14ac:dyDescent="0.25">
      <c r="C1172" s="198"/>
      <c r="D1172" s="111"/>
      <c r="E1172" s="33"/>
      <c r="F1172" s="104"/>
      <c r="H1172" s="115"/>
      <c r="I1172" s="26"/>
      <c r="J1172" s="98"/>
      <c r="K1172" s="36"/>
      <c r="L1172" s="26"/>
      <c r="M1172" s="26"/>
      <c r="N1172" s="26"/>
      <c r="O1172" s="93"/>
      <c r="P1172" s="95"/>
      <c r="Q1172" s="196"/>
    </row>
    <row r="1173" spans="3:17" x14ac:dyDescent="0.25">
      <c r="C1173" s="198"/>
      <c r="D1173" s="111"/>
      <c r="E1173" s="33"/>
      <c r="F1173" s="104"/>
      <c r="H1173" s="115"/>
      <c r="I1173" s="26"/>
      <c r="J1173" s="98"/>
      <c r="K1173" s="36"/>
      <c r="L1173" s="26"/>
      <c r="M1173" s="26"/>
      <c r="N1173" s="26"/>
      <c r="O1173" s="93"/>
      <c r="P1173" s="95"/>
      <c r="Q1173" s="196"/>
    </row>
    <row r="1174" spans="3:17" x14ac:dyDescent="0.25">
      <c r="C1174" s="198"/>
      <c r="D1174" s="111"/>
      <c r="E1174" s="33"/>
      <c r="F1174" s="104"/>
      <c r="H1174" s="115"/>
      <c r="I1174" s="26"/>
      <c r="J1174" s="98"/>
      <c r="K1174" s="36"/>
      <c r="L1174" s="26"/>
      <c r="M1174" s="26"/>
      <c r="N1174" s="26"/>
      <c r="O1174" s="93"/>
      <c r="P1174" s="95"/>
      <c r="Q1174" s="196"/>
    </row>
    <row r="1175" spans="3:17" x14ac:dyDescent="0.25">
      <c r="C1175" s="198"/>
      <c r="D1175" s="111"/>
      <c r="E1175" s="33"/>
      <c r="F1175" s="104"/>
      <c r="H1175" s="115"/>
      <c r="I1175" s="26"/>
      <c r="J1175" s="98"/>
      <c r="K1175" s="36"/>
      <c r="L1175" s="26"/>
      <c r="M1175" s="26"/>
      <c r="N1175" s="26"/>
      <c r="O1175" s="93"/>
      <c r="P1175" s="95"/>
      <c r="Q1175" s="196"/>
    </row>
    <row r="1176" spans="3:17" x14ac:dyDescent="0.25">
      <c r="C1176" s="198"/>
      <c r="D1176" s="111"/>
      <c r="E1176" s="33"/>
      <c r="F1176" s="104"/>
      <c r="H1176" s="115"/>
      <c r="I1176" s="26"/>
      <c r="J1176" s="98"/>
      <c r="K1176" s="36"/>
      <c r="L1176" s="26"/>
      <c r="M1176" s="26"/>
      <c r="N1176" s="26"/>
      <c r="O1176" s="93"/>
      <c r="P1176" s="95"/>
      <c r="Q1176" s="196"/>
    </row>
    <row r="1177" spans="3:17" x14ac:dyDescent="0.25">
      <c r="C1177" s="198"/>
      <c r="D1177" s="111"/>
      <c r="E1177" s="33"/>
      <c r="F1177" s="104"/>
      <c r="H1177" s="115"/>
      <c r="I1177" s="26"/>
      <c r="J1177" s="98"/>
      <c r="K1177" s="36"/>
      <c r="L1177" s="26"/>
      <c r="M1177" s="26"/>
      <c r="N1177" s="26"/>
      <c r="O1177" s="93"/>
      <c r="P1177" s="95"/>
      <c r="Q1177" s="196"/>
    </row>
    <row r="1178" spans="3:17" x14ac:dyDescent="0.25">
      <c r="C1178" s="198"/>
      <c r="D1178" s="111"/>
      <c r="E1178" s="33"/>
      <c r="F1178" s="104"/>
      <c r="H1178" s="115"/>
      <c r="I1178" s="26"/>
      <c r="J1178" s="98"/>
      <c r="K1178" s="36"/>
      <c r="L1178" s="26"/>
      <c r="M1178" s="26"/>
      <c r="N1178" s="26"/>
      <c r="O1178" s="93"/>
      <c r="P1178" s="95"/>
      <c r="Q1178" s="196"/>
    </row>
    <row r="1179" spans="3:17" x14ac:dyDescent="0.25">
      <c r="C1179" s="198"/>
      <c r="D1179" s="111"/>
      <c r="E1179" s="33"/>
      <c r="F1179" s="104"/>
      <c r="H1179" s="115"/>
      <c r="I1179" s="26"/>
      <c r="J1179" s="98"/>
      <c r="K1179" s="36"/>
      <c r="L1179" s="26"/>
      <c r="M1179" s="26"/>
      <c r="N1179" s="26"/>
      <c r="O1179" s="93"/>
      <c r="P1179" s="95"/>
      <c r="Q1179" s="196"/>
    </row>
    <row r="1180" spans="3:17" x14ac:dyDescent="0.25">
      <c r="C1180" s="198"/>
      <c r="D1180" s="111"/>
      <c r="E1180" s="33"/>
      <c r="F1180" s="104"/>
      <c r="H1180" s="115"/>
      <c r="I1180" s="26"/>
      <c r="J1180" s="98"/>
      <c r="K1180" s="36"/>
      <c r="L1180" s="26"/>
      <c r="M1180" s="26"/>
      <c r="N1180" s="26"/>
      <c r="O1180" s="93"/>
      <c r="P1180" s="95"/>
      <c r="Q1180" s="196"/>
    </row>
    <row r="1181" spans="3:17" x14ac:dyDescent="0.25">
      <c r="C1181" s="198"/>
      <c r="D1181" s="111"/>
      <c r="E1181" s="33"/>
      <c r="F1181" s="104"/>
      <c r="H1181" s="115"/>
      <c r="I1181" s="26"/>
      <c r="J1181" s="98"/>
      <c r="K1181" s="36"/>
      <c r="L1181" s="26"/>
      <c r="M1181" s="26"/>
      <c r="N1181" s="26"/>
      <c r="O1181" s="93"/>
      <c r="P1181" s="95"/>
      <c r="Q1181" s="196"/>
    </row>
    <row r="1182" spans="3:17" x14ac:dyDescent="0.25">
      <c r="C1182" s="198"/>
      <c r="D1182" s="111"/>
      <c r="E1182" s="33"/>
      <c r="F1182" s="104"/>
      <c r="H1182" s="115"/>
      <c r="I1182" s="26"/>
      <c r="J1182" s="98"/>
      <c r="K1182" s="36"/>
      <c r="L1182" s="26"/>
      <c r="M1182" s="26"/>
      <c r="N1182" s="26"/>
      <c r="O1182" s="93"/>
      <c r="P1182" s="95"/>
      <c r="Q1182" s="196"/>
    </row>
    <row r="1183" spans="3:17" x14ac:dyDescent="0.25">
      <c r="C1183" s="198"/>
      <c r="D1183" s="111"/>
      <c r="E1183" s="33"/>
      <c r="F1183" s="104"/>
      <c r="H1183" s="115"/>
      <c r="I1183" s="26"/>
      <c r="J1183" s="98"/>
      <c r="K1183" s="36"/>
      <c r="L1183" s="26"/>
      <c r="M1183" s="26"/>
      <c r="N1183" s="26"/>
      <c r="O1183" s="93"/>
      <c r="P1183" s="95"/>
      <c r="Q1183" s="196"/>
    </row>
    <row r="1184" spans="3:17" x14ac:dyDescent="0.25">
      <c r="C1184" s="198"/>
      <c r="D1184" s="111"/>
      <c r="E1184" s="33"/>
      <c r="F1184" s="104"/>
      <c r="H1184" s="115"/>
      <c r="I1184" s="26"/>
      <c r="J1184" s="98"/>
      <c r="K1184" s="36"/>
      <c r="L1184" s="26"/>
      <c r="M1184" s="26"/>
      <c r="N1184" s="26"/>
      <c r="O1184" s="93"/>
      <c r="P1184" s="95"/>
      <c r="Q1184" s="196"/>
    </row>
    <row r="1185" spans="3:17" x14ac:dyDescent="0.25">
      <c r="C1185" s="198"/>
      <c r="D1185" s="111"/>
      <c r="E1185" s="33"/>
      <c r="F1185" s="104"/>
      <c r="H1185" s="115"/>
      <c r="I1185" s="26"/>
      <c r="J1185" s="98"/>
      <c r="K1185" s="36"/>
      <c r="L1185" s="26"/>
      <c r="M1185" s="26"/>
      <c r="N1185" s="26"/>
      <c r="O1185" s="93"/>
      <c r="P1185" s="95"/>
      <c r="Q1185" s="196"/>
    </row>
    <row r="1186" spans="3:17" x14ac:dyDescent="0.25">
      <c r="C1186" s="198"/>
      <c r="D1186" s="111"/>
      <c r="E1186" s="33"/>
      <c r="F1186" s="104"/>
      <c r="H1186" s="115"/>
      <c r="I1186" s="26"/>
      <c r="J1186" s="98"/>
      <c r="K1186" s="36"/>
      <c r="L1186" s="26"/>
      <c r="M1186" s="26"/>
      <c r="N1186" s="26"/>
      <c r="O1186" s="93"/>
      <c r="P1186" s="95"/>
      <c r="Q1186" s="196"/>
    </row>
    <row r="1187" spans="3:17" x14ac:dyDescent="0.25">
      <c r="C1187" s="198"/>
      <c r="D1187" s="111"/>
      <c r="E1187" s="33"/>
      <c r="F1187" s="104"/>
      <c r="H1187" s="115"/>
      <c r="I1187" s="26"/>
      <c r="J1187" s="98"/>
      <c r="K1187" s="36"/>
      <c r="L1187" s="26"/>
      <c r="M1187" s="26"/>
      <c r="N1187" s="26"/>
      <c r="O1187" s="93"/>
      <c r="P1187" s="95"/>
      <c r="Q1187" s="196"/>
    </row>
    <row r="1188" spans="3:17" x14ac:dyDescent="0.25">
      <c r="C1188" s="198"/>
      <c r="D1188" s="111"/>
      <c r="E1188" s="33"/>
      <c r="F1188" s="104"/>
      <c r="H1188" s="115"/>
      <c r="I1188" s="26"/>
      <c r="J1188" s="98"/>
      <c r="K1188" s="36"/>
      <c r="L1188" s="26"/>
      <c r="M1188" s="26"/>
      <c r="N1188" s="26"/>
      <c r="O1188" s="93"/>
      <c r="P1188" s="95"/>
      <c r="Q1188" s="196"/>
    </row>
    <row r="1189" spans="3:17" x14ac:dyDescent="0.25">
      <c r="C1189" s="198"/>
      <c r="D1189" s="111"/>
      <c r="E1189" s="33"/>
      <c r="F1189" s="104"/>
      <c r="H1189" s="115"/>
      <c r="I1189" s="26"/>
      <c r="J1189" s="98"/>
      <c r="K1189" s="36"/>
      <c r="L1189" s="26"/>
      <c r="M1189" s="26"/>
      <c r="N1189" s="26"/>
      <c r="O1189" s="93"/>
      <c r="P1189" s="95"/>
      <c r="Q1189" s="196"/>
    </row>
    <row r="1190" spans="3:17" x14ac:dyDescent="0.25">
      <c r="C1190" s="198"/>
      <c r="D1190" s="111"/>
      <c r="E1190" s="33"/>
      <c r="F1190" s="104"/>
      <c r="H1190" s="115"/>
      <c r="I1190" s="26"/>
      <c r="J1190" s="98"/>
      <c r="K1190" s="36"/>
      <c r="L1190" s="26"/>
      <c r="M1190" s="26"/>
      <c r="N1190" s="26"/>
      <c r="O1190" s="93"/>
      <c r="P1190" s="95"/>
      <c r="Q1190" s="196"/>
    </row>
    <row r="1191" spans="3:17" x14ac:dyDescent="0.25">
      <c r="C1191" s="198"/>
      <c r="D1191" s="111"/>
      <c r="E1191" s="33"/>
      <c r="F1191" s="104"/>
      <c r="H1191" s="115"/>
      <c r="I1191" s="26"/>
      <c r="J1191" s="98"/>
      <c r="K1191" s="36"/>
      <c r="L1191" s="26"/>
      <c r="M1191" s="26"/>
      <c r="N1191" s="26"/>
      <c r="O1191" s="93"/>
      <c r="P1191" s="95"/>
      <c r="Q1191" s="196"/>
    </row>
    <row r="1192" spans="3:17" x14ac:dyDescent="0.25">
      <c r="C1192" s="198"/>
      <c r="D1192" s="111"/>
      <c r="E1192" s="33"/>
      <c r="F1192" s="104"/>
      <c r="H1192" s="115"/>
      <c r="I1192" s="26"/>
      <c r="J1192" s="98"/>
      <c r="K1192" s="36"/>
      <c r="L1192" s="26"/>
      <c r="M1192" s="26"/>
      <c r="N1192" s="26"/>
      <c r="O1192" s="93"/>
      <c r="P1192" s="95"/>
      <c r="Q1192" s="196"/>
    </row>
    <row r="1193" spans="3:17" x14ac:dyDescent="0.25">
      <c r="C1193" s="198"/>
      <c r="D1193" s="111"/>
      <c r="E1193" s="33"/>
      <c r="F1193" s="104"/>
      <c r="H1193" s="115"/>
      <c r="I1193" s="26"/>
      <c r="J1193" s="98"/>
      <c r="K1193" s="36"/>
      <c r="L1193" s="26"/>
      <c r="M1193" s="26"/>
      <c r="N1193" s="26"/>
      <c r="O1193" s="93"/>
      <c r="P1193" s="95"/>
      <c r="Q1193" s="196"/>
    </row>
    <row r="1194" spans="3:17" x14ac:dyDescent="0.25">
      <c r="C1194" s="198"/>
      <c r="D1194" s="111"/>
      <c r="E1194" s="33"/>
      <c r="F1194" s="104"/>
      <c r="H1194" s="115"/>
      <c r="I1194" s="26"/>
      <c r="J1194" s="98"/>
      <c r="K1194" s="36"/>
      <c r="L1194" s="26"/>
      <c r="M1194" s="26"/>
      <c r="N1194" s="26"/>
      <c r="O1194" s="93"/>
      <c r="P1194" s="95"/>
      <c r="Q1194" s="196"/>
    </row>
    <row r="1195" spans="3:17" x14ac:dyDescent="0.25">
      <c r="C1195" s="198"/>
      <c r="D1195" s="111"/>
      <c r="E1195" s="33"/>
      <c r="F1195" s="104"/>
      <c r="H1195" s="115"/>
      <c r="I1195" s="26"/>
      <c r="J1195" s="98"/>
      <c r="K1195" s="36"/>
      <c r="L1195" s="26"/>
      <c r="M1195" s="26"/>
      <c r="N1195" s="26"/>
      <c r="O1195" s="93"/>
      <c r="P1195" s="95"/>
      <c r="Q1195" s="196"/>
    </row>
    <row r="1196" spans="3:17" x14ac:dyDescent="0.25">
      <c r="C1196" s="198"/>
      <c r="D1196" s="111"/>
      <c r="E1196" s="33"/>
      <c r="F1196" s="104"/>
      <c r="H1196" s="115"/>
      <c r="I1196" s="26"/>
      <c r="J1196" s="98"/>
      <c r="K1196" s="36"/>
      <c r="L1196" s="26"/>
      <c r="M1196" s="26"/>
      <c r="N1196" s="26"/>
      <c r="O1196" s="93"/>
      <c r="P1196" s="95"/>
      <c r="Q1196" s="196"/>
    </row>
    <row r="1197" spans="3:17" x14ac:dyDescent="0.25">
      <c r="C1197" s="198"/>
      <c r="D1197" s="111"/>
      <c r="E1197" s="33"/>
      <c r="F1197" s="104"/>
      <c r="H1197" s="115"/>
      <c r="I1197" s="26"/>
      <c r="J1197" s="98"/>
      <c r="K1197" s="36"/>
      <c r="L1197" s="26"/>
      <c r="M1197" s="26"/>
      <c r="N1197" s="26"/>
      <c r="O1197" s="93"/>
      <c r="P1197" s="95"/>
      <c r="Q1197" s="196"/>
    </row>
    <row r="1198" spans="3:17" x14ac:dyDescent="0.25">
      <c r="C1198" s="198"/>
      <c r="D1198" s="111"/>
      <c r="E1198" s="33"/>
      <c r="F1198" s="104"/>
      <c r="H1198" s="115"/>
      <c r="I1198" s="26"/>
      <c r="J1198" s="98"/>
      <c r="K1198" s="36"/>
      <c r="L1198" s="26"/>
      <c r="M1198" s="26"/>
      <c r="N1198" s="26"/>
      <c r="O1198" s="93"/>
      <c r="P1198" s="95"/>
      <c r="Q1198" s="196"/>
    </row>
    <row r="1199" spans="3:17" x14ac:dyDescent="0.25">
      <c r="C1199" s="198"/>
      <c r="D1199" s="111"/>
      <c r="E1199" s="33"/>
      <c r="F1199" s="104"/>
      <c r="H1199" s="115"/>
      <c r="I1199" s="26"/>
      <c r="J1199" s="98"/>
      <c r="K1199" s="36"/>
      <c r="L1199" s="26"/>
      <c r="M1199" s="26"/>
      <c r="N1199" s="26"/>
      <c r="O1199" s="93"/>
      <c r="P1199" s="95"/>
      <c r="Q1199" s="196"/>
    </row>
    <row r="1200" spans="3:17" x14ac:dyDescent="0.25">
      <c r="C1200" s="198"/>
      <c r="D1200" s="111"/>
      <c r="E1200" s="33"/>
      <c r="F1200" s="104"/>
      <c r="H1200" s="115"/>
      <c r="I1200" s="26"/>
      <c r="J1200" s="98"/>
      <c r="K1200" s="36"/>
      <c r="L1200" s="26"/>
      <c r="M1200" s="26"/>
      <c r="N1200" s="26"/>
      <c r="O1200" s="93"/>
      <c r="P1200" s="95"/>
      <c r="Q1200" s="196"/>
    </row>
    <row r="1201" spans="3:17" x14ac:dyDescent="0.25">
      <c r="C1201" s="198"/>
      <c r="D1201" s="111"/>
      <c r="E1201" s="33"/>
      <c r="F1201" s="104"/>
      <c r="H1201" s="115"/>
      <c r="I1201" s="26"/>
      <c r="J1201" s="98"/>
      <c r="K1201" s="36"/>
      <c r="L1201" s="26"/>
      <c r="M1201" s="26"/>
      <c r="N1201" s="26"/>
      <c r="O1201" s="93"/>
      <c r="P1201" s="95"/>
      <c r="Q1201" s="196"/>
    </row>
    <row r="1202" spans="3:17" x14ac:dyDescent="0.25">
      <c r="C1202" s="198"/>
      <c r="D1202" s="111"/>
      <c r="E1202" s="33"/>
      <c r="F1202" s="104"/>
      <c r="H1202" s="115"/>
      <c r="I1202" s="26"/>
      <c r="J1202" s="98"/>
      <c r="K1202" s="36"/>
      <c r="L1202" s="26"/>
      <c r="M1202" s="26"/>
      <c r="N1202" s="26"/>
      <c r="O1202" s="93"/>
      <c r="P1202" s="95"/>
      <c r="Q1202" s="196"/>
    </row>
    <row r="1203" spans="3:17" x14ac:dyDescent="0.25">
      <c r="C1203" s="198"/>
      <c r="D1203" s="111"/>
      <c r="E1203" s="33"/>
      <c r="F1203" s="104"/>
      <c r="H1203" s="115"/>
      <c r="I1203" s="26"/>
      <c r="J1203" s="98"/>
      <c r="K1203" s="36"/>
      <c r="L1203" s="26"/>
      <c r="M1203" s="26"/>
      <c r="N1203" s="26"/>
      <c r="O1203" s="93"/>
      <c r="P1203" s="95"/>
      <c r="Q1203" s="196"/>
    </row>
    <row r="1204" spans="3:17" x14ac:dyDescent="0.25">
      <c r="C1204" s="198"/>
      <c r="D1204" s="111"/>
      <c r="E1204" s="33"/>
      <c r="F1204" s="104"/>
      <c r="H1204" s="115"/>
      <c r="I1204" s="26"/>
      <c r="J1204" s="98"/>
      <c r="K1204" s="36"/>
      <c r="L1204" s="26"/>
      <c r="M1204" s="26"/>
      <c r="N1204" s="26"/>
      <c r="O1204" s="93"/>
      <c r="P1204" s="95"/>
      <c r="Q1204" s="196"/>
    </row>
    <row r="1205" spans="3:17" x14ac:dyDescent="0.25">
      <c r="C1205" s="198"/>
      <c r="D1205" s="111"/>
      <c r="E1205" s="33"/>
      <c r="F1205" s="104"/>
      <c r="H1205" s="115"/>
      <c r="I1205" s="26"/>
      <c r="J1205" s="98"/>
      <c r="K1205" s="36"/>
      <c r="L1205" s="26"/>
      <c r="M1205" s="26"/>
      <c r="N1205" s="26"/>
      <c r="O1205" s="93"/>
      <c r="P1205" s="95"/>
      <c r="Q1205" s="196"/>
    </row>
    <row r="1206" spans="3:17" x14ac:dyDescent="0.25">
      <c r="C1206" s="198"/>
      <c r="D1206" s="111"/>
      <c r="E1206" s="33"/>
      <c r="F1206" s="104"/>
      <c r="H1206" s="115"/>
      <c r="I1206" s="26"/>
      <c r="J1206" s="98"/>
      <c r="K1206" s="36"/>
      <c r="L1206" s="26"/>
      <c r="M1206" s="26"/>
      <c r="N1206" s="26"/>
      <c r="O1206" s="93"/>
      <c r="P1206" s="95"/>
      <c r="Q1206" s="196"/>
    </row>
    <row r="1207" spans="3:17" x14ac:dyDescent="0.25">
      <c r="C1207" s="198"/>
      <c r="D1207" s="111"/>
      <c r="E1207" s="33"/>
      <c r="F1207" s="104"/>
      <c r="H1207" s="115"/>
      <c r="I1207" s="26"/>
      <c r="J1207" s="98"/>
      <c r="K1207" s="36"/>
      <c r="L1207" s="26"/>
      <c r="M1207" s="26"/>
      <c r="N1207" s="26"/>
      <c r="O1207" s="93"/>
      <c r="P1207" s="95"/>
      <c r="Q1207" s="196"/>
    </row>
    <row r="1208" spans="3:17" x14ac:dyDescent="0.25">
      <c r="C1208" s="198"/>
      <c r="D1208" s="111"/>
      <c r="E1208" s="33"/>
      <c r="F1208" s="104"/>
      <c r="H1208" s="115"/>
      <c r="I1208" s="26"/>
      <c r="J1208" s="98"/>
      <c r="K1208" s="36"/>
      <c r="L1208" s="26"/>
      <c r="M1208" s="26"/>
      <c r="N1208" s="26"/>
      <c r="O1208" s="93"/>
      <c r="P1208" s="95"/>
      <c r="Q1208" s="196"/>
    </row>
    <row r="1209" spans="3:17" x14ac:dyDescent="0.25">
      <c r="C1209" s="198"/>
      <c r="D1209" s="111"/>
      <c r="E1209" s="33"/>
      <c r="F1209" s="104"/>
      <c r="H1209" s="115"/>
      <c r="I1209" s="26"/>
      <c r="J1209" s="98"/>
      <c r="K1209" s="36"/>
      <c r="L1209" s="26"/>
      <c r="M1209" s="26"/>
      <c r="N1209" s="26"/>
      <c r="O1209" s="93"/>
      <c r="P1209" s="95"/>
      <c r="Q1209" s="196"/>
    </row>
    <row r="1210" spans="3:17" x14ac:dyDescent="0.25">
      <c r="C1210" s="198"/>
      <c r="D1210" s="111"/>
      <c r="E1210" s="33"/>
      <c r="F1210" s="104"/>
      <c r="H1210" s="115"/>
      <c r="I1210" s="26"/>
      <c r="J1210" s="98"/>
      <c r="K1210" s="36"/>
      <c r="L1210" s="26"/>
      <c r="M1210" s="26"/>
      <c r="N1210" s="26"/>
      <c r="O1210" s="93"/>
      <c r="P1210" s="95"/>
      <c r="Q1210" s="196"/>
    </row>
    <row r="1211" spans="3:17" x14ac:dyDescent="0.25">
      <c r="C1211" s="198"/>
      <c r="D1211" s="111"/>
      <c r="E1211" s="33"/>
      <c r="F1211" s="104"/>
      <c r="H1211" s="115"/>
      <c r="I1211" s="26"/>
      <c r="J1211" s="98"/>
      <c r="K1211" s="36"/>
      <c r="L1211" s="26"/>
      <c r="M1211" s="26"/>
      <c r="N1211" s="26"/>
      <c r="O1211" s="93"/>
      <c r="P1211" s="95"/>
      <c r="Q1211" s="196"/>
    </row>
    <row r="1212" spans="3:17" x14ac:dyDescent="0.25">
      <c r="C1212" s="198"/>
      <c r="D1212" s="111"/>
      <c r="E1212" s="33"/>
      <c r="F1212" s="104"/>
      <c r="H1212" s="115"/>
      <c r="I1212" s="26"/>
      <c r="J1212" s="98"/>
      <c r="K1212" s="36"/>
      <c r="L1212" s="26"/>
      <c r="M1212" s="26"/>
      <c r="N1212" s="26"/>
      <c r="O1212" s="93"/>
      <c r="P1212" s="95"/>
      <c r="Q1212" s="196"/>
    </row>
    <row r="1213" spans="3:17" x14ac:dyDescent="0.25">
      <c r="C1213" s="198"/>
      <c r="D1213" s="111"/>
      <c r="E1213" s="33"/>
      <c r="F1213" s="104"/>
      <c r="H1213" s="115"/>
      <c r="I1213" s="26"/>
      <c r="J1213" s="98"/>
      <c r="K1213" s="36"/>
      <c r="L1213" s="26"/>
      <c r="M1213" s="26"/>
      <c r="N1213" s="26"/>
      <c r="O1213" s="93"/>
      <c r="P1213" s="95"/>
      <c r="Q1213" s="196"/>
    </row>
    <row r="1214" spans="3:17" x14ac:dyDescent="0.25">
      <c r="C1214" s="198"/>
      <c r="D1214" s="111"/>
      <c r="E1214" s="33"/>
      <c r="F1214" s="104"/>
      <c r="H1214" s="115"/>
      <c r="I1214" s="26"/>
      <c r="J1214" s="98"/>
      <c r="K1214" s="36"/>
      <c r="L1214" s="26"/>
      <c r="M1214" s="26"/>
      <c r="N1214" s="26"/>
      <c r="O1214" s="93"/>
      <c r="P1214" s="95"/>
      <c r="Q1214" s="196"/>
    </row>
    <row r="1215" spans="3:17" x14ac:dyDescent="0.25">
      <c r="C1215" s="198"/>
      <c r="D1215" s="111"/>
      <c r="E1215" s="33"/>
      <c r="F1215" s="104"/>
      <c r="H1215" s="115"/>
      <c r="I1215" s="26"/>
      <c r="J1215" s="98"/>
      <c r="K1215" s="36"/>
      <c r="L1215" s="26"/>
      <c r="M1215" s="26"/>
      <c r="N1215" s="26"/>
      <c r="O1215" s="93"/>
      <c r="P1215" s="95"/>
      <c r="Q1215" s="196"/>
    </row>
    <row r="1216" spans="3:17" x14ac:dyDescent="0.25">
      <c r="C1216" s="198"/>
      <c r="D1216" s="111"/>
      <c r="E1216" s="33"/>
      <c r="F1216" s="104"/>
      <c r="H1216" s="115"/>
      <c r="I1216" s="26"/>
      <c r="J1216" s="98"/>
      <c r="K1216" s="36"/>
      <c r="L1216" s="26"/>
      <c r="M1216" s="26"/>
      <c r="N1216" s="26"/>
      <c r="O1216" s="93"/>
      <c r="P1216" s="95"/>
      <c r="Q1216" s="196"/>
    </row>
    <row r="1217" spans="3:17" x14ac:dyDescent="0.25">
      <c r="C1217" s="198"/>
      <c r="D1217" s="111"/>
      <c r="E1217" s="33"/>
      <c r="F1217" s="104"/>
      <c r="H1217" s="115"/>
      <c r="I1217" s="26"/>
      <c r="J1217" s="98"/>
      <c r="K1217" s="36"/>
      <c r="L1217" s="26"/>
      <c r="M1217" s="26"/>
      <c r="N1217" s="26"/>
      <c r="O1217" s="93"/>
      <c r="P1217" s="95"/>
      <c r="Q1217" s="196"/>
    </row>
    <row r="1218" spans="3:17" x14ac:dyDescent="0.25">
      <c r="C1218" s="198"/>
      <c r="D1218" s="111"/>
      <c r="E1218" s="33"/>
      <c r="F1218" s="104"/>
      <c r="H1218" s="115"/>
      <c r="I1218" s="26"/>
      <c r="J1218" s="98"/>
      <c r="K1218" s="36"/>
      <c r="L1218" s="26"/>
      <c r="M1218" s="26"/>
      <c r="N1218" s="26"/>
      <c r="O1218" s="93"/>
      <c r="P1218" s="95"/>
      <c r="Q1218" s="196"/>
    </row>
    <row r="1219" spans="3:17" x14ac:dyDescent="0.25">
      <c r="C1219" s="198"/>
      <c r="D1219" s="111"/>
      <c r="E1219" s="33"/>
      <c r="F1219" s="104"/>
      <c r="H1219" s="115"/>
      <c r="I1219" s="26"/>
      <c r="J1219" s="98"/>
      <c r="K1219" s="36"/>
      <c r="L1219" s="26"/>
      <c r="M1219" s="26"/>
      <c r="N1219" s="26"/>
      <c r="O1219" s="93"/>
      <c r="P1219" s="95"/>
      <c r="Q1219" s="196"/>
    </row>
    <row r="1220" spans="3:17" x14ac:dyDescent="0.25">
      <c r="C1220" s="198"/>
      <c r="D1220" s="111"/>
      <c r="E1220" s="33"/>
      <c r="F1220" s="104"/>
      <c r="H1220" s="115"/>
      <c r="I1220" s="26"/>
      <c r="J1220" s="98"/>
      <c r="K1220" s="36"/>
      <c r="L1220" s="26"/>
      <c r="M1220" s="26"/>
      <c r="N1220" s="26"/>
      <c r="O1220" s="93"/>
      <c r="P1220" s="95"/>
      <c r="Q1220" s="196"/>
    </row>
    <row r="1221" spans="3:17" x14ac:dyDescent="0.25">
      <c r="C1221" s="198"/>
      <c r="D1221" s="111"/>
      <c r="E1221" s="33"/>
      <c r="F1221" s="104"/>
      <c r="H1221" s="115"/>
      <c r="I1221" s="26"/>
      <c r="J1221" s="98"/>
      <c r="K1221" s="36"/>
      <c r="L1221" s="26"/>
      <c r="M1221" s="26"/>
      <c r="N1221" s="26"/>
      <c r="O1221" s="93"/>
      <c r="P1221" s="95"/>
      <c r="Q1221" s="196"/>
    </row>
    <row r="1222" spans="3:17" x14ac:dyDescent="0.25">
      <c r="C1222" s="198"/>
      <c r="D1222" s="111"/>
      <c r="E1222" s="33"/>
      <c r="F1222" s="104"/>
      <c r="H1222" s="115"/>
      <c r="I1222" s="26"/>
      <c r="J1222" s="98"/>
      <c r="K1222" s="36"/>
      <c r="L1222" s="26"/>
      <c r="M1222" s="26"/>
      <c r="N1222" s="26"/>
      <c r="O1222" s="93"/>
      <c r="P1222" s="95"/>
      <c r="Q1222" s="196"/>
    </row>
    <row r="1223" spans="3:17" x14ac:dyDescent="0.25">
      <c r="C1223" s="198"/>
      <c r="D1223" s="111"/>
      <c r="E1223" s="33"/>
      <c r="F1223" s="104"/>
      <c r="H1223" s="115"/>
      <c r="I1223" s="26"/>
      <c r="J1223" s="98"/>
      <c r="K1223" s="36"/>
      <c r="L1223" s="26"/>
      <c r="M1223" s="26"/>
      <c r="N1223" s="26"/>
      <c r="O1223" s="93"/>
      <c r="P1223" s="95"/>
      <c r="Q1223" s="196"/>
    </row>
    <row r="1224" spans="3:17" x14ac:dyDescent="0.25">
      <c r="C1224" s="198"/>
      <c r="D1224" s="111"/>
      <c r="E1224" s="33"/>
      <c r="F1224" s="104"/>
      <c r="H1224" s="115"/>
      <c r="I1224" s="26"/>
      <c r="J1224" s="98"/>
      <c r="K1224" s="36"/>
      <c r="L1224" s="26"/>
      <c r="M1224" s="26"/>
      <c r="N1224" s="26"/>
      <c r="O1224" s="93"/>
      <c r="P1224" s="95"/>
      <c r="Q1224" s="196"/>
    </row>
    <row r="1225" spans="3:17" x14ac:dyDescent="0.25">
      <c r="C1225" s="198"/>
      <c r="D1225" s="111"/>
      <c r="E1225" s="33"/>
      <c r="F1225" s="104"/>
      <c r="H1225" s="115"/>
      <c r="I1225" s="26"/>
      <c r="J1225" s="98"/>
      <c r="K1225" s="36"/>
      <c r="L1225" s="26"/>
      <c r="M1225" s="26"/>
      <c r="N1225" s="26"/>
      <c r="O1225" s="93"/>
      <c r="P1225" s="95"/>
      <c r="Q1225" s="196"/>
    </row>
    <row r="1226" spans="3:17" x14ac:dyDescent="0.25">
      <c r="C1226" s="198"/>
      <c r="D1226" s="111"/>
      <c r="E1226" s="33"/>
      <c r="F1226" s="104"/>
      <c r="H1226" s="115"/>
      <c r="I1226" s="26"/>
      <c r="J1226" s="98"/>
      <c r="K1226" s="36"/>
      <c r="L1226" s="26"/>
      <c r="M1226" s="26"/>
      <c r="N1226" s="26"/>
      <c r="O1226" s="93"/>
      <c r="P1226" s="95"/>
      <c r="Q1226" s="196"/>
    </row>
    <row r="1227" spans="3:17" x14ac:dyDescent="0.25">
      <c r="C1227" s="198"/>
      <c r="D1227" s="111"/>
      <c r="E1227" s="33"/>
      <c r="F1227" s="104"/>
      <c r="H1227" s="115"/>
      <c r="I1227" s="26"/>
      <c r="J1227" s="98"/>
      <c r="K1227" s="36"/>
      <c r="L1227" s="26"/>
      <c r="M1227" s="26"/>
      <c r="N1227" s="26"/>
      <c r="O1227" s="93"/>
      <c r="P1227" s="95"/>
      <c r="Q1227" s="196"/>
    </row>
    <row r="1228" spans="3:17" x14ac:dyDescent="0.25">
      <c r="C1228" s="198"/>
      <c r="D1228" s="111"/>
      <c r="E1228" s="33"/>
      <c r="F1228" s="104"/>
      <c r="H1228" s="115"/>
      <c r="I1228" s="26"/>
      <c r="J1228" s="98"/>
      <c r="K1228" s="36"/>
      <c r="L1228" s="26"/>
      <c r="M1228" s="26"/>
      <c r="N1228" s="26"/>
      <c r="O1228" s="93"/>
      <c r="P1228" s="95"/>
      <c r="Q1228" s="196"/>
    </row>
    <row r="1229" spans="3:17" x14ac:dyDescent="0.25">
      <c r="C1229" s="198"/>
      <c r="D1229" s="111"/>
      <c r="E1229" s="33"/>
      <c r="F1229" s="104"/>
      <c r="H1229" s="115"/>
      <c r="I1229" s="26"/>
      <c r="J1229" s="98"/>
      <c r="K1229" s="36"/>
      <c r="L1229" s="26"/>
      <c r="M1229" s="26"/>
      <c r="N1229" s="26"/>
      <c r="O1229" s="93"/>
      <c r="P1229" s="95"/>
      <c r="Q1229" s="196"/>
    </row>
    <row r="1230" spans="3:17" x14ac:dyDescent="0.25">
      <c r="C1230" s="198"/>
      <c r="D1230" s="111"/>
      <c r="E1230" s="33"/>
      <c r="F1230" s="104"/>
      <c r="H1230" s="115"/>
      <c r="I1230" s="26"/>
      <c r="J1230" s="98"/>
      <c r="K1230" s="36"/>
      <c r="L1230" s="26"/>
      <c r="M1230" s="26"/>
      <c r="N1230" s="26"/>
      <c r="O1230" s="93"/>
      <c r="P1230" s="95"/>
      <c r="Q1230" s="196"/>
    </row>
    <row r="1231" spans="3:17" x14ac:dyDescent="0.25">
      <c r="C1231" s="198"/>
      <c r="D1231" s="111"/>
      <c r="E1231" s="33"/>
      <c r="F1231" s="104"/>
      <c r="H1231" s="115"/>
      <c r="I1231" s="26"/>
      <c r="J1231" s="98"/>
      <c r="K1231" s="36"/>
      <c r="L1231" s="26"/>
      <c r="M1231" s="26"/>
      <c r="N1231" s="26"/>
      <c r="O1231" s="93"/>
      <c r="P1231" s="95"/>
      <c r="Q1231" s="196"/>
    </row>
    <row r="1232" spans="3:17" x14ac:dyDescent="0.25">
      <c r="C1232" s="198"/>
      <c r="D1232" s="111"/>
      <c r="E1232" s="33"/>
      <c r="F1232" s="104"/>
      <c r="H1232" s="115"/>
      <c r="I1232" s="26"/>
      <c r="J1232" s="98"/>
      <c r="K1232" s="36"/>
      <c r="L1232" s="26"/>
      <c r="M1232" s="26"/>
      <c r="N1232" s="26"/>
      <c r="O1232" s="93"/>
      <c r="P1232" s="95"/>
      <c r="Q1232" s="196"/>
    </row>
    <row r="1233" spans="3:17" x14ac:dyDescent="0.25">
      <c r="C1233" s="198"/>
      <c r="D1233" s="111"/>
      <c r="E1233" s="33"/>
      <c r="F1233" s="104"/>
      <c r="H1233" s="115"/>
      <c r="I1233" s="26"/>
      <c r="J1233" s="98"/>
      <c r="K1233" s="36"/>
      <c r="L1233" s="26"/>
      <c r="M1233" s="26"/>
      <c r="N1233" s="26"/>
      <c r="O1233" s="93"/>
      <c r="P1233" s="95"/>
      <c r="Q1233" s="196"/>
    </row>
    <row r="1234" spans="3:17" x14ac:dyDescent="0.25">
      <c r="C1234" s="198"/>
      <c r="D1234" s="111"/>
      <c r="E1234" s="33"/>
      <c r="F1234" s="104"/>
      <c r="H1234" s="115"/>
      <c r="I1234" s="26"/>
      <c r="J1234" s="98"/>
      <c r="K1234" s="36"/>
      <c r="L1234" s="26"/>
      <c r="M1234" s="26"/>
      <c r="N1234" s="26"/>
      <c r="O1234" s="93"/>
      <c r="P1234" s="95"/>
      <c r="Q1234" s="196"/>
    </row>
    <row r="1235" spans="3:17" x14ac:dyDescent="0.25">
      <c r="C1235" s="198"/>
      <c r="D1235" s="111"/>
      <c r="E1235" s="33"/>
      <c r="F1235" s="104"/>
      <c r="H1235" s="115"/>
      <c r="I1235" s="26"/>
      <c r="J1235" s="98"/>
      <c r="K1235" s="36"/>
      <c r="L1235" s="26"/>
      <c r="M1235" s="26"/>
      <c r="N1235" s="26"/>
      <c r="O1235" s="93"/>
      <c r="P1235" s="95"/>
      <c r="Q1235" s="196"/>
    </row>
    <row r="1236" spans="3:17" x14ac:dyDescent="0.25">
      <c r="C1236" s="198"/>
      <c r="D1236" s="111"/>
      <c r="E1236" s="33"/>
      <c r="F1236" s="104"/>
      <c r="H1236" s="115"/>
      <c r="I1236" s="26"/>
      <c r="J1236" s="98"/>
      <c r="K1236" s="36"/>
      <c r="L1236" s="26"/>
      <c r="M1236" s="26"/>
      <c r="N1236" s="26"/>
      <c r="O1236" s="93"/>
      <c r="P1236" s="95"/>
      <c r="Q1236" s="196"/>
    </row>
    <row r="1237" spans="3:17" x14ac:dyDescent="0.25">
      <c r="C1237" s="198"/>
      <c r="D1237" s="111"/>
      <c r="E1237" s="33"/>
      <c r="F1237" s="104"/>
      <c r="H1237" s="115"/>
      <c r="I1237" s="26"/>
      <c r="J1237" s="98"/>
      <c r="K1237" s="36"/>
      <c r="L1237" s="26"/>
      <c r="M1237" s="26"/>
      <c r="N1237" s="26"/>
      <c r="O1237" s="93"/>
      <c r="P1237" s="95"/>
      <c r="Q1237" s="196"/>
    </row>
    <row r="1238" spans="3:17" x14ac:dyDescent="0.25">
      <c r="C1238" s="198"/>
      <c r="D1238" s="111"/>
      <c r="E1238" s="33"/>
      <c r="F1238" s="104"/>
      <c r="H1238" s="115"/>
      <c r="I1238" s="26"/>
      <c r="J1238" s="98"/>
      <c r="K1238" s="36"/>
      <c r="L1238" s="26"/>
      <c r="M1238" s="26"/>
      <c r="N1238" s="26"/>
      <c r="O1238" s="93"/>
      <c r="P1238" s="95"/>
      <c r="Q1238" s="196"/>
    </row>
    <row r="1239" spans="3:17" x14ac:dyDescent="0.25">
      <c r="C1239" s="198"/>
      <c r="D1239" s="111"/>
      <c r="E1239" s="33"/>
      <c r="F1239" s="104"/>
      <c r="H1239" s="115"/>
      <c r="I1239" s="26"/>
      <c r="J1239" s="98"/>
      <c r="K1239" s="36"/>
      <c r="L1239" s="26"/>
      <c r="M1239" s="26"/>
      <c r="N1239" s="26"/>
      <c r="O1239" s="93"/>
      <c r="P1239" s="95"/>
      <c r="Q1239" s="196"/>
    </row>
    <row r="1240" spans="3:17" x14ac:dyDescent="0.25">
      <c r="C1240" s="198"/>
      <c r="D1240" s="111"/>
      <c r="E1240" s="33"/>
      <c r="F1240" s="104"/>
      <c r="H1240" s="115"/>
      <c r="I1240" s="26"/>
      <c r="J1240" s="98"/>
      <c r="K1240" s="36"/>
      <c r="L1240" s="26"/>
      <c r="M1240" s="26"/>
      <c r="N1240" s="26"/>
      <c r="O1240" s="93"/>
      <c r="P1240" s="95"/>
      <c r="Q1240" s="196"/>
    </row>
    <row r="1241" spans="3:17" x14ac:dyDescent="0.25">
      <c r="C1241" s="198"/>
      <c r="D1241" s="111"/>
      <c r="E1241" s="33"/>
      <c r="F1241" s="104"/>
      <c r="H1241" s="115"/>
      <c r="I1241" s="26"/>
      <c r="J1241" s="98"/>
      <c r="K1241" s="36"/>
      <c r="L1241" s="26"/>
      <c r="M1241" s="26"/>
      <c r="N1241" s="26"/>
      <c r="O1241" s="93"/>
      <c r="P1241" s="95"/>
      <c r="Q1241" s="196"/>
    </row>
    <row r="1242" spans="3:17" x14ac:dyDescent="0.25">
      <c r="C1242" s="198"/>
      <c r="D1242" s="111"/>
      <c r="E1242" s="33"/>
      <c r="F1242" s="104"/>
      <c r="H1242" s="115"/>
      <c r="I1242" s="26"/>
      <c r="J1242" s="98"/>
      <c r="K1242" s="36"/>
      <c r="L1242" s="26"/>
      <c r="M1242" s="26"/>
      <c r="N1242" s="26"/>
      <c r="O1242" s="93"/>
      <c r="P1242" s="95"/>
      <c r="Q1242" s="196"/>
    </row>
    <row r="1243" spans="3:17" x14ac:dyDescent="0.25">
      <c r="C1243" s="198"/>
      <c r="D1243" s="111"/>
      <c r="E1243" s="33"/>
      <c r="F1243" s="104"/>
      <c r="H1243" s="115"/>
      <c r="I1243" s="26"/>
      <c r="J1243" s="98"/>
      <c r="K1243" s="36"/>
      <c r="L1243" s="26"/>
      <c r="M1243" s="26"/>
      <c r="N1243" s="26"/>
      <c r="O1243" s="93"/>
      <c r="P1243" s="95"/>
      <c r="Q1243" s="196"/>
    </row>
    <row r="1244" spans="3:17" x14ac:dyDescent="0.25">
      <c r="C1244" s="198"/>
      <c r="D1244" s="111"/>
      <c r="E1244" s="33"/>
      <c r="F1244" s="104"/>
      <c r="H1244" s="115"/>
      <c r="I1244" s="26"/>
      <c r="J1244" s="98"/>
      <c r="K1244" s="36"/>
      <c r="L1244" s="26"/>
      <c r="M1244" s="26"/>
      <c r="N1244" s="26"/>
      <c r="O1244" s="93"/>
      <c r="P1244" s="95"/>
      <c r="Q1244" s="196"/>
    </row>
    <row r="1245" spans="3:17" x14ac:dyDescent="0.25">
      <c r="C1245" s="198"/>
      <c r="D1245" s="111"/>
      <c r="E1245" s="33"/>
      <c r="F1245" s="104"/>
      <c r="H1245" s="115"/>
      <c r="I1245" s="26"/>
      <c r="J1245" s="98"/>
      <c r="K1245" s="36"/>
      <c r="L1245" s="26"/>
      <c r="M1245" s="26"/>
      <c r="N1245" s="26"/>
      <c r="O1245" s="93"/>
      <c r="P1245" s="95"/>
      <c r="Q1245" s="196"/>
    </row>
    <row r="1246" spans="3:17" x14ac:dyDescent="0.25">
      <c r="C1246" s="198"/>
      <c r="D1246" s="111"/>
      <c r="E1246" s="33"/>
      <c r="F1246" s="104"/>
      <c r="H1246" s="115"/>
      <c r="I1246" s="26"/>
      <c r="J1246" s="98"/>
      <c r="K1246" s="36"/>
      <c r="L1246" s="26"/>
      <c r="M1246" s="26"/>
      <c r="N1246" s="26"/>
      <c r="O1246" s="93"/>
      <c r="P1246" s="95"/>
      <c r="Q1246" s="196"/>
    </row>
    <row r="1247" spans="3:17" x14ac:dyDescent="0.25">
      <c r="C1247" s="198"/>
      <c r="D1247" s="111"/>
      <c r="E1247" s="33"/>
      <c r="F1247" s="104"/>
      <c r="H1247" s="115"/>
      <c r="I1247" s="26"/>
      <c r="J1247" s="98"/>
      <c r="K1247" s="36"/>
      <c r="L1247" s="26"/>
      <c r="M1247" s="26"/>
      <c r="N1247" s="26"/>
      <c r="O1247" s="93"/>
      <c r="P1247" s="95"/>
      <c r="Q1247" s="196"/>
    </row>
    <row r="1248" spans="3:17" x14ac:dyDescent="0.25">
      <c r="C1248" s="198"/>
      <c r="D1248" s="111"/>
      <c r="E1248" s="33"/>
      <c r="F1248" s="104"/>
      <c r="H1248" s="115"/>
      <c r="I1248" s="26"/>
      <c r="J1248" s="98"/>
      <c r="K1248" s="36"/>
      <c r="L1248" s="26"/>
      <c r="M1248" s="26"/>
      <c r="N1248" s="26"/>
      <c r="O1248" s="93"/>
      <c r="P1248" s="95"/>
      <c r="Q1248" s="196"/>
    </row>
    <row r="1249" spans="3:17" x14ac:dyDescent="0.25">
      <c r="C1249" s="198"/>
      <c r="D1249" s="111"/>
      <c r="E1249" s="33"/>
      <c r="F1249" s="104"/>
      <c r="H1249" s="115"/>
      <c r="I1249" s="26"/>
      <c r="J1249" s="98"/>
      <c r="K1249" s="36"/>
      <c r="L1249" s="26"/>
      <c r="M1249" s="26"/>
      <c r="N1249" s="26"/>
      <c r="O1249" s="93"/>
      <c r="P1249" s="95"/>
      <c r="Q1249" s="196"/>
    </row>
    <row r="1250" spans="3:17" x14ac:dyDescent="0.25">
      <c r="C1250" s="198"/>
      <c r="D1250" s="111"/>
      <c r="E1250" s="33"/>
      <c r="F1250" s="104"/>
      <c r="H1250" s="115"/>
      <c r="I1250" s="26"/>
      <c r="J1250" s="98"/>
      <c r="K1250" s="36"/>
      <c r="L1250" s="26"/>
      <c r="M1250" s="26"/>
      <c r="N1250" s="26"/>
      <c r="O1250" s="93"/>
      <c r="P1250" s="95"/>
      <c r="Q1250" s="196"/>
    </row>
    <row r="1251" spans="3:17" x14ac:dyDescent="0.25">
      <c r="C1251" s="198"/>
      <c r="D1251" s="111"/>
      <c r="E1251" s="33"/>
      <c r="F1251" s="104"/>
      <c r="H1251" s="115"/>
      <c r="I1251" s="26"/>
      <c r="J1251" s="98"/>
      <c r="K1251" s="36"/>
      <c r="L1251" s="26"/>
      <c r="M1251" s="26"/>
      <c r="N1251" s="26"/>
      <c r="O1251" s="93"/>
      <c r="P1251" s="95"/>
      <c r="Q1251" s="196"/>
    </row>
    <row r="1252" spans="3:17" x14ac:dyDescent="0.25">
      <c r="C1252" s="198"/>
      <c r="D1252" s="111"/>
      <c r="E1252" s="33"/>
      <c r="F1252" s="104"/>
      <c r="H1252" s="115"/>
      <c r="I1252" s="26"/>
      <c r="J1252" s="98"/>
      <c r="K1252" s="36"/>
      <c r="L1252" s="26"/>
      <c r="M1252" s="26"/>
      <c r="N1252" s="26"/>
      <c r="O1252" s="93"/>
      <c r="P1252" s="95"/>
      <c r="Q1252" s="196"/>
    </row>
    <row r="1253" spans="3:17" x14ac:dyDescent="0.25">
      <c r="C1253" s="198"/>
      <c r="D1253" s="111"/>
      <c r="E1253" s="33"/>
      <c r="F1253" s="104"/>
      <c r="H1253" s="115"/>
      <c r="I1253" s="26"/>
      <c r="J1253" s="98"/>
      <c r="K1253" s="36"/>
      <c r="L1253" s="26"/>
      <c r="M1253" s="26"/>
      <c r="N1253" s="26"/>
      <c r="O1253" s="93"/>
      <c r="P1253" s="95"/>
      <c r="Q1253" s="196"/>
    </row>
    <row r="1254" spans="3:17" x14ac:dyDescent="0.25">
      <c r="C1254" s="198"/>
      <c r="D1254" s="111"/>
      <c r="E1254" s="33"/>
      <c r="F1254" s="104"/>
      <c r="H1254" s="115"/>
      <c r="I1254" s="26"/>
      <c r="J1254" s="98"/>
      <c r="K1254" s="36"/>
      <c r="L1254" s="26"/>
      <c r="M1254" s="26"/>
      <c r="N1254" s="26"/>
      <c r="O1254" s="93"/>
      <c r="P1254" s="95"/>
      <c r="Q1254" s="196"/>
    </row>
    <row r="1255" spans="3:17" x14ac:dyDescent="0.25">
      <c r="C1255" s="198"/>
      <c r="D1255" s="111"/>
      <c r="E1255" s="33"/>
      <c r="F1255" s="104"/>
      <c r="H1255" s="115"/>
      <c r="I1255" s="26"/>
      <c r="J1255" s="98"/>
      <c r="K1255" s="36"/>
      <c r="L1255" s="26"/>
      <c r="M1255" s="26"/>
      <c r="N1255" s="26"/>
      <c r="O1255" s="93"/>
      <c r="P1255" s="95"/>
      <c r="Q1255" s="196"/>
    </row>
    <row r="1256" spans="3:17" x14ac:dyDescent="0.25">
      <c r="C1256" s="198"/>
      <c r="D1256" s="111"/>
      <c r="E1256" s="33"/>
      <c r="F1256" s="104"/>
      <c r="H1256" s="115"/>
      <c r="I1256" s="26"/>
      <c r="J1256" s="98"/>
      <c r="K1256" s="36"/>
      <c r="L1256" s="26"/>
      <c r="M1256" s="26"/>
      <c r="N1256" s="26"/>
      <c r="O1256" s="93"/>
      <c r="P1256" s="95"/>
      <c r="Q1256" s="196"/>
    </row>
    <row r="1257" spans="3:17" x14ac:dyDescent="0.25">
      <c r="C1257" s="198"/>
      <c r="D1257" s="111"/>
      <c r="E1257" s="33"/>
      <c r="F1257" s="104"/>
      <c r="H1257" s="115"/>
      <c r="I1257" s="26"/>
      <c r="J1257" s="98"/>
      <c r="K1257" s="36"/>
      <c r="L1257" s="26"/>
      <c r="M1257" s="26"/>
      <c r="N1257" s="26"/>
      <c r="O1257" s="93"/>
      <c r="P1257" s="95"/>
      <c r="Q1257" s="196"/>
    </row>
    <row r="1258" spans="3:17" x14ac:dyDescent="0.25">
      <c r="C1258" s="198"/>
      <c r="D1258" s="111"/>
      <c r="E1258" s="33"/>
      <c r="F1258" s="104"/>
      <c r="H1258" s="115"/>
      <c r="I1258" s="26"/>
      <c r="J1258" s="98"/>
      <c r="K1258" s="36"/>
      <c r="L1258" s="26"/>
      <c r="M1258" s="26"/>
      <c r="N1258" s="26"/>
      <c r="O1258" s="93"/>
      <c r="P1258" s="95"/>
      <c r="Q1258" s="196"/>
    </row>
    <row r="1259" spans="3:17" x14ac:dyDescent="0.25">
      <c r="C1259" s="198"/>
      <c r="D1259" s="111"/>
      <c r="E1259" s="33"/>
      <c r="F1259" s="104"/>
      <c r="H1259" s="115"/>
      <c r="I1259" s="26"/>
      <c r="J1259" s="98"/>
      <c r="K1259" s="36"/>
      <c r="L1259" s="26"/>
      <c r="M1259" s="26"/>
      <c r="N1259" s="26"/>
      <c r="O1259" s="93"/>
      <c r="P1259" s="95"/>
      <c r="Q1259" s="196"/>
    </row>
    <row r="1260" spans="3:17" x14ac:dyDescent="0.25">
      <c r="C1260" s="198"/>
      <c r="D1260" s="111"/>
      <c r="E1260" s="33"/>
      <c r="F1260" s="104"/>
      <c r="H1260" s="115"/>
      <c r="I1260" s="26"/>
      <c r="J1260" s="98"/>
      <c r="K1260" s="36"/>
      <c r="L1260" s="26"/>
      <c r="M1260" s="26"/>
      <c r="N1260" s="26"/>
      <c r="O1260" s="93"/>
      <c r="P1260" s="95"/>
      <c r="Q1260" s="196"/>
    </row>
    <row r="1261" spans="3:17" x14ac:dyDescent="0.25">
      <c r="C1261" s="198"/>
      <c r="D1261" s="111"/>
      <c r="E1261" s="33"/>
      <c r="F1261" s="104"/>
      <c r="H1261" s="115"/>
      <c r="I1261" s="26"/>
      <c r="J1261" s="98"/>
      <c r="K1261" s="36"/>
      <c r="L1261" s="26"/>
      <c r="M1261" s="26"/>
      <c r="N1261" s="26"/>
      <c r="O1261" s="93"/>
      <c r="P1261" s="95"/>
      <c r="Q1261" s="196"/>
    </row>
    <row r="1262" spans="3:17" x14ac:dyDescent="0.25">
      <c r="C1262" s="198"/>
      <c r="D1262" s="111"/>
      <c r="E1262" s="33"/>
      <c r="F1262" s="104"/>
      <c r="H1262" s="115"/>
      <c r="I1262" s="26"/>
      <c r="J1262" s="98"/>
      <c r="K1262" s="36"/>
      <c r="L1262" s="26"/>
      <c r="M1262" s="26"/>
      <c r="N1262" s="26"/>
      <c r="O1262" s="93"/>
      <c r="P1262" s="95"/>
      <c r="Q1262" s="196"/>
    </row>
    <row r="1263" spans="3:17" x14ac:dyDescent="0.25">
      <c r="C1263" s="198"/>
      <c r="D1263" s="111"/>
      <c r="E1263" s="33"/>
      <c r="F1263" s="104"/>
      <c r="H1263" s="115"/>
      <c r="I1263" s="26"/>
      <c r="J1263" s="98"/>
      <c r="K1263" s="36"/>
      <c r="L1263" s="26"/>
      <c r="M1263" s="26"/>
      <c r="N1263" s="26"/>
      <c r="O1263" s="93"/>
      <c r="P1263" s="95"/>
      <c r="Q1263" s="196"/>
    </row>
    <row r="1264" spans="3:17" x14ac:dyDescent="0.25">
      <c r="C1264" s="198"/>
      <c r="D1264" s="111"/>
      <c r="E1264" s="33"/>
      <c r="F1264" s="104"/>
      <c r="H1264" s="115"/>
      <c r="I1264" s="26"/>
      <c r="J1264" s="98"/>
      <c r="K1264" s="36"/>
      <c r="L1264" s="26"/>
      <c r="M1264" s="26"/>
      <c r="N1264" s="26"/>
      <c r="O1264" s="93"/>
      <c r="P1264" s="95"/>
      <c r="Q1264" s="196"/>
    </row>
    <row r="1265" spans="3:17" x14ac:dyDescent="0.25">
      <c r="C1265" s="198"/>
      <c r="D1265" s="111"/>
      <c r="E1265" s="33"/>
      <c r="F1265" s="104"/>
      <c r="H1265" s="115"/>
      <c r="I1265" s="26"/>
      <c r="J1265" s="98"/>
      <c r="K1265" s="36"/>
      <c r="L1265" s="26"/>
      <c r="M1265" s="26"/>
      <c r="N1265" s="26"/>
      <c r="O1265" s="93"/>
      <c r="P1265" s="95"/>
      <c r="Q1265" s="196"/>
    </row>
    <row r="1266" spans="3:17" x14ac:dyDescent="0.25">
      <c r="C1266" s="198"/>
      <c r="D1266" s="111"/>
      <c r="E1266" s="33"/>
      <c r="F1266" s="104"/>
      <c r="H1266" s="115"/>
      <c r="I1266" s="26"/>
      <c r="J1266" s="98"/>
      <c r="K1266" s="36"/>
      <c r="L1266" s="26"/>
      <c r="M1266" s="26"/>
      <c r="N1266" s="26"/>
      <c r="O1266" s="93"/>
      <c r="P1266" s="95"/>
      <c r="Q1266" s="196"/>
    </row>
    <row r="1267" spans="3:17" x14ac:dyDescent="0.25">
      <c r="C1267" s="198"/>
      <c r="D1267" s="111"/>
      <c r="E1267" s="33"/>
      <c r="F1267" s="104"/>
      <c r="H1267" s="115"/>
      <c r="I1267" s="26"/>
      <c r="J1267" s="98"/>
      <c r="K1267" s="36"/>
      <c r="L1267" s="26"/>
      <c r="M1267" s="26"/>
      <c r="N1267" s="26"/>
      <c r="O1267" s="93"/>
      <c r="P1267" s="95"/>
      <c r="Q1267" s="196"/>
    </row>
    <row r="1268" spans="3:17" x14ac:dyDescent="0.25">
      <c r="C1268" s="198"/>
      <c r="D1268" s="111"/>
      <c r="E1268" s="33"/>
      <c r="F1268" s="104"/>
      <c r="H1268" s="115"/>
      <c r="I1268" s="26"/>
      <c r="J1268" s="98"/>
      <c r="K1268" s="36"/>
      <c r="L1268" s="26"/>
      <c r="M1268" s="26"/>
      <c r="N1268" s="26"/>
      <c r="O1268" s="93"/>
      <c r="P1268" s="95"/>
      <c r="Q1268" s="196"/>
    </row>
    <row r="1269" spans="3:17" x14ac:dyDescent="0.25">
      <c r="C1269" s="198"/>
      <c r="D1269" s="111"/>
      <c r="E1269" s="33"/>
      <c r="F1269" s="104"/>
      <c r="H1269" s="115"/>
      <c r="I1269" s="26"/>
      <c r="J1269" s="98"/>
      <c r="K1269" s="36"/>
      <c r="L1269" s="26"/>
      <c r="M1269" s="26"/>
      <c r="N1269" s="26"/>
      <c r="O1269" s="93"/>
      <c r="P1269" s="95"/>
      <c r="Q1269" s="196"/>
    </row>
    <row r="1270" spans="3:17" x14ac:dyDescent="0.25">
      <c r="C1270" s="198"/>
      <c r="D1270" s="111"/>
      <c r="E1270" s="33"/>
      <c r="F1270" s="104"/>
      <c r="H1270" s="115"/>
      <c r="I1270" s="26"/>
      <c r="J1270" s="98"/>
      <c r="K1270" s="36"/>
      <c r="L1270" s="26"/>
      <c r="M1270" s="26"/>
      <c r="N1270" s="26"/>
      <c r="O1270" s="93"/>
      <c r="P1270" s="95"/>
      <c r="Q1270" s="196"/>
    </row>
    <row r="1271" spans="3:17" x14ac:dyDescent="0.25">
      <c r="C1271" s="198"/>
      <c r="D1271" s="111"/>
      <c r="E1271" s="33"/>
      <c r="F1271" s="104"/>
      <c r="H1271" s="115"/>
      <c r="I1271" s="26"/>
      <c r="J1271" s="98"/>
      <c r="K1271" s="36"/>
      <c r="L1271" s="26"/>
      <c r="M1271" s="26"/>
      <c r="N1271" s="26"/>
      <c r="O1271" s="93"/>
      <c r="P1271" s="95"/>
      <c r="Q1271" s="196"/>
    </row>
    <row r="1272" spans="3:17" x14ac:dyDescent="0.25">
      <c r="C1272" s="198"/>
      <c r="D1272" s="111"/>
      <c r="E1272" s="33"/>
      <c r="F1272" s="104"/>
      <c r="H1272" s="115"/>
      <c r="I1272" s="26"/>
      <c r="J1272" s="98"/>
      <c r="K1272" s="36"/>
      <c r="L1272" s="26"/>
      <c r="M1272" s="26"/>
      <c r="N1272" s="26"/>
      <c r="O1272" s="93"/>
      <c r="P1272" s="95"/>
      <c r="Q1272" s="196"/>
    </row>
    <row r="1273" spans="3:17" x14ac:dyDescent="0.25">
      <c r="C1273" s="198"/>
      <c r="D1273" s="111"/>
      <c r="E1273" s="33"/>
      <c r="F1273" s="104"/>
      <c r="H1273" s="115"/>
      <c r="I1273" s="26"/>
      <c r="J1273" s="98"/>
      <c r="K1273" s="36"/>
      <c r="L1273" s="26"/>
      <c r="M1273" s="26"/>
      <c r="N1273" s="26"/>
      <c r="O1273" s="93"/>
      <c r="P1273" s="95"/>
      <c r="Q1273" s="196"/>
    </row>
    <row r="1274" spans="3:17" x14ac:dyDescent="0.25">
      <c r="C1274" s="198"/>
      <c r="D1274" s="111"/>
      <c r="E1274" s="33"/>
      <c r="F1274" s="104"/>
      <c r="H1274" s="115"/>
      <c r="I1274" s="26"/>
      <c r="J1274" s="98"/>
      <c r="K1274" s="36"/>
      <c r="L1274" s="26"/>
      <c r="M1274" s="26"/>
      <c r="N1274" s="26"/>
      <c r="O1274" s="93"/>
      <c r="P1274" s="95"/>
      <c r="Q1274" s="196"/>
    </row>
    <row r="1275" spans="3:17" x14ac:dyDescent="0.25">
      <c r="C1275" s="198"/>
      <c r="D1275" s="111"/>
      <c r="E1275" s="33"/>
      <c r="F1275" s="104"/>
      <c r="H1275" s="115"/>
      <c r="I1275" s="26"/>
      <c r="J1275" s="98"/>
      <c r="K1275" s="36"/>
      <c r="L1275" s="26"/>
      <c r="M1275" s="26"/>
      <c r="N1275" s="26"/>
      <c r="O1275" s="93"/>
      <c r="P1275" s="95"/>
      <c r="Q1275" s="196"/>
    </row>
    <row r="1276" spans="3:17" x14ac:dyDescent="0.25">
      <c r="C1276" s="198"/>
      <c r="D1276" s="111"/>
      <c r="E1276" s="33"/>
      <c r="F1276" s="104"/>
      <c r="H1276" s="115"/>
      <c r="I1276" s="26"/>
      <c r="J1276" s="98"/>
      <c r="K1276" s="36"/>
      <c r="L1276" s="26"/>
      <c r="M1276" s="26"/>
      <c r="N1276" s="26"/>
      <c r="O1276" s="93"/>
      <c r="P1276" s="95"/>
      <c r="Q1276" s="196"/>
    </row>
    <row r="1277" spans="3:17" x14ac:dyDescent="0.25">
      <c r="C1277" s="198"/>
      <c r="D1277" s="111"/>
      <c r="E1277" s="33"/>
      <c r="F1277" s="104"/>
      <c r="H1277" s="115"/>
      <c r="I1277" s="26"/>
      <c r="J1277" s="98"/>
      <c r="K1277" s="36"/>
      <c r="L1277" s="26"/>
      <c r="M1277" s="26"/>
      <c r="N1277" s="26"/>
      <c r="O1277" s="93"/>
      <c r="P1277" s="95"/>
      <c r="Q1277" s="196"/>
    </row>
    <row r="1278" spans="3:17" x14ac:dyDescent="0.25">
      <c r="C1278" s="198"/>
      <c r="D1278" s="111"/>
      <c r="E1278" s="33"/>
      <c r="F1278" s="104"/>
      <c r="H1278" s="115"/>
      <c r="I1278" s="26"/>
      <c r="J1278" s="98"/>
      <c r="K1278" s="36"/>
      <c r="L1278" s="26"/>
      <c r="M1278" s="26"/>
      <c r="N1278" s="26"/>
      <c r="O1278" s="93"/>
      <c r="P1278" s="95"/>
      <c r="Q1278" s="196"/>
    </row>
    <row r="1279" spans="3:17" x14ac:dyDescent="0.25">
      <c r="C1279" s="198"/>
      <c r="D1279" s="111"/>
      <c r="E1279" s="33"/>
      <c r="F1279" s="104"/>
      <c r="H1279" s="115"/>
      <c r="I1279" s="26"/>
      <c r="J1279" s="98"/>
      <c r="K1279" s="36"/>
      <c r="L1279" s="26"/>
      <c r="M1279" s="26"/>
      <c r="N1279" s="26"/>
      <c r="O1279" s="93"/>
      <c r="P1279" s="95"/>
      <c r="Q1279" s="196"/>
    </row>
    <row r="1280" spans="3:17" x14ac:dyDescent="0.25">
      <c r="C1280" s="198"/>
      <c r="D1280" s="111"/>
      <c r="E1280" s="33"/>
      <c r="F1280" s="104"/>
      <c r="H1280" s="115"/>
      <c r="I1280" s="26"/>
      <c r="J1280" s="98"/>
      <c r="K1280" s="36"/>
      <c r="L1280" s="26"/>
      <c r="M1280" s="26"/>
      <c r="N1280" s="26"/>
      <c r="O1280" s="93"/>
      <c r="P1280" s="95"/>
      <c r="Q1280" s="196"/>
    </row>
    <row r="1281" spans="3:17" x14ac:dyDescent="0.25">
      <c r="C1281" s="198"/>
      <c r="D1281" s="111"/>
      <c r="E1281" s="33"/>
      <c r="F1281" s="104"/>
      <c r="H1281" s="115"/>
      <c r="I1281" s="26"/>
      <c r="J1281" s="98"/>
      <c r="K1281" s="36"/>
      <c r="L1281" s="26"/>
      <c r="M1281" s="26"/>
      <c r="N1281" s="26"/>
      <c r="O1281" s="93"/>
      <c r="P1281" s="95"/>
      <c r="Q1281" s="196"/>
    </row>
    <row r="1282" spans="3:17" x14ac:dyDescent="0.25">
      <c r="C1282" s="198"/>
      <c r="D1282" s="111"/>
      <c r="E1282" s="33"/>
      <c r="F1282" s="104"/>
      <c r="H1282" s="115"/>
      <c r="I1282" s="26"/>
      <c r="J1282" s="98"/>
      <c r="K1282" s="36"/>
      <c r="L1282" s="26"/>
      <c r="M1282" s="26"/>
      <c r="N1282" s="26"/>
      <c r="O1282" s="93"/>
      <c r="P1282" s="95"/>
      <c r="Q1282" s="196"/>
    </row>
    <row r="1283" spans="3:17" x14ac:dyDescent="0.25">
      <c r="C1283" s="198"/>
      <c r="D1283" s="111"/>
      <c r="E1283" s="33"/>
      <c r="F1283" s="104"/>
      <c r="H1283" s="115"/>
      <c r="I1283" s="26"/>
      <c r="J1283" s="98"/>
      <c r="K1283" s="36"/>
      <c r="L1283" s="26"/>
      <c r="M1283" s="26"/>
      <c r="N1283" s="26"/>
      <c r="O1283" s="93"/>
      <c r="P1283" s="95"/>
      <c r="Q1283" s="196"/>
    </row>
    <row r="1284" spans="3:17" x14ac:dyDescent="0.25">
      <c r="C1284" s="198"/>
      <c r="D1284" s="111"/>
      <c r="E1284" s="33"/>
      <c r="F1284" s="104"/>
      <c r="H1284" s="115"/>
      <c r="I1284" s="26"/>
      <c r="J1284" s="98"/>
      <c r="K1284" s="36"/>
      <c r="L1284" s="26"/>
      <c r="M1284" s="26"/>
      <c r="N1284" s="26"/>
      <c r="O1284" s="93"/>
      <c r="P1284" s="95"/>
      <c r="Q1284" s="196"/>
    </row>
    <row r="1285" spans="3:17" x14ac:dyDescent="0.25">
      <c r="C1285" s="198"/>
      <c r="D1285" s="111"/>
      <c r="E1285" s="33"/>
      <c r="F1285" s="104"/>
      <c r="H1285" s="115"/>
      <c r="I1285" s="26"/>
      <c r="J1285" s="98"/>
      <c r="K1285" s="36"/>
      <c r="L1285" s="26"/>
      <c r="M1285" s="26"/>
      <c r="N1285" s="26"/>
      <c r="O1285" s="93"/>
      <c r="P1285" s="95"/>
      <c r="Q1285" s="196"/>
    </row>
    <row r="1286" spans="3:17" x14ac:dyDescent="0.25">
      <c r="C1286" s="198"/>
      <c r="D1286" s="111"/>
      <c r="E1286" s="33"/>
      <c r="F1286" s="104"/>
      <c r="H1286" s="115"/>
      <c r="I1286" s="26"/>
      <c r="J1286" s="98"/>
      <c r="K1286" s="36"/>
      <c r="L1286" s="26"/>
      <c r="M1286" s="26"/>
      <c r="N1286" s="26"/>
      <c r="O1286" s="93"/>
      <c r="P1286" s="95"/>
      <c r="Q1286" s="196"/>
    </row>
    <row r="1287" spans="3:17" x14ac:dyDescent="0.25">
      <c r="C1287" s="198"/>
      <c r="D1287" s="111"/>
      <c r="E1287" s="33"/>
      <c r="F1287" s="104"/>
      <c r="H1287" s="115"/>
      <c r="I1287" s="26"/>
      <c r="J1287" s="98"/>
      <c r="K1287" s="36"/>
      <c r="L1287" s="26"/>
      <c r="M1287" s="26"/>
      <c r="N1287" s="26"/>
      <c r="O1287" s="93"/>
      <c r="P1287" s="95"/>
      <c r="Q1287" s="196"/>
    </row>
    <row r="1288" spans="3:17" x14ac:dyDescent="0.25">
      <c r="C1288" s="198"/>
      <c r="D1288" s="111"/>
      <c r="E1288" s="33"/>
      <c r="F1288" s="104"/>
      <c r="H1288" s="115"/>
      <c r="I1288" s="26"/>
      <c r="J1288" s="98"/>
      <c r="K1288" s="36"/>
      <c r="L1288" s="26"/>
      <c r="M1288" s="26"/>
      <c r="N1288" s="26"/>
      <c r="O1288" s="93"/>
      <c r="P1288" s="95"/>
      <c r="Q1288" s="196"/>
    </row>
    <row r="1289" spans="3:17" x14ac:dyDescent="0.25">
      <c r="C1289" s="198"/>
      <c r="D1289" s="111"/>
      <c r="E1289" s="33"/>
      <c r="F1289" s="104"/>
      <c r="H1289" s="115"/>
      <c r="I1289" s="26"/>
      <c r="J1289" s="98"/>
      <c r="K1289" s="36"/>
      <c r="L1289" s="26"/>
      <c r="M1289" s="26"/>
      <c r="N1289" s="26"/>
      <c r="O1289" s="93"/>
      <c r="P1289" s="95"/>
      <c r="Q1289" s="196"/>
    </row>
    <row r="1290" spans="3:17" x14ac:dyDescent="0.25">
      <c r="C1290" s="198"/>
      <c r="D1290" s="111"/>
      <c r="E1290" s="33"/>
      <c r="F1290" s="104"/>
      <c r="H1290" s="115"/>
      <c r="I1290" s="26"/>
      <c r="J1290" s="98"/>
      <c r="K1290" s="36"/>
      <c r="L1290" s="26"/>
      <c r="M1290" s="26"/>
      <c r="N1290" s="26"/>
      <c r="O1290" s="93"/>
      <c r="P1290" s="95"/>
      <c r="Q1290" s="196"/>
    </row>
    <row r="1291" spans="3:17" x14ac:dyDescent="0.25">
      <c r="C1291" s="198"/>
      <c r="D1291" s="111"/>
      <c r="E1291" s="33"/>
      <c r="F1291" s="104"/>
      <c r="H1291" s="115"/>
      <c r="I1291" s="26"/>
      <c r="J1291" s="98"/>
      <c r="K1291" s="36"/>
      <c r="L1291" s="26"/>
      <c r="M1291" s="26"/>
      <c r="N1291" s="26"/>
      <c r="O1291" s="93"/>
      <c r="P1291" s="95"/>
      <c r="Q1291" s="196"/>
    </row>
    <row r="1292" spans="3:17" x14ac:dyDescent="0.25">
      <c r="C1292" s="198"/>
      <c r="D1292" s="111"/>
      <c r="E1292" s="33"/>
      <c r="F1292" s="104"/>
      <c r="H1292" s="115"/>
      <c r="I1292" s="26"/>
      <c r="J1292" s="98"/>
      <c r="K1292" s="36"/>
      <c r="L1292" s="26"/>
      <c r="M1292" s="26"/>
      <c r="N1292" s="26"/>
      <c r="O1292" s="93"/>
      <c r="P1292" s="95"/>
      <c r="Q1292" s="196"/>
    </row>
    <row r="1293" spans="3:17" x14ac:dyDescent="0.25">
      <c r="C1293" s="198"/>
      <c r="D1293" s="111"/>
      <c r="E1293" s="33"/>
      <c r="F1293" s="104"/>
      <c r="H1293" s="115"/>
      <c r="I1293" s="26"/>
      <c r="J1293" s="98"/>
      <c r="K1293" s="36"/>
      <c r="L1293" s="26"/>
      <c r="M1293" s="26"/>
      <c r="N1293" s="26"/>
      <c r="O1293" s="93"/>
      <c r="P1293" s="95"/>
      <c r="Q1293" s="196"/>
    </row>
    <row r="1294" spans="3:17" x14ac:dyDescent="0.25">
      <c r="C1294" s="198"/>
      <c r="D1294" s="111"/>
      <c r="E1294" s="33"/>
      <c r="F1294" s="104"/>
      <c r="H1294" s="115"/>
      <c r="I1294" s="26"/>
      <c r="J1294" s="98"/>
      <c r="K1294" s="36"/>
      <c r="L1294" s="26"/>
      <c r="M1294" s="26"/>
      <c r="N1294" s="26"/>
      <c r="O1294" s="93"/>
      <c r="P1294" s="95"/>
      <c r="Q1294" s="196"/>
    </row>
    <row r="1295" spans="3:17" x14ac:dyDescent="0.25">
      <c r="C1295" s="198"/>
      <c r="D1295" s="111"/>
      <c r="E1295" s="33"/>
      <c r="F1295" s="104"/>
      <c r="H1295" s="115"/>
      <c r="I1295" s="26"/>
      <c r="J1295" s="98"/>
      <c r="K1295" s="36"/>
      <c r="L1295" s="26"/>
      <c r="M1295" s="26"/>
      <c r="N1295" s="26"/>
      <c r="O1295" s="93"/>
      <c r="P1295" s="95"/>
      <c r="Q1295" s="196"/>
    </row>
    <row r="1296" spans="3:17" x14ac:dyDescent="0.25">
      <c r="C1296" s="198"/>
      <c r="D1296" s="111"/>
      <c r="E1296" s="33"/>
      <c r="F1296" s="104"/>
      <c r="H1296" s="115"/>
      <c r="I1296" s="26"/>
      <c r="J1296" s="98"/>
      <c r="K1296" s="36"/>
      <c r="L1296" s="26"/>
      <c r="M1296" s="26"/>
      <c r="N1296" s="26"/>
      <c r="O1296" s="93"/>
      <c r="P1296" s="95"/>
      <c r="Q1296" s="196"/>
    </row>
    <row r="1297" spans="3:17" x14ac:dyDescent="0.25">
      <c r="C1297" s="198"/>
      <c r="D1297" s="111"/>
      <c r="E1297" s="33"/>
      <c r="F1297" s="104"/>
      <c r="H1297" s="115"/>
      <c r="I1297" s="26"/>
      <c r="J1297" s="98"/>
      <c r="K1297" s="36"/>
      <c r="L1297" s="26"/>
      <c r="M1297" s="26"/>
      <c r="N1297" s="26"/>
      <c r="O1297" s="93"/>
      <c r="P1297" s="95"/>
      <c r="Q1297" s="196"/>
    </row>
    <row r="1298" spans="3:17" x14ac:dyDescent="0.25">
      <c r="C1298" s="198"/>
      <c r="D1298" s="111"/>
      <c r="E1298" s="33"/>
      <c r="F1298" s="104"/>
      <c r="H1298" s="115"/>
      <c r="I1298" s="26"/>
      <c r="J1298" s="98"/>
      <c r="K1298" s="36"/>
      <c r="L1298" s="26"/>
      <c r="M1298" s="26"/>
      <c r="N1298" s="26"/>
      <c r="O1298" s="93"/>
      <c r="P1298" s="95"/>
      <c r="Q1298" s="196"/>
    </row>
    <row r="1299" spans="3:17" x14ac:dyDescent="0.25">
      <c r="C1299" s="198"/>
      <c r="D1299" s="111"/>
      <c r="E1299" s="33"/>
      <c r="F1299" s="104"/>
      <c r="H1299" s="115"/>
      <c r="I1299" s="26"/>
      <c r="J1299" s="98"/>
      <c r="K1299" s="36"/>
      <c r="L1299" s="26"/>
      <c r="M1299" s="26"/>
      <c r="N1299" s="26"/>
      <c r="O1299" s="93"/>
      <c r="P1299" s="95"/>
      <c r="Q1299" s="196"/>
    </row>
    <row r="1300" spans="3:17" x14ac:dyDescent="0.25">
      <c r="C1300" s="198"/>
      <c r="D1300" s="111"/>
      <c r="E1300" s="33"/>
      <c r="F1300" s="104"/>
      <c r="H1300" s="115"/>
      <c r="I1300" s="26"/>
      <c r="J1300" s="98"/>
      <c r="K1300" s="36"/>
      <c r="L1300" s="26"/>
      <c r="M1300" s="26"/>
      <c r="N1300" s="26"/>
      <c r="O1300" s="93"/>
      <c r="P1300" s="95"/>
      <c r="Q1300" s="196"/>
    </row>
    <row r="1301" spans="3:17" x14ac:dyDescent="0.25">
      <c r="C1301" s="198"/>
      <c r="D1301" s="111"/>
      <c r="E1301" s="33"/>
      <c r="F1301" s="104"/>
      <c r="H1301" s="115"/>
      <c r="I1301" s="26"/>
      <c r="J1301" s="98"/>
      <c r="K1301" s="36"/>
      <c r="L1301" s="26"/>
      <c r="M1301" s="26"/>
      <c r="N1301" s="26"/>
      <c r="O1301" s="93"/>
      <c r="P1301" s="95"/>
      <c r="Q1301" s="196"/>
    </row>
    <row r="1302" spans="3:17" x14ac:dyDescent="0.25">
      <c r="C1302" s="198"/>
      <c r="D1302" s="111"/>
      <c r="E1302" s="33"/>
      <c r="F1302" s="104"/>
      <c r="H1302" s="115"/>
      <c r="I1302" s="26"/>
      <c r="J1302" s="98"/>
      <c r="K1302" s="36"/>
      <c r="L1302" s="26"/>
      <c r="M1302" s="26"/>
      <c r="N1302" s="26"/>
      <c r="O1302" s="93"/>
      <c r="P1302" s="95"/>
      <c r="Q1302" s="196"/>
    </row>
    <row r="1303" spans="3:17" x14ac:dyDescent="0.25">
      <c r="C1303" s="198"/>
      <c r="D1303" s="111"/>
      <c r="E1303" s="33"/>
      <c r="F1303" s="104"/>
      <c r="H1303" s="115"/>
      <c r="I1303" s="26"/>
      <c r="J1303" s="98"/>
      <c r="K1303" s="36"/>
      <c r="L1303" s="26"/>
      <c r="M1303" s="26"/>
      <c r="N1303" s="26"/>
      <c r="O1303" s="93"/>
      <c r="P1303" s="95"/>
      <c r="Q1303" s="196"/>
    </row>
    <row r="1304" spans="3:17" x14ac:dyDescent="0.25">
      <c r="C1304" s="198"/>
      <c r="D1304" s="111"/>
      <c r="E1304" s="33"/>
      <c r="F1304" s="104"/>
      <c r="H1304" s="115"/>
      <c r="I1304" s="26"/>
      <c r="J1304" s="98"/>
      <c r="K1304" s="36"/>
      <c r="L1304" s="26"/>
      <c r="M1304" s="26"/>
      <c r="N1304" s="26"/>
      <c r="O1304" s="93"/>
      <c r="P1304" s="95"/>
      <c r="Q1304" s="196"/>
    </row>
    <row r="1305" spans="3:17" x14ac:dyDescent="0.25">
      <c r="C1305" s="198"/>
      <c r="D1305" s="111"/>
      <c r="E1305" s="33"/>
      <c r="F1305" s="104"/>
      <c r="H1305" s="115"/>
      <c r="I1305" s="26"/>
      <c r="J1305" s="98"/>
      <c r="K1305" s="36"/>
      <c r="L1305" s="26"/>
      <c r="M1305" s="26"/>
      <c r="N1305" s="26"/>
      <c r="O1305" s="93"/>
      <c r="P1305" s="95"/>
      <c r="Q1305" s="196"/>
    </row>
    <row r="1306" spans="3:17" x14ac:dyDescent="0.25">
      <c r="C1306" s="198"/>
      <c r="D1306" s="111"/>
      <c r="E1306" s="33"/>
      <c r="F1306" s="104"/>
      <c r="H1306" s="115"/>
      <c r="I1306" s="26"/>
      <c r="J1306" s="98"/>
      <c r="K1306" s="36"/>
      <c r="L1306" s="26"/>
      <c r="M1306" s="26"/>
      <c r="N1306" s="26"/>
      <c r="O1306" s="93"/>
      <c r="P1306" s="95"/>
      <c r="Q1306" s="196"/>
    </row>
    <row r="1307" spans="3:17" x14ac:dyDescent="0.25">
      <c r="C1307" s="198"/>
      <c r="D1307" s="111"/>
      <c r="E1307" s="33"/>
      <c r="F1307" s="104"/>
      <c r="H1307" s="115"/>
      <c r="I1307" s="26"/>
      <c r="J1307" s="98"/>
      <c r="K1307" s="36"/>
      <c r="L1307" s="26"/>
      <c r="M1307" s="26"/>
      <c r="N1307" s="26"/>
      <c r="O1307" s="93"/>
      <c r="P1307" s="95"/>
      <c r="Q1307" s="196"/>
    </row>
    <row r="1308" spans="3:17" x14ac:dyDescent="0.25">
      <c r="C1308" s="198"/>
      <c r="D1308" s="111"/>
      <c r="E1308" s="33"/>
      <c r="F1308" s="104"/>
      <c r="H1308" s="115"/>
      <c r="I1308" s="26"/>
      <c r="J1308" s="98"/>
      <c r="K1308" s="36"/>
      <c r="L1308" s="26"/>
      <c r="M1308" s="26"/>
      <c r="N1308" s="26"/>
      <c r="O1308" s="93"/>
      <c r="P1308" s="95"/>
      <c r="Q1308" s="196"/>
    </row>
    <row r="1309" spans="3:17" x14ac:dyDescent="0.25">
      <c r="C1309" s="198"/>
      <c r="D1309" s="111"/>
      <c r="E1309" s="33"/>
      <c r="F1309" s="104"/>
      <c r="H1309" s="115"/>
      <c r="I1309" s="26"/>
      <c r="J1309" s="98"/>
      <c r="K1309" s="36"/>
      <c r="L1309" s="26"/>
      <c r="M1309" s="26"/>
      <c r="N1309" s="26"/>
      <c r="O1309" s="93"/>
      <c r="P1309" s="95"/>
      <c r="Q1309" s="196"/>
    </row>
    <row r="1310" spans="3:17" x14ac:dyDescent="0.25">
      <c r="C1310" s="198"/>
      <c r="D1310" s="111"/>
      <c r="E1310" s="33"/>
      <c r="F1310" s="104"/>
      <c r="H1310" s="115"/>
      <c r="I1310" s="26"/>
      <c r="J1310" s="98"/>
      <c r="K1310" s="36"/>
      <c r="L1310" s="26"/>
      <c r="M1310" s="26"/>
      <c r="N1310" s="26"/>
      <c r="O1310" s="93"/>
      <c r="P1310" s="95"/>
      <c r="Q1310" s="196"/>
    </row>
    <row r="1311" spans="3:17" x14ac:dyDescent="0.25">
      <c r="C1311" s="198"/>
      <c r="D1311" s="111"/>
      <c r="E1311" s="33"/>
      <c r="F1311" s="104"/>
      <c r="H1311" s="115"/>
      <c r="I1311" s="26"/>
      <c r="J1311" s="98"/>
      <c r="K1311" s="36"/>
      <c r="L1311" s="26"/>
      <c r="M1311" s="26"/>
      <c r="N1311" s="26"/>
      <c r="O1311" s="93"/>
      <c r="P1311" s="95"/>
      <c r="Q1311" s="196"/>
    </row>
    <row r="1312" spans="3:17" x14ac:dyDescent="0.25">
      <c r="C1312" s="198"/>
      <c r="D1312" s="111"/>
      <c r="E1312" s="33"/>
      <c r="F1312" s="104"/>
      <c r="H1312" s="115"/>
      <c r="I1312" s="26"/>
      <c r="J1312" s="98"/>
      <c r="K1312" s="36"/>
      <c r="L1312" s="26"/>
      <c r="M1312" s="26"/>
      <c r="N1312" s="26"/>
      <c r="O1312" s="93"/>
      <c r="P1312" s="95"/>
      <c r="Q1312" s="196"/>
    </row>
    <row r="1313" spans="3:17" x14ac:dyDescent="0.25">
      <c r="C1313" s="198"/>
      <c r="D1313" s="111"/>
      <c r="E1313" s="33"/>
      <c r="F1313" s="104"/>
      <c r="H1313" s="115"/>
      <c r="I1313" s="26"/>
      <c r="J1313" s="98"/>
      <c r="K1313" s="36"/>
      <c r="L1313" s="26"/>
      <c r="M1313" s="26"/>
      <c r="N1313" s="26"/>
      <c r="O1313" s="93"/>
      <c r="P1313" s="95"/>
      <c r="Q1313" s="196"/>
    </row>
    <row r="1314" spans="3:17" x14ac:dyDescent="0.25">
      <c r="C1314" s="198"/>
      <c r="D1314" s="111"/>
      <c r="E1314" s="33"/>
      <c r="F1314" s="104"/>
      <c r="H1314" s="115"/>
      <c r="I1314" s="26"/>
      <c r="J1314" s="98"/>
      <c r="K1314" s="36"/>
      <c r="L1314" s="26"/>
      <c r="M1314" s="26"/>
      <c r="N1314" s="26"/>
      <c r="O1314" s="93"/>
      <c r="P1314" s="95"/>
      <c r="Q1314" s="196"/>
    </row>
    <row r="1315" spans="3:17" x14ac:dyDescent="0.25">
      <c r="C1315" s="198"/>
      <c r="D1315" s="111"/>
      <c r="E1315" s="33"/>
      <c r="F1315" s="104"/>
      <c r="H1315" s="115"/>
      <c r="I1315" s="26"/>
      <c r="J1315" s="98"/>
      <c r="K1315" s="36"/>
      <c r="L1315" s="26"/>
      <c r="M1315" s="26"/>
      <c r="N1315" s="26"/>
      <c r="O1315" s="93"/>
      <c r="P1315" s="95"/>
      <c r="Q1315" s="196"/>
    </row>
    <row r="1316" spans="3:17" x14ac:dyDescent="0.25">
      <c r="C1316" s="198"/>
      <c r="D1316" s="111"/>
      <c r="E1316" s="33"/>
      <c r="F1316" s="104"/>
      <c r="H1316" s="115"/>
      <c r="I1316" s="26"/>
      <c r="J1316" s="98"/>
      <c r="K1316" s="36"/>
      <c r="L1316" s="26"/>
      <c r="M1316" s="26"/>
      <c r="N1316" s="26"/>
      <c r="O1316" s="93"/>
      <c r="P1316" s="95"/>
      <c r="Q1316" s="196"/>
    </row>
    <row r="1317" spans="3:17" x14ac:dyDescent="0.25">
      <c r="C1317" s="198"/>
      <c r="D1317" s="111"/>
      <c r="E1317" s="33"/>
      <c r="F1317" s="104"/>
      <c r="H1317" s="115"/>
      <c r="I1317" s="26"/>
      <c r="J1317" s="98"/>
      <c r="K1317" s="36"/>
      <c r="L1317" s="26"/>
      <c r="M1317" s="26"/>
      <c r="N1317" s="26"/>
      <c r="O1317" s="93"/>
      <c r="P1317" s="95"/>
      <c r="Q1317" s="196"/>
    </row>
    <row r="1318" spans="3:17" x14ac:dyDescent="0.25">
      <c r="C1318" s="198"/>
      <c r="D1318" s="111"/>
      <c r="E1318" s="33"/>
      <c r="F1318" s="104"/>
      <c r="H1318" s="115"/>
      <c r="I1318" s="26"/>
      <c r="J1318" s="98"/>
      <c r="K1318" s="36"/>
      <c r="L1318" s="26"/>
      <c r="M1318" s="26"/>
      <c r="N1318" s="26"/>
      <c r="O1318" s="93"/>
      <c r="P1318" s="95"/>
      <c r="Q1318" s="196"/>
    </row>
    <row r="1319" spans="3:17" x14ac:dyDescent="0.25">
      <c r="C1319" s="198"/>
      <c r="D1319" s="111"/>
      <c r="E1319" s="33"/>
      <c r="F1319" s="104"/>
      <c r="H1319" s="115"/>
      <c r="I1319" s="26"/>
      <c r="J1319" s="98"/>
      <c r="K1319" s="36"/>
      <c r="L1319" s="26"/>
      <c r="M1319" s="26"/>
      <c r="N1319" s="26"/>
      <c r="O1319" s="93"/>
      <c r="P1319" s="95"/>
      <c r="Q1319" s="196"/>
    </row>
    <row r="1320" spans="3:17" x14ac:dyDescent="0.25">
      <c r="C1320" s="198"/>
      <c r="D1320" s="111"/>
      <c r="E1320" s="33"/>
      <c r="F1320" s="104"/>
      <c r="H1320" s="115"/>
      <c r="I1320" s="26"/>
      <c r="J1320" s="98"/>
      <c r="K1320" s="36"/>
      <c r="L1320" s="26"/>
      <c r="M1320" s="26"/>
      <c r="N1320" s="26"/>
      <c r="O1320" s="93"/>
      <c r="P1320" s="95"/>
      <c r="Q1320" s="196"/>
    </row>
    <row r="1321" spans="3:17" x14ac:dyDescent="0.25">
      <c r="C1321" s="198"/>
      <c r="D1321" s="111"/>
      <c r="E1321" s="33"/>
      <c r="F1321" s="104"/>
      <c r="H1321" s="115"/>
      <c r="I1321" s="26"/>
      <c r="J1321" s="98"/>
      <c r="K1321" s="36"/>
      <c r="L1321" s="26"/>
      <c r="M1321" s="26"/>
      <c r="N1321" s="26"/>
      <c r="O1321" s="93"/>
      <c r="P1321" s="95"/>
      <c r="Q1321" s="196"/>
    </row>
    <row r="1322" spans="3:17" x14ac:dyDescent="0.25">
      <c r="C1322" s="198"/>
      <c r="D1322" s="111"/>
      <c r="E1322" s="33"/>
      <c r="F1322" s="104"/>
      <c r="H1322" s="115"/>
      <c r="I1322" s="26"/>
      <c r="J1322" s="98"/>
      <c r="K1322" s="36"/>
      <c r="L1322" s="26"/>
      <c r="M1322" s="26"/>
      <c r="N1322" s="26"/>
      <c r="O1322" s="93"/>
      <c r="P1322" s="95"/>
      <c r="Q1322" s="196"/>
    </row>
    <row r="1323" spans="3:17" x14ac:dyDescent="0.25">
      <c r="C1323" s="198"/>
      <c r="D1323" s="111"/>
      <c r="E1323" s="33"/>
      <c r="F1323" s="104"/>
      <c r="H1323" s="115"/>
      <c r="I1323" s="26"/>
      <c r="J1323" s="98"/>
      <c r="K1323" s="36"/>
      <c r="L1323" s="26"/>
      <c r="M1323" s="26"/>
      <c r="N1323" s="26"/>
      <c r="O1323" s="93"/>
      <c r="P1323" s="95"/>
      <c r="Q1323" s="196"/>
    </row>
    <row r="1324" spans="3:17" x14ac:dyDescent="0.25">
      <c r="C1324" s="198"/>
      <c r="D1324" s="111"/>
      <c r="E1324" s="33"/>
      <c r="F1324" s="104"/>
      <c r="H1324" s="115"/>
      <c r="I1324" s="26"/>
      <c r="J1324" s="98"/>
      <c r="K1324" s="36"/>
      <c r="L1324" s="26"/>
      <c r="M1324" s="26"/>
      <c r="N1324" s="26"/>
      <c r="O1324" s="93"/>
      <c r="P1324" s="95"/>
      <c r="Q1324" s="196"/>
    </row>
    <row r="1325" spans="3:17" x14ac:dyDescent="0.25">
      <c r="C1325" s="198"/>
      <c r="D1325" s="111"/>
      <c r="E1325" s="33"/>
      <c r="F1325" s="104"/>
      <c r="H1325" s="115"/>
      <c r="I1325" s="26"/>
      <c r="J1325" s="98"/>
      <c r="K1325" s="36"/>
      <c r="L1325" s="26"/>
      <c r="M1325" s="26"/>
      <c r="N1325" s="26"/>
      <c r="O1325" s="93"/>
      <c r="P1325" s="95"/>
      <c r="Q1325" s="196"/>
    </row>
    <row r="1326" spans="3:17" x14ac:dyDescent="0.25">
      <c r="C1326" s="198"/>
      <c r="D1326" s="111"/>
      <c r="E1326" s="33"/>
      <c r="F1326" s="104"/>
      <c r="H1326" s="115"/>
      <c r="I1326" s="26"/>
      <c r="J1326" s="98"/>
      <c r="K1326" s="36"/>
      <c r="L1326" s="26"/>
      <c r="M1326" s="26"/>
      <c r="N1326" s="26"/>
      <c r="O1326" s="93"/>
      <c r="P1326" s="95"/>
      <c r="Q1326" s="196"/>
    </row>
    <row r="1327" spans="3:17" x14ac:dyDescent="0.25">
      <c r="C1327" s="198"/>
      <c r="D1327" s="111"/>
      <c r="E1327" s="33"/>
      <c r="F1327" s="104"/>
      <c r="H1327" s="115"/>
      <c r="I1327" s="26"/>
      <c r="J1327" s="98"/>
      <c r="K1327" s="36"/>
      <c r="L1327" s="26"/>
      <c r="M1327" s="26"/>
      <c r="N1327" s="26"/>
      <c r="O1327" s="93"/>
      <c r="P1327" s="95"/>
      <c r="Q1327" s="196"/>
    </row>
    <row r="1328" spans="3:17" x14ac:dyDescent="0.25">
      <c r="C1328" s="198"/>
      <c r="D1328" s="111"/>
      <c r="E1328" s="33"/>
      <c r="F1328" s="104"/>
      <c r="H1328" s="115"/>
      <c r="I1328" s="26"/>
      <c r="J1328" s="98"/>
      <c r="K1328" s="36"/>
      <c r="L1328" s="26"/>
      <c r="M1328" s="26"/>
      <c r="N1328" s="26"/>
      <c r="O1328" s="93"/>
      <c r="P1328" s="95"/>
      <c r="Q1328" s="196"/>
    </row>
    <row r="1329" spans="3:17" x14ac:dyDescent="0.25">
      <c r="C1329" s="198"/>
      <c r="D1329" s="111"/>
      <c r="E1329" s="33"/>
      <c r="F1329" s="104"/>
      <c r="H1329" s="115"/>
      <c r="I1329" s="26"/>
      <c r="J1329" s="98"/>
      <c r="K1329" s="36"/>
      <c r="L1329" s="26"/>
      <c r="M1329" s="26"/>
      <c r="N1329" s="26"/>
      <c r="O1329" s="93"/>
      <c r="P1329" s="95"/>
      <c r="Q1329" s="196"/>
    </row>
    <row r="1330" spans="3:17" x14ac:dyDescent="0.25">
      <c r="C1330" s="198"/>
      <c r="D1330" s="111"/>
      <c r="E1330" s="33"/>
      <c r="F1330" s="104"/>
      <c r="H1330" s="115"/>
      <c r="I1330" s="26"/>
      <c r="J1330" s="98"/>
      <c r="K1330" s="36"/>
      <c r="L1330" s="26"/>
      <c r="M1330" s="26"/>
      <c r="N1330" s="26"/>
      <c r="O1330" s="93"/>
      <c r="P1330" s="95"/>
      <c r="Q1330" s="196"/>
    </row>
    <row r="1331" spans="3:17" x14ac:dyDescent="0.25">
      <c r="C1331" s="198"/>
      <c r="D1331" s="111"/>
      <c r="E1331" s="33"/>
      <c r="F1331" s="104"/>
      <c r="H1331" s="115"/>
      <c r="I1331" s="26"/>
      <c r="J1331" s="98"/>
      <c r="K1331" s="36"/>
      <c r="L1331" s="26"/>
      <c r="M1331" s="26"/>
      <c r="N1331" s="26"/>
      <c r="O1331" s="93"/>
      <c r="P1331" s="95"/>
      <c r="Q1331" s="196"/>
    </row>
    <row r="1332" spans="3:17" x14ac:dyDescent="0.25">
      <c r="C1332" s="198"/>
      <c r="D1332" s="111"/>
      <c r="E1332" s="33"/>
      <c r="F1332" s="104"/>
      <c r="H1332" s="115"/>
      <c r="I1332" s="26"/>
      <c r="J1332" s="98"/>
      <c r="K1332" s="36"/>
      <c r="L1332" s="26"/>
      <c r="M1332" s="26"/>
      <c r="N1332" s="26"/>
      <c r="O1332" s="93"/>
      <c r="P1332" s="95"/>
      <c r="Q1332" s="196"/>
    </row>
    <row r="1333" spans="3:17" x14ac:dyDescent="0.25">
      <c r="C1333" s="198"/>
      <c r="D1333" s="111"/>
      <c r="E1333" s="33"/>
      <c r="F1333" s="104"/>
      <c r="H1333" s="115"/>
      <c r="I1333" s="26"/>
      <c r="J1333" s="98"/>
      <c r="K1333" s="36"/>
      <c r="L1333" s="26"/>
      <c r="M1333" s="26"/>
      <c r="N1333" s="26"/>
      <c r="O1333" s="93"/>
      <c r="P1333" s="95"/>
      <c r="Q1333" s="196"/>
    </row>
    <row r="1334" spans="3:17" x14ac:dyDescent="0.25">
      <c r="C1334" s="198"/>
      <c r="D1334" s="111"/>
      <c r="E1334" s="33"/>
      <c r="F1334" s="104"/>
      <c r="H1334" s="115"/>
      <c r="I1334" s="26"/>
      <c r="J1334" s="98"/>
      <c r="K1334" s="36"/>
      <c r="L1334" s="26"/>
      <c r="M1334" s="26"/>
      <c r="N1334" s="26"/>
      <c r="O1334" s="93"/>
      <c r="P1334" s="95"/>
      <c r="Q1334" s="196"/>
    </row>
    <row r="1335" spans="3:17" x14ac:dyDescent="0.25">
      <c r="C1335" s="198"/>
      <c r="D1335" s="111"/>
      <c r="E1335" s="33"/>
      <c r="F1335" s="104"/>
      <c r="H1335" s="115"/>
      <c r="I1335" s="26"/>
      <c r="J1335" s="98"/>
      <c r="K1335" s="36"/>
      <c r="L1335" s="26"/>
      <c r="M1335" s="26"/>
      <c r="N1335" s="26"/>
      <c r="O1335" s="93"/>
      <c r="P1335" s="95"/>
      <c r="Q1335" s="196"/>
    </row>
    <row r="1336" spans="3:17" x14ac:dyDescent="0.25">
      <c r="C1336" s="198"/>
      <c r="D1336" s="111"/>
      <c r="E1336" s="33"/>
      <c r="F1336" s="104"/>
      <c r="H1336" s="115"/>
      <c r="I1336" s="26"/>
      <c r="J1336" s="98"/>
      <c r="K1336" s="36"/>
      <c r="L1336" s="26"/>
      <c r="M1336" s="26"/>
      <c r="N1336" s="26"/>
      <c r="O1336" s="93"/>
      <c r="P1336" s="95"/>
      <c r="Q1336" s="196"/>
    </row>
    <row r="1337" spans="3:17" x14ac:dyDescent="0.25">
      <c r="C1337" s="198"/>
      <c r="D1337" s="111"/>
      <c r="E1337" s="33"/>
      <c r="F1337" s="104"/>
      <c r="H1337" s="115"/>
      <c r="I1337" s="26"/>
      <c r="J1337" s="98"/>
      <c r="K1337" s="36"/>
      <c r="L1337" s="26"/>
      <c r="M1337" s="26"/>
      <c r="N1337" s="26"/>
      <c r="O1337" s="93"/>
      <c r="P1337" s="95"/>
      <c r="Q1337" s="196"/>
    </row>
    <row r="1338" spans="3:17" x14ac:dyDescent="0.25">
      <c r="C1338" s="198"/>
      <c r="D1338" s="111"/>
      <c r="E1338" s="33"/>
      <c r="F1338" s="104"/>
      <c r="H1338" s="115"/>
      <c r="I1338" s="26"/>
      <c r="J1338" s="98"/>
      <c r="K1338" s="36"/>
      <c r="L1338" s="26"/>
      <c r="M1338" s="26"/>
      <c r="N1338" s="26"/>
      <c r="O1338" s="93"/>
      <c r="P1338" s="95"/>
      <c r="Q1338" s="196"/>
    </row>
    <row r="1339" spans="3:17" x14ac:dyDescent="0.25">
      <c r="C1339" s="198"/>
      <c r="D1339" s="111"/>
      <c r="E1339" s="33"/>
      <c r="F1339" s="104"/>
      <c r="H1339" s="115"/>
      <c r="I1339" s="26"/>
      <c r="J1339" s="98"/>
      <c r="K1339" s="36"/>
      <c r="L1339" s="26"/>
      <c r="M1339" s="26"/>
      <c r="N1339" s="26"/>
      <c r="O1339" s="93"/>
      <c r="P1339" s="95"/>
      <c r="Q1339" s="196"/>
    </row>
    <row r="1340" spans="3:17" x14ac:dyDescent="0.25">
      <c r="C1340" s="198"/>
      <c r="D1340" s="111"/>
      <c r="E1340" s="33"/>
      <c r="F1340" s="104"/>
      <c r="H1340" s="115"/>
      <c r="I1340" s="26"/>
      <c r="J1340" s="98"/>
      <c r="K1340" s="36"/>
      <c r="L1340" s="26"/>
      <c r="M1340" s="26"/>
      <c r="N1340" s="26"/>
      <c r="O1340" s="93"/>
      <c r="P1340" s="95"/>
      <c r="Q1340" s="196"/>
    </row>
    <row r="1341" spans="3:17" x14ac:dyDescent="0.25">
      <c r="C1341" s="198"/>
      <c r="D1341" s="111"/>
      <c r="E1341" s="33"/>
      <c r="F1341" s="104"/>
      <c r="H1341" s="115"/>
      <c r="I1341" s="26"/>
      <c r="J1341" s="98"/>
      <c r="K1341" s="36"/>
      <c r="L1341" s="26"/>
      <c r="M1341" s="26"/>
      <c r="N1341" s="26"/>
      <c r="O1341" s="93"/>
      <c r="P1341" s="95"/>
      <c r="Q1341" s="196"/>
    </row>
    <row r="1342" spans="3:17" x14ac:dyDescent="0.25">
      <c r="C1342" s="198"/>
      <c r="D1342" s="111"/>
      <c r="E1342" s="33"/>
      <c r="F1342" s="104"/>
      <c r="H1342" s="115"/>
      <c r="I1342" s="26"/>
      <c r="J1342" s="98"/>
      <c r="K1342" s="36"/>
      <c r="L1342" s="26"/>
      <c r="M1342" s="26"/>
      <c r="N1342" s="26"/>
      <c r="O1342" s="93"/>
      <c r="P1342" s="95"/>
      <c r="Q1342" s="196"/>
    </row>
    <row r="1343" spans="3:17" x14ac:dyDescent="0.25">
      <c r="C1343" s="198"/>
      <c r="D1343" s="111"/>
      <c r="E1343" s="33"/>
      <c r="F1343" s="104"/>
      <c r="H1343" s="115"/>
      <c r="I1343" s="26"/>
      <c r="J1343" s="98"/>
      <c r="K1343" s="36"/>
      <c r="L1343" s="26"/>
      <c r="M1343" s="26"/>
      <c r="N1343" s="26"/>
      <c r="O1343" s="93"/>
      <c r="P1343" s="95"/>
      <c r="Q1343" s="196"/>
    </row>
    <row r="1344" spans="3:17" x14ac:dyDescent="0.25">
      <c r="C1344" s="198"/>
      <c r="D1344" s="111"/>
      <c r="E1344" s="33"/>
      <c r="F1344" s="104"/>
      <c r="H1344" s="115"/>
      <c r="I1344" s="26"/>
      <c r="J1344" s="98"/>
      <c r="K1344" s="36"/>
      <c r="L1344" s="26"/>
      <c r="M1344" s="26"/>
      <c r="N1344" s="26"/>
      <c r="O1344" s="93"/>
      <c r="P1344" s="95"/>
      <c r="Q1344" s="196"/>
    </row>
    <row r="1345" spans="3:17" x14ac:dyDescent="0.25">
      <c r="C1345" s="198"/>
      <c r="D1345" s="111"/>
      <c r="E1345" s="33"/>
      <c r="F1345" s="104"/>
      <c r="H1345" s="115"/>
      <c r="I1345" s="26"/>
      <c r="J1345" s="98"/>
      <c r="K1345" s="36"/>
      <c r="L1345" s="26"/>
      <c r="M1345" s="26"/>
      <c r="N1345" s="26"/>
      <c r="O1345" s="93"/>
      <c r="P1345" s="95"/>
      <c r="Q1345" s="196"/>
    </row>
    <row r="1346" spans="3:17" x14ac:dyDescent="0.25">
      <c r="C1346" s="198"/>
      <c r="D1346" s="111"/>
      <c r="E1346" s="33"/>
      <c r="F1346" s="104"/>
      <c r="H1346" s="115"/>
      <c r="I1346" s="26"/>
      <c r="J1346" s="98"/>
      <c r="K1346" s="36"/>
      <c r="L1346" s="26"/>
      <c r="M1346" s="26"/>
      <c r="N1346" s="26"/>
      <c r="O1346" s="93"/>
      <c r="P1346" s="95"/>
      <c r="Q1346" s="196"/>
    </row>
    <row r="1347" spans="3:17" x14ac:dyDescent="0.25">
      <c r="C1347" s="198"/>
      <c r="D1347" s="111"/>
      <c r="E1347" s="33"/>
      <c r="F1347" s="104"/>
      <c r="H1347" s="115"/>
      <c r="I1347" s="26"/>
      <c r="J1347" s="98"/>
      <c r="K1347" s="36"/>
      <c r="L1347" s="26"/>
      <c r="M1347" s="26"/>
      <c r="N1347" s="26"/>
      <c r="O1347" s="93"/>
      <c r="P1347" s="95"/>
      <c r="Q1347" s="196"/>
    </row>
    <row r="1348" spans="3:17" x14ac:dyDescent="0.25">
      <c r="C1348" s="198"/>
      <c r="D1348" s="111"/>
      <c r="E1348" s="33"/>
      <c r="F1348" s="104"/>
      <c r="H1348" s="115"/>
      <c r="I1348" s="26"/>
      <c r="J1348" s="98"/>
      <c r="K1348" s="36"/>
      <c r="L1348" s="26"/>
      <c r="M1348" s="26"/>
      <c r="N1348" s="26"/>
      <c r="O1348" s="93"/>
      <c r="P1348" s="95"/>
      <c r="Q1348" s="196"/>
    </row>
    <row r="1349" spans="3:17" x14ac:dyDescent="0.25">
      <c r="C1349" s="198"/>
      <c r="D1349" s="111"/>
      <c r="E1349" s="33"/>
      <c r="F1349" s="104"/>
      <c r="H1349" s="115"/>
      <c r="I1349" s="26"/>
      <c r="J1349" s="98"/>
      <c r="K1349" s="36"/>
      <c r="L1349" s="26"/>
      <c r="M1349" s="26"/>
      <c r="N1349" s="26"/>
      <c r="O1349" s="93"/>
      <c r="P1349" s="95"/>
      <c r="Q1349" s="196"/>
    </row>
    <row r="1350" spans="3:17" x14ac:dyDescent="0.25">
      <c r="C1350" s="198"/>
      <c r="D1350" s="111"/>
      <c r="E1350" s="33"/>
      <c r="F1350" s="104"/>
      <c r="H1350" s="115"/>
      <c r="I1350" s="26"/>
      <c r="J1350" s="98"/>
      <c r="K1350" s="36"/>
      <c r="L1350" s="26"/>
      <c r="M1350" s="26"/>
      <c r="N1350" s="26"/>
      <c r="O1350" s="93"/>
      <c r="P1350" s="95"/>
      <c r="Q1350" s="196"/>
    </row>
    <row r="1351" spans="3:17" x14ac:dyDescent="0.25">
      <c r="C1351" s="198"/>
      <c r="D1351" s="111"/>
      <c r="E1351" s="33"/>
      <c r="F1351" s="104"/>
      <c r="H1351" s="115"/>
      <c r="I1351" s="26"/>
      <c r="J1351" s="98"/>
      <c r="K1351" s="36"/>
      <c r="L1351" s="26"/>
      <c r="M1351" s="26"/>
      <c r="N1351" s="26"/>
      <c r="O1351" s="93"/>
      <c r="P1351" s="95"/>
      <c r="Q1351" s="196"/>
    </row>
    <row r="1352" spans="3:17" x14ac:dyDescent="0.25">
      <c r="C1352" s="198"/>
      <c r="D1352" s="111"/>
      <c r="E1352" s="33"/>
      <c r="F1352" s="104"/>
      <c r="H1352" s="115"/>
      <c r="I1352" s="26"/>
      <c r="J1352" s="98"/>
      <c r="K1352" s="36"/>
      <c r="L1352" s="26"/>
      <c r="M1352" s="26"/>
      <c r="N1352" s="26"/>
      <c r="O1352" s="93"/>
      <c r="P1352" s="95"/>
      <c r="Q1352" s="196"/>
    </row>
    <row r="1353" spans="3:17" x14ac:dyDescent="0.25">
      <c r="C1353" s="198"/>
      <c r="D1353" s="111"/>
      <c r="E1353" s="33"/>
      <c r="F1353" s="104"/>
      <c r="H1353" s="115"/>
      <c r="I1353" s="26"/>
      <c r="J1353" s="98"/>
      <c r="K1353" s="36"/>
      <c r="L1353" s="26"/>
      <c r="M1353" s="26"/>
      <c r="N1353" s="26"/>
      <c r="O1353" s="93"/>
      <c r="P1353" s="95"/>
      <c r="Q1353" s="196"/>
    </row>
    <row r="1354" spans="3:17" x14ac:dyDescent="0.25">
      <c r="C1354" s="198"/>
      <c r="D1354" s="111"/>
      <c r="E1354" s="33"/>
      <c r="F1354" s="104"/>
      <c r="H1354" s="115"/>
      <c r="I1354" s="26"/>
      <c r="J1354" s="98"/>
      <c r="K1354" s="36"/>
      <c r="L1354" s="26"/>
      <c r="M1354" s="26"/>
      <c r="N1354" s="26"/>
      <c r="O1354" s="93"/>
      <c r="P1354" s="95"/>
      <c r="Q1354" s="196"/>
    </row>
    <row r="1355" spans="3:17" x14ac:dyDescent="0.25">
      <c r="C1355" s="198"/>
      <c r="D1355" s="111"/>
      <c r="E1355" s="33"/>
      <c r="F1355" s="104"/>
      <c r="H1355" s="115"/>
      <c r="I1355" s="26"/>
      <c r="J1355" s="98"/>
      <c r="K1355" s="36"/>
      <c r="L1355" s="26"/>
      <c r="M1355" s="26"/>
      <c r="N1355" s="26"/>
      <c r="O1355" s="93"/>
      <c r="P1355" s="95"/>
      <c r="Q1355" s="196"/>
    </row>
    <row r="1356" spans="3:17" x14ac:dyDescent="0.25">
      <c r="C1356" s="198"/>
      <c r="D1356" s="111"/>
      <c r="E1356" s="33"/>
      <c r="F1356" s="104"/>
      <c r="H1356" s="115"/>
      <c r="I1356" s="26"/>
      <c r="J1356" s="98"/>
      <c r="K1356" s="36"/>
      <c r="L1356" s="26"/>
      <c r="M1356" s="26"/>
      <c r="N1356" s="26"/>
      <c r="O1356" s="93"/>
      <c r="P1356" s="95"/>
      <c r="Q1356" s="196"/>
    </row>
    <row r="1357" spans="3:17" x14ac:dyDescent="0.25">
      <c r="C1357" s="198"/>
      <c r="D1357" s="111"/>
      <c r="E1357" s="33"/>
      <c r="F1357" s="104"/>
      <c r="H1357" s="115"/>
      <c r="I1357" s="26"/>
      <c r="J1357" s="98"/>
      <c r="K1357" s="36"/>
      <c r="L1357" s="26"/>
      <c r="M1357" s="26"/>
      <c r="N1357" s="26"/>
      <c r="O1357" s="93"/>
      <c r="P1357" s="95"/>
      <c r="Q1357" s="196"/>
    </row>
    <row r="1358" spans="3:17" x14ac:dyDescent="0.25">
      <c r="C1358" s="198"/>
      <c r="D1358" s="111"/>
      <c r="E1358" s="33"/>
      <c r="F1358" s="104"/>
      <c r="H1358" s="115"/>
      <c r="I1358" s="26"/>
      <c r="J1358" s="98"/>
      <c r="K1358" s="36"/>
      <c r="L1358" s="26"/>
      <c r="M1358" s="26"/>
      <c r="N1358" s="26"/>
      <c r="O1358" s="93"/>
      <c r="P1358" s="95"/>
      <c r="Q1358" s="196"/>
    </row>
    <row r="1359" spans="3:17" x14ac:dyDescent="0.25">
      <c r="C1359" s="198"/>
      <c r="D1359" s="111"/>
      <c r="E1359" s="33"/>
      <c r="F1359" s="104"/>
      <c r="H1359" s="115"/>
      <c r="I1359" s="26"/>
      <c r="J1359" s="98"/>
      <c r="K1359" s="36"/>
      <c r="L1359" s="26"/>
      <c r="M1359" s="26"/>
      <c r="N1359" s="26"/>
      <c r="O1359" s="93"/>
      <c r="P1359" s="95"/>
      <c r="Q1359" s="196"/>
    </row>
    <row r="1360" spans="3:17" x14ac:dyDescent="0.25">
      <c r="C1360" s="198"/>
      <c r="D1360" s="111"/>
      <c r="E1360" s="33"/>
      <c r="F1360" s="104"/>
      <c r="H1360" s="115"/>
      <c r="I1360" s="26"/>
      <c r="J1360" s="98"/>
      <c r="K1360" s="36"/>
      <c r="L1360" s="26"/>
      <c r="M1360" s="26"/>
      <c r="N1360" s="26"/>
      <c r="O1360" s="93"/>
      <c r="P1360" s="95"/>
      <c r="Q1360" s="196"/>
    </row>
    <row r="1361" spans="3:17" x14ac:dyDescent="0.25">
      <c r="C1361" s="198"/>
      <c r="D1361" s="111"/>
      <c r="E1361" s="33"/>
      <c r="F1361" s="104"/>
      <c r="H1361" s="115"/>
      <c r="I1361" s="26"/>
      <c r="J1361" s="98"/>
      <c r="K1361" s="36"/>
      <c r="L1361" s="26"/>
      <c r="M1361" s="26"/>
      <c r="N1361" s="26"/>
      <c r="O1361" s="93"/>
      <c r="P1361" s="95"/>
      <c r="Q1361" s="196"/>
    </row>
    <row r="1362" spans="3:17" x14ac:dyDescent="0.25">
      <c r="C1362" s="198"/>
      <c r="D1362" s="111"/>
      <c r="E1362" s="33"/>
      <c r="F1362" s="104"/>
      <c r="H1362" s="115"/>
      <c r="I1362" s="26"/>
      <c r="J1362" s="98"/>
      <c r="K1362" s="36"/>
      <c r="L1362" s="26"/>
      <c r="M1362" s="26"/>
      <c r="N1362" s="26"/>
      <c r="O1362" s="93"/>
      <c r="P1362" s="95"/>
      <c r="Q1362" s="196"/>
    </row>
    <row r="1363" spans="3:17" x14ac:dyDescent="0.25">
      <c r="C1363" s="198"/>
      <c r="D1363" s="111"/>
      <c r="E1363" s="33"/>
      <c r="F1363" s="104"/>
      <c r="H1363" s="115"/>
      <c r="I1363" s="26"/>
      <c r="J1363" s="98"/>
      <c r="K1363" s="36"/>
      <c r="L1363" s="26"/>
      <c r="M1363" s="26"/>
      <c r="N1363" s="26"/>
      <c r="O1363" s="93"/>
      <c r="P1363" s="95"/>
      <c r="Q1363" s="196"/>
    </row>
    <row r="1364" spans="3:17" x14ac:dyDescent="0.25">
      <c r="C1364" s="198"/>
      <c r="D1364" s="111"/>
      <c r="E1364" s="33"/>
      <c r="F1364" s="104"/>
      <c r="H1364" s="115"/>
      <c r="I1364" s="26"/>
      <c r="J1364" s="98"/>
      <c r="K1364" s="36"/>
      <c r="L1364" s="26"/>
      <c r="M1364" s="26"/>
      <c r="N1364" s="26"/>
      <c r="O1364" s="93"/>
      <c r="P1364" s="95"/>
      <c r="Q1364" s="196"/>
    </row>
    <row r="1365" spans="3:17" x14ac:dyDescent="0.25">
      <c r="C1365" s="198"/>
      <c r="D1365" s="111"/>
      <c r="E1365" s="33"/>
      <c r="F1365" s="104"/>
      <c r="H1365" s="115"/>
      <c r="I1365" s="26"/>
      <c r="J1365" s="98"/>
      <c r="K1365" s="36"/>
      <c r="L1365" s="26"/>
      <c r="M1365" s="26"/>
      <c r="N1365" s="26"/>
      <c r="O1365" s="93"/>
      <c r="P1365" s="95"/>
      <c r="Q1365" s="196"/>
    </row>
    <row r="1366" spans="3:17" x14ac:dyDescent="0.25">
      <c r="C1366" s="198"/>
      <c r="D1366" s="111"/>
      <c r="E1366" s="33"/>
      <c r="F1366" s="104"/>
      <c r="H1366" s="115"/>
      <c r="I1366" s="26"/>
      <c r="J1366" s="98"/>
      <c r="K1366" s="36"/>
      <c r="L1366" s="26"/>
      <c r="M1366" s="26"/>
      <c r="N1366" s="26"/>
      <c r="O1366" s="93"/>
      <c r="P1366" s="95"/>
      <c r="Q1366" s="196"/>
    </row>
    <row r="1367" spans="3:17" x14ac:dyDescent="0.25">
      <c r="C1367" s="198"/>
      <c r="D1367" s="111"/>
      <c r="E1367" s="33"/>
      <c r="F1367" s="104"/>
      <c r="H1367" s="115"/>
      <c r="I1367" s="26"/>
      <c r="J1367" s="98"/>
      <c r="K1367" s="36"/>
      <c r="L1367" s="26"/>
      <c r="M1367" s="26"/>
      <c r="N1367" s="26"/>
      <c r="O1367" s="93"/>
      <c r="P1367" s="95"/>
      <c r="Q1367" s="196"/>
    </row>
    <row r="1368" spans="3:17" x14ac:dyDescent="0.25">
      <c r="C1368" s="198"/>
      <c r="D1368" s="111"/>
      <c r="E1368" s="33"/>
      <c r="F1368" s="104"/>
      <c r="H1368" s="115"/>
      <c r="I1368" s="26"/>
      <c r="J1368" s="98"/>
      <c r="K1368" s="36"/>
      <c r="L1368" s="26"/>
      <c r="M1368" s="26"/>
      <c r="N1368" s="26"/>
      <c r="O1368" s="93"/>
      <c r="P1368" s="95"/>
      <c r="Q1368" s="196"/>
    </row>
    <row r="1369" spans="3:17" x14ac:dyDescent="0.25">
      <c r="C1369" s="198"/>
      <c r="D1369" s="111"/>
      <c r="E1369" s="33"/>
      <c r="F1369" s="104"/>
      <c r="H1369" s="115"/>
      <c r="I1369" s="26"/>
      <c r="J1369" s="98"/>
      <c r="K1369" s="36"/>
      <c r="L1369" s="26"/>
      <c r="M1369" s="26"/>
      <c r="N1369" s="26"/>
      <c r="O1369" s="93"/>
      <c r="P1369" s="95"/>
      <c r="Q1369" s="196"/>
    </row>
    <row r="1370" spans="3:17" x14ac:dyDescent="0.25">
      <c r="C1370" s="198"/>
      <c r="D1370" s="111"/>
      <c r="E1370" s="33"/>
      <c r="F1370" s="104"/>
      <c r="H1370" s="115"/>
      <c r="I1370" s="26"/>
      <c r="J1370" s="98"/>
      <c r="K1370" s="36"/>
      <c r="L1370" s="26"/>
      <c r="M1370" s="26"/>
      <c r="N1370" s="26"/>
      <c r="O1370" s="93"/>
      <c r="P1370" s="95"/>
      <c r="Q1370" s="196"/>
    </row>
    <row r="1371" spans="3:17" x14ac:dyDescent="0.25">
      <c r="C1371" s="198"/>
      <c r="D1371" s="111"/>
      <c r="E1371" s="33"/>
      <c r="F1371" s="104"/>
      <c r="H1371" s="115"/>
      <c r="I1371" s="26"/>
      <c r="J1371" s="98"/>
      <c r="K1371" s="36"/>
      <c r="L1371" s="26"/>
      <c r="M1371" s="26"/>
      <c r="N1371" s="26"/>
      <c r="O1371" s="93"/>
      <c r="P1371" s="95"/>
      <c r="Q1371" s="196"/>
    </row>
    <row r="1372" spans="3:17" x14ac:dyDescent="0.25">
      <c r="C1372" s="198"/>
      <c r="D1372" s="111"/>
      <c r="E1372" s="33"/>
      <c r="F1372" s="104"/>
      <c r="H1372" s="115"/>
      <c r="I1372" s="26"/>
      <c r="J1372" s="98"/>
      <c r="K1372" s="36"/>
      <c r="L1372" s="26"/>
      <c r="M1372" s="26"/>
      <c r="N1372" s="26"/>
      <c r="O1372" s="93"/>
      <c r="P1372" s="95"/>
      <c r="Q1372" s="196"/>
    </row>
    <row r="1373" spans="3:17" x14ac:dyDescent="0.25">
      <c r="C1373" s="198"/>
      <c r="D1373" s="111"/>
      <c r="E1373" s="33"/>
      <c r="F1373" s="104"/>
      <c r="H1373" s="115"/>
      <c r="I1373" s="26"/>
      <c r="J1373" s="98"/>
      <c r="K1373" s="36"/>
      <c r="L1373" s="26"/>
      <c r="M1373" s="26"/>
      <c r="N1373" s="26"/>
      <c r="O1373" s="93"/>
      <c r="P1373" s="95"/>
      <c r="Q1373" s="196"/>
    </row>
    <row r="1374" spans="3:17" x14ac:dyDescent="0.25">
      <c r="C1374" s="198"/>
      <c r="D1374" s="111"/>
      <c r="E1374" s="33"/>
      <c r="F1374" s="104"/>
      <c r="H1374" s="115"/>
      <c r="I1374" s="26"/>
      <c r="J1374" s="98"/>
      <c r="K1374" s="36"/>
      <c r="L1374" s="26"/>
      <c r="M1374" s="26"/>
      <c r="N1374" s="26"/>
      <c r="O1374" s="93"/>
      <c r="P1374" s="95"/>
      <c r="Q1374" s="196"/>
    </row>
    <row r="1375" spans="3:17" x14ac:dyDescent="0.25">
      <c r="C1375" s="198"/>
      <c r="D1375" s="111"/>
      <c r="E1375" s="33"/>
      <c r="F1375" s="104"/>
      <c r="H1375" s="115"/>
      <c r="I1375" s="26"/>
      <c r="J1375" s="98"/>
      <c r="K1375" s="36"/>
      <c r="L1375" s="26"/>
      <c r="M1375" s="26"/>
      <c r="N1375" s="26"/>
      <c r="O1375" s="93"/>
      <c r="P1375" s="95"/>
      <c r="Q1375" s="196"/>
    </row>
    <row r="1376" spans="3:17" x14ac:dyDescent="0.25">
      <c r="C1376" s="198"/>
      <c r="D1376" s="111"/>
      <c r="E1376" s="33"/>
      <c r="F1376" s="104"/>
      <c r="H1376" s="115"/>
      <c r="I1376" s="26"/>
      <c r="J1376" s="98"/>
      <c r="K1376" s="36"/>
      <c r="L1376" s="26"/>
      <c r="M1376" s="26"/>
      <c r="N1376" s="26"/>
      <c r="O1376" s="93"/>
      <c r="P1376" s="95"/>
      <c r="Q1376" s="196"/>
    </row>
    <row r="1377" spans="3:17" x14ac:dyDescent="0.25">
      <c r="C1377" s="198"/>
      <c r="D1377" s="111"/>
      <c r="E1377" s="33"/>
      <c r="F1377" s="104"/>
      <c r="H1377" s="115"/>
      <c r="I1377" s="26"/>
      <c r="J1377" s="98"/>
      <c r="K1377" s="36"/>
      <c r="L1377" s="26"/>
      <c r="M1377" s="26"/>
      <c r="N1377" s="26"/>
      <c r="O1377" s="93"/>
      <c r="P1377" s="95"/>
      <c r="Q1377" s="196"/>
    </row>
    <row r="1378" spans="3:17" x14ac:dyDescent="0.25">
      <c r="C1378" s="198"/>
      <c r="D1378" s="111"/>
      <c r="E1378" s="33"/>
      <c r="F1378" s="104"/>
      <c r="H1378" s="115"/>
      <c r="I1378" s="26"/>
      <c r="J1378" s="98"/>
      <c r="K1378" s="36"/>
      <c r="L1378" s="26"/>
      <c r="M1378" s="26"/>
      <c r="N1378" s="26"/>
      <c r="O1378" s="93"/>
      <c r="P1378" s="95"/>
      <c r="Q1378" s="196"/>
    </row>
    <row r="1379" spans="3:17" x14ac:dyDescent="0.25">
      <c r="C1379" s="198"/>
      <c r="D1379" s="111"/>
      <c r="E1379" s="33"/>
      <c r="F1379" s="104"/>
      <c r="H1379" s="115"/>
      <c r="I1379" s="26"/>
      <c r="J1379" s="98"/>
      <c r="K1379" s="36"/>
      <c r="L1379" s="26"/>
      <c r="M1379" s="26"/>
      <c r="N1379" s="26"/>
      <c r="O1379" s="93"/>
      <c r="P1379" s="95"/>
      <c r="Q1379" s="196"/>
    </row>
    <row r="1380" spans="3:17" x14ac:dyDescent="0.25">
      <c r="C1380" s="198"/>
      <c r="D1380" s="111"/>
      <c r="E1380" s="33"/>
      <c r="F1380" s="104"/>
      <c r="H1380" s="115"/>
      <c r="I1380" s="26"/>
      <c r="J1380" s="98"/>
      <c r="K1380" s="36"/>
      <c r="L1380" s="26"/>
      <c r="M1380" s="26"/>
      <c r="N1380" s="26"/>
      <c r="O1380" s="93"/>
      <c r="P1380" s="95"/>
      <c r="Q1380" s="196"/>
    </row>
    <row r="1381" spans="3:17" x14ac:dyDescent="0.25">
      <c r="C1381" s="198"/>
      <c r="D1381" s="111"/>
      <c r="E1381" s="33"/>
      <c r="F1381" s="104"/>
      <c r="H1381" s="115"/>
      <c r="I1381" s="26"/>
      <c r="J1381" s="98"/>
      <c r="K1381" s="36"/>
      <c r="L1381" s="26"/>
      <c r="M1381" s="26"/>
      <c r="N1381" s="26"/>
      <c r="O1381" s="93"/>
      <c r="P1381" s="95"/>
      <c r="Q1381" s="196"/>
    </row>
    <row r="1382" spans="3:17" x14ac:dyDescent="0.25">
      <c r="C1382" s="198"/>
      <c r="D1382" s="111"/>
      <c r="E1382" s="33"/>
      <c r="F1382" s="104"/>
      <c r="H1382" s="115"/>
      <c r="I1382" s="26"/>
      <c r="J1382" s="98"/>
      <c r="K1382" s="36"/>
      <c r="L1382" s="26"/>
      <c r="M1382" s="26"/>
      <c r="N1382" s="26"/>
      <c r="O1382" s="93"/>
      <c r="P1382" s="95"/>
      <c r="Q1382" s="196"/>
    </row>
    <row r="1383" spans="3:17" x14ac:dyDescent="0.25">
      <c r="C1383" s="198"/>
      <c r="D1383" s="111"/>
      <c r="E1383" s="33"/>
      <c r="F1383" s="104"/>
      <c r="H1383" s="115"/>
      <c r="I1383" s="26"/>
      <c r="J1383" s="98"/>
      <c r="K1383" s="36"/>
      <c r="L1383" s="26"/>
      <c r="M1383" s="26"/>
      <c r="N1383" s="26"/>
      <c r="O1383" s="93"/>
      <c r="P1383" s="95"/>
      <c r="Q1383" s="196"/>
    </row>
    <row r="1384" spans="3:17" x14ac:dyDescent="0.25">
      <c r="C1384" s="198"/>
      <c r="D1384" s="111"/>
      <c r="E1384" s="33"/>
      <c r="F1384" s="104"/>
      <c r="H1384" s="115"/>
      <c r="I1384" s="26"/>
      <c r="J1384" s="98"/>
      <c r="K1384" s="36"/>
      <c r="L1384" s="26"/>
      <c r="M1384" s="26"/>
      <c r="N1384" s="26"/>
      <c r="O1384" s="93"/>
      <c r="P1384" s="95"/>
      <c r="Q1384" s="196"/>
    </row>
    <row r="1385" spans="3:17" x14ac:dyDescent="0.25">
      <c r="C1385" s="198"/>
      <c r="D1385" s="111"/>
      <c r="E1385" s="33"/>
      <c r="F1385" s="104"/>
      <c r="H1385" s="115"/>
      <c r="I1385" s="26"/>
      <c r="J1385" s="98"/>
      <c r="K1385" s="36"/>
      <c r="L1385" s="26"/>
      <c r="M1385" s="26"/>
      <c r="N1385" s="26"/>
      <c r="O1385" s="93"/>
      <c r="P1385" s="95"/>
      <c r="Q1385" s="196"/>
    </row>
    <row r="1386" spans="3:17" x14ac:dyDescent="0.25">
      <c r="C1386" s="198"/>
      <c r="D1386" s="111"/>
      <c r="E1386" s="33"/>
      <c r="F1386" s="104"/>
      <c r="H1386" s="115"/>
      <c r="I1386" s="26"/>
      <c r="J1386" s="98"/>
      <c r="K1386" s="36"/>
      <c r="L1386" s="26"/>
      <c r="M1386" s="26"/>
      <c r="N1386" s="26"/>
      <c r="O1386" s="93"/>
      <c r="P1386" s="95"/>
      <c r="Q1386" s="196"/>
    </row>
    <row r="1387" spans="3:17" x14ac:dyDescent="0.25">
      <c r="C1387" s="198"/>
      <c r="D1387" s="111"/>
      <c r="E1387" s="33"/>
      <c r="F1387" s="104"/>
      <c r="H1387" s="115"/>
      <c r="I1387" s="26"/>
      <c r="J1387" s="98"/>
      <c r="K1387" s="36"/>
      <c r="L1387" s="26"/>
      <c r="M1387" s="26"/>
      <c r="N1387" s="26"/>
      <c r="O1387" s="93"/>
      <c r="P1387" s="95"/>
      <c r="Q1387" s="196"/>
    </row>
    <row r="1388" spans="3:17" x14ac:dyDescent="0.25">
      <c r="C1388" s="198"/>
      <c r="D1388" s="111"/>
      <c r="E1388" s="33"/>
      <c r="F1388" s="104"/>
      <c r="H1388" s="115"/>
      <c r="I1388" s="26"/>
      <c r="J1388" s="98"/>
      <c r="K1388" s="36"/>
      <c r="L1388" s="26"/>
      <c r="M1388" s="26"/>
      <c r="N1388" s="26"/>
      <c r="O1388" s="93"/>
      <c r="P1388" s="95"/>
      <c r="Q1388" s="196"/>
    </row>
    <row r="1389" spans="3:17" x14ac:dyDescent="0.25">
      <c r="C1389" s="198"/>
      <c r="D1389" s="111"/>
      <c r="E1389" s="33"/>
      <c r="F1389" s="104"/>
      <c r="H1389" s="115"/>
      <c r="I1389" s="26"/>
      <c r="J1389" s="98"/>
      <c r="K1389" s="36"/>
      <c r="L1389" s="26"/>
      <c r="M1389" s="26"/>
      <c r="N1389" s="26"/>
      <c r="O1389" s="93"/>
      <c r="P1389" s="95"/>
      <c r="Q1389" s="196"/>
    </row>
    <row r="1390" spans="3:17" x14ac:dyDescent="0.25">
      <c r="C1390" s="198"/>
      <c r="D1390" s="111"/>
      <c r="E1390" s="33"/>
      <c r="F1390" s="104"/>
      <c r="H1390" s="115"/>
      <c r="I1390" s="26"/>
      <c r="J1390" s="98"/>
      <c r="K1390" s="36"/>
      <c r="L1390" s="26"/>
      <c r="M1390" s="26"/>
      <c r="N1390" s="26"/>
      <c r="O1390" s="93"/>
      <c r="P1390" s="95"/>
      <c r="Q1390" s="196"/>
    </row>
    <row r="1391" spans="3:17" x14ac:dyDescent="0.25">
      <c r="C1391" s="198"/>
      <c r="D1391" s="111"/>
      <c r="E1391" s="33"/>
      <c r="F1391" s="104"/>
      <c r="H1391" s="115"/>
      <c r="I1391" s="26"/>
      <c r="J1391" s="98"/>
      <c r="K1391" s="36"/>
      <c r="L1391" s="26"/>
      <c r="M1391" s="26"/>
      <c r="N1391" s="26"/>
      <c r="O1391" s="93"/>
      <c r="P1391" s="95"/>
      <c r="Q1391" s="196"/>
    </row>
    <row r="1392" spans="3:17" x14ac:dyDescent="0.25">
      <c r="C1392" s="198"/>
      <c r="D1392" s="111"/>
      <c r="E1392" s="33"/>
      <c r="F1392" s="104"/>
      <c r="H1392" s="115"/>
      <c r="I1392" s="26"/>
      <c r="J1392" s="98"/>
      <c r="K1392" s="36"/>
      <c r="L1392" s="26"/>
      <c r="M1392" s="26"/>
      <c r="N1392" s="26"/>
      <c r="O1392" s="93"/>
      <c r="P1392" s="95"/>
      <c r="Q1392" s="196"/>
    </row>
    <row r="1393" spans="3:17" x14ac:dyDescent="0.25">
      <c r="C1393" s="198"/>
      <c r="D1393" s="111"/>
      <c r="E1393" s="33"/>
      <c r="F1393" s="104"/>
      <c r="H1393" s="115"/>
      <c r="I1393" s="26"/>
      <c r="J1393" s="98"/>
      <c r="K1393" s="36"/>
      <c r="L1393" s="26"/>
      <c r="M1393" s="26"/>
      <c r="N1393" s="26"/>
      <c r="O1393" s="93"/>
      <c r="P1393" s="95"/>
      <c r="Q1393" s="196"/>
    </row>
    <row r="1394" spans="3:17" x14ac:dyDescent="0.25">
      <c r="C1394" s="198"/>
      <c r="D1394" s="111"/>
      <c r="E1394" s="33"/>
      <c r="F1394" s="104"/>
      <c r="H1394" s="115"/>
      <c r="I1394" s="26"/>
      <c r="J1394" s="98"/>
      <c r="K1394" s="36"/>
      <c r="L1394" s="26"/>
      <c r="M1394" s="26"/>
      <c r="N1394" s="26"/>
      <c r="O1394" s="93"/>
      <c r="P1394" s="95"/>
      <c r="Q1394" s="196"/>
    </row>
    <row r="1395" spans="3:17" x14ac:dyDescent="0.25">
      <c r="C1395" s="198"/>
      <c r="D1395" s="111"/>
      <c r="E1395" s="33"/>
      <c r="F1395" s="104"/>
      <c r="H1395" s="115"/>
      <c r="I1395" s="26"/>
      <c r="J1395" s="98"/>
      <c r="K1395" s="36"/>
      <c r="L1395" s="26"/>
      <c r="M1395" s="26"/>
      <c r="N1395" s="26"/>
      <c r="O1395" s="93"/>
      <c r="P1395" s="95"/>
      <c r="Q1395" s="196"/>
    </row>
    <row r="1396" spans="3:17" x14ac:dyDescent="0.25">
      <c r="C1396" s="198"/>
      <c r="D1396" s="111"/>
      <c r="E1396" s="33"/>
      <c r="F1396" s="104"/>
      <c r="H1396" s="115"/>
      <c r="I1396" s="26"/>
      <c r="J1396" s="98"/>
      <c r="K1396" s="36"/>
      <c r="L1396" s="26"/>
      <c r="M1396" s="26"/>
      <c r="N1396" s="26"/>
      <c r="O1396" s="93"/>
      <c r="P1396" s="95"/>
      <c r="Q1396" s="196"/>
    </row>
    <row r="1397" spans="3:17" x14ac:dyDescent="0.25">
      <c r="C1397" s="198"/>
      <c r="D1397" s="111"/>
      <c r="E1397" s="33"/>
      <c r="F1397" s="104"/>
      <c r="H1397" s="115"/>
      <c r="I1397" s="26"/>
      <c r="J1397" s="98"/>
      <c r="K1397" s="36"/>
      <c r="L1397" s="26"/>
      <c r="M1397" s="26"/>
      <c r="N1397" s="26"/>
      <c r="O1397" s="93"/>
      <c r="P1397" s="95"/>
      <c r="Q1397" s="196"/>
    </row>
    <row r="1398" spans="3:17" x14ac:dyDescent="0.25">
      <c r="C1398" s="198"/>
      <c r="D1398" s="111"/>
      <c r="E1398" s="33"/>
      <c r="F1398" s="104"/>
      <c r="H1398" s="115"/>
      <c r="I1398" s="26"/>
      <c r="J1398" s="98"/>
      <c r="K1398" s="36"/>
      <c r="L1398" s="26"/>
      <c r="M1398" s="26"/>
      <c r="N1398" s="26"/>
      <c r="O1398" s="93"/>
      <c r="P1398" s="95"/>
      <c r="Q1398" s="196"/>
    </row>
    <row r="1399" spans="3:17" x14ac:dyDescent="0.25">
      <c r="C1399" s="198"/>
      <c r="D1399" s="111"/>
      <c r="E1399" s="33"/>
      <c r="F1399" s="104"/>
      <c r="H1399" s="115"/>
      <c r="I1399" s="26"/>
      <c r="J1399" s="98"/>
      <c r="K1399" s="36"/>
      <c r="L1399" s="26"/>
      <c r="M1399" s="26"/>
      <c r="N1399" s="26"/>
      <c r="O1399" s="93"/>
      <c r="P1399" s="95"/>
      <c r="Q1399" s="196"/>
    </row>
    <row r="1400" spans="3:17" x14ac:dyDescent="0.25">
      <c r="C1400" s="198"/>
      <c r="D1400" s="111"/>
      <c r="E1400" s="33"/>
      <c r="F1400" s="104"/>
      <c r="H1400" s="115"/>
      <c r="I1400" s="26"/>
      <c r="J1400" s="98"/>
      <c r="K1400" s="36"/>
      <c r="L1400" s="26"/>
      <c r="M1400" s="26"/>
      <c r="N1400" s="26"/>
      <c r="O1400" s="93"/>
      <c r="P1400" s="95"/>
      <c r="Q1400" s="196"/>
    </row>
    <row r="1401" spans="3:17" x14ac:dyDescent="0.25">
      <c r="C1401" s="198"/>
      <c r="D1401" s="111"/>
      <c r="E1401" s="33"/>
      <c r="F1401" s="104"/>
      <c r="H1401" s="115"/>
      <c r="I1401" s="26"/>
      <c r="J1401" s="98"/>
      <c r="K1401" s="36"/>
      <c r="L1401" s="26"/>
      <c r="M1401" s="26"/>
      <c r="N1401" s="26"/>
      <c r="O1401" s="93"/>
      <c r="P1401" s="95"/>
      <c r="Q1401" s="196"/>
    </row>
    <row r="1402" spans="3:17" x14ac:dyDescent="0.25">
      <c r="C1402" s="198"/>
      <c r="D1402" s="111"/>
      <c r="E1402" s="33"/>
      <c r="F1402" s="104"/>
      <c r="H1402" s="115"/>
      <c r="I1402" s="26"/>
      <c r="J1402" s="98"/>
      <c r="K1402" s="36"/>
      <c r="L1402" s="26"/>
      <c r="M1402" s="26"/>
      <c r="N1402" s="26"/>
      <c r="O1402" s="93"/>
      <c r="P1402" s="95"/>
      <c r="Q1402" s="196"/>
    </row>
    <row r="1403" spans="3:17" x14ac:dyDescent="0.25">
      <c r="C1403" s="198"/>
      <c r="D1403" s="111"/>
      <c r="E1403" s="33"/>
      <c r="F1403" s="104"/>
      <c r="H1403" s="115"/>
      <c r="I1403" s="26"/>
      <c r="J1403" s="98"/>
      <c r="K1403" s="36"/>
      <c r="L1403" s="26"/>
      <c r="M1403" s="26"/>
      <c r="N1403" s="26"/>
      <c r="O1403" s="93"/>
      <c r="P1403" s="95"/>
      <c r="Q1403" s="196"/>
    </row>
    <row r="1404" spans="3:17" x14ac:dyDescent="0.25">
      <c r="C1404" s="198"/>
      <c r="D1404" s="111"/>
      <c r="E1404" s="33"/>
      <c r="F1404" s="104"/>
      <c r="H1404" s="115"/>
      <c r="I1404" s="26"/>
      <c r="J1404" s="98"/>
      <c r="K1404" s="36"/>
      <c r="L1404" s="26"/>
      <c r="M1404" s="26"/>
      <c r="N1404" s="26"/>
      <c r="O1404" s="93"/>
      <c r="P1404" s="95"/>
      <c r="Q1404" s="196"/>
    </row>
    <row r="1405" spans="3:17" x14ac:dyDescent="0.25">
      <c r="C1405" s="198"/>
      <c r="D1405" s="111"/>
      <c r="E1405" s="33"/>
      <c r="F1405" s="104"/>
      <c r="H1405" s="115"/>
      <c r="I1405" s="26"/>
      <c r="J1405" s="98"/>
      <c r="K1405" s="36"/>
      <c r="L1405" s="26"/>
      <c r="M1405" s="26"/>
      <c r="N1405" s="26"/>
      <c r="O1405" s="93"/>
      <c r="P1405" s="95"/>
      <c r="Q1405" s="196"/>
    </row>
    <row r="1406" spans="3:17" x14ac:dyDescent="0.25">
      <c r="C1406" s="198"/>
      <c r="D1406" s="111"/>
      <c r="E1406" s="33"/>
      <c r="F1406" s="104"/>
      <c r="H1406" s="115"/>
      <c r="I1406" s="26"/>
      <c r="J1406" s="98"/>
      <c r="K1406" s="36"/>
      <c r="L1406" s="26"/>
      <c r="M1406" s="26"/>
      <c r="N1406" s="26"/>
      <c r="O1406" s="93"/>
      <c r="P1406" s="95"/>
      <c r="Q1406" s="196"/>
    </row>
    <row r="1407" spans="3:17" x14ac:dyDescent="0.25">
      <c r="C1407" s="198"/>
      <c r="D1407" s="111"/>
      <c r="E1407" s="33"/>
      <c r="F1407" s="104"/>
      <c r="H1407" s="115"/>
      <c r="I1407" s="26"/>
      <c r="J1407" s="98"/>
      <c r="K1407" s="36"/>
      <c r="L1407" s="26"/>
      <c r="M1407" s="26"/>
      <c r="N1407" s="26"/>
      <c r="O1407" s="93"/>
      <c r="P1407" s="95"/>
      <c r="Q1407" s="196"/>
    </row>
    <row r="1408" spans="3:17" x14ac:dyDescent="0.25">
      <c r="C1408" s="198"/>
      <c r="D1408" s="111"/>
      <c r="E1408" s="33"/>
      <c r="F1408" s="104"/>
      <c r="H1408" s="115"/>
      <c r="I1408" s="26"/>
      <c r="J1408" s="98"/>
      <c r="K1408" s="36"/>
      <c r="L1408" s="26"/>
      <c r="M1408" s="26"/>
      <c r="N1408" s="26"/>
      <c r="O1408" s="93"/>
      <c r="P1408" s="95"/>
      <c r="Q1408" s="196"/>
    </row>
    <row r="1409" spans="3:17" x14ac:dyDescent="0.25">
      <c r="C1409" s="198"/>
      <c r="D1409" s="111"/>
      <c r="E1409" s="33"/>
      <c r="F1409" s="104"/>
      <c r="H1409" s="115"/>
      <c r="I1409" s="26"/>
      <c r="J1409" s="98"/>
      <c r="K1409" s="36"/>
      <c r="L1409" s="26"/>
      <c r="M1409" s="26"/>
      <c r="N1409" s="26"/>
      <c r="O1409" s="93"/>
      <c r="P1409" s="95"/>
      <c r="Q1409" s="196"/>
    </row>
    <row r="1410" spans="3:17" x14ac:dyDescent="0.25">
      <c r="C1410" s="198"/>
      <c r="D1410" s="111"/>
      <c r="E1410" s="33"/>
      <c r="F1410" s="104"/>
      <c r="H1410" s="115"/>
      <c r="I1410" s="26"/>
      <c r="J1410" s="98"/>
      <c r="K1410" s="36"/>
      <c r="L1410" s="26"/>
      <c r="M1410" s="26"/>
      <c r="N1410" s="26"/>
      <c r="O1410" s="93"/>
      <c r="P1410" s="95"/>
      <c r="Q1410" s="196"/>
    </row>
    <row r="1411" spans="3:17" x14ac:dyDescent="0.25">
      <c r="C1411" s="198"/>
      <c r="D1411" s="111"/>
      <c r="E1411" s="33"/>
      <c r="F1411" s="104"/>
      <c r="H1411" s="115"/>
      <c r="I1411" s="26"/>
      <c r="J1411" s="98"/>
      <c r="K1411" s="36"/>
      <c r="L1411" s="26"/>
      <c r="M1411" s="26"/>
      <c r="N1411" s="26"/>
      <c r="O1411" s="93"/>
      <c r="P1411" s="95"/>
      <c r="Q1411" s="196"/>
    </row>
    <row r="1412" spans="3:17" x14ac:dyDescent="0.25">
      <c r="C1412" s="198"/>
      <c r="D1412" s="111"/>
      <c r="E1412" s="33"/>
      <c r="F1412" s="104"/>
      <c r="H1412" s="115"/>
      <c r="I1412" s="26"/>
      <c r="J1412" s="98"/>
      <c r="K1412" s="36"/>
      <c r="L1412" s="26"/>
      <c r="M1412" s="26"/>
      <c r="N1412" s="26"/>
      <c r="O1412" s="93"/>
      <c r="P1412" s="95"/>
      <c r="Q1412" s="196"/>
    </row>
    <row r="1413" spans="3:17" x14ac:dyDescent="0.25">
      <c r="C1413" s="198"/>
      <c r="D1413" s="111"/>
      <c r="E1413" s="33"/>
      <c r="F1413" s="104"/>
      <c r="H1413" s="115"/>
      <c r="I1413" s="26"/>
      <c r="J1413" s="98"/>
      <c r="K1413" s="36"/>
      <c r="L1413" s="26"/>
      <c r="M1413" s="26"/>
      <c r="N1413" s="26"/>
      <c r="O1413" s="93"/>
      <c r="P1413" s="95"/>
      <c r="Q1413" s="196"/>
    </row>
    <row r="1414" spans="3:17" x14ac:dyDescent="0.25">
      <c r="C1414" s="198"/>
      <c r="D1414" s="111"/>
      <c r="E1414" s="33"/>
      <c r="F1414" s="104"/>
      <c r="H1414" s="115"/>
      <c r="I1414" s="26"/>
      <c r="J1414" s="98"/>
      <c r="K1414" s="36"/>
      <c r="L1414" s="26"/>
      <c r="M1414" s="26"/>
      <c r="N1414" s="26"/>
      <c r="O1414" s="93"/>
      <c r="P1414" s="95"/>
      <c r="Q1414" s="196"/>
    </row>
    <row r="1415" spans="3:17" x14ac:dyDescent="0.25">
      <c r="C1415" s="198"/>
      <c r="D1415" s="111"/>
      <c r="E1415" s="33"/>
      <c r="F1415" s="104"/>
      <c r="H1415" s="115"/>
      <c r="I1415" s="26"/>
      <c r="J1415" s="98"/>
      <c r="K1415" s="36"/>
      <c r="L1415" s="26"/>
      <c r="M1415" s="26"/>
      <c r="N1415" s="26"/>
      <c r="O1415" s="93"/>
      <c r="P1415" s="95"/>
      <c r="Q1415" s="196"/>
    </row>
    <row r="1416" spans="3:17" x14ac:dyDescent="0.25">
      <c r="C1416" s="198"/>
      <c r="D1416" s="111"/>
      <c r="E1416" s="33"/>
      <c r="F1416" s="104"/>
      <c r="H1416" s="115"/>
      <c r="I1416" s="26"/>
      <c r="J1416" s="98"/>
      <c r="K1416" s="36"/>
      <c r="L1416" s="26"/>
      <c r="M1416" s="26"/>
      <c r="N1416" s="26"/>
      <c r="O1416" s="93"/>
      <c r="P1416" s="95"/>
      <c r="Q1416" s="196"/>
    </row>
    <row r="1417" spans="3:17" x14ac:dyDescent="0.25">
      <c r="C1417" s="198"/>
      <c r="D1417" s="111"/>
      <c r="E1417" s="33"/>
      <c r="F1417" s="104"/>
      <c r="H1417" s="115"/>
      <c r="I1417" s="26"/>
      <c r="J1417" s="98"/>
      <c r="K1417" s="36"/>
      <c r="L1417" s="26"/>
      <c r="M1417" s="26"/>
      <c r="N1417" s="26"/>
      <c r="O1417" s="93"/>
      <c r="P1417" s="95"/>
      <c r="Q1417" s="196"/>
    </row>
    <row r="1418" spans="3:17" x14ac:dyDescent="0.25">
      <c r="C1418" s="198"/>
      <c r="D1418" s="111"/>
      <c r="E1418" s="33"/>
      <c r="F1418" s="104"/>
      <c r="H1418" s="115"/>
      <c r="I1418" s="26"/>
      <c r="J1418" s="98"/>
      <c r="K1418" s="36"/>
      <c r="L1418" s="26"/>
      <c r="M1418" s="26"/>
      <c r="N1418" s="26"/>
      <c r="O1418" s="93"/>
      <c r="P1418" s="95"/>
      <c r="Q1418" s="196"/>
    </row>
    <row r="1419" spans="3:17" x14ac:dyDescent="0.25">
      <c r="C1419" s="198"/>
      <c r="D1419" s="111"/>
      <c r="E1419" s="33"/>
      <c r="F1419" s="104"/>
      <c r="H1419" s="115"/>
      <c r="I1419" s="26"/>
      <c r="J1419" s="98"/>
      <c r="K1419" s="36"/>
      <c r="L1419" s="26"/>
      <c r="M1419" s="26"/>
      <c r="N1419" s="26"/>
      <c r="O1419" s="93"/>
      <c r="P1419" s="95"/>
      <c r="Q1419" s="196"/>
    </row>
    <row r="1420" spans="3:17" x14ac:dyDescent="0.25">
      <c r="C1420" s="198"/>
      <c r="D1420" s="111"/>
      <c r="E1420" s="33"/>
      <c r="F1420" s="104"/>
      <c r="H1420" s="115"/>
      <c r="I1420" s="26"/>
      <c r="J1420" s="98"/>
      <c r="K1420" s="36"/>
      <c r="L1420" s="26"/>
      <c r="M1420" s="26"/>
      <c r="N1420" s="26"/>
      <c r="O1420" s="93"/>
      <c r="P1420" s="95"/>
      <c r="Q1420" s="196"/>
    </row>
    <row r="1421" spans="3:17" x14ac:dyDescent="0.25">
      <c r="C1421" s="198"/>
      <c r="D1421" s="111"/>
      <c r="E1421" s="33"/>
      <c r="F1421" s="104"/>
      <c r="H1421" s="115"/>
      <c r="I1421" s="26"/>
      <c r="J1421" s="98"/>
      <c r="K1421" s="36"/>
      <c r="L1421" s="26"/>
      <c r="M1421" s="26"/>
      <c r="N1421" s="26"/>
      <c r="O1421" s="93"/>
      <c r="P1421" s="95"/>
      <c r="Q1421" s="196"/>
    </row>
    <row r="1422" spans="3:17" x14ac:dyDescent="0.25">
      <c r="C1422" s="198"/>
      <c r="D1422" s="111"/>
      <c r="E1422" s="33"/>
      <c r="F1422" s="104"/>
      <c r="H1422" s="115"/>
      <c r="I1422" s="26"/>
      <c r="J1422" s="98"/>
      <c r="K1422" s="36"/>
      <c r="L1422" s="26"/>
      <c r="M1422" s="26"/>
      <c r="N1422" s="26"/>
      <c r="O1422" s="93"/>
      <c r="P1422" s="95"/>
      <c r="Q1422" s="196"/>
    </row>
    <row r="1423" spans="3:17" x14ac:dyDescent="0.25">
      <c r="C1423" s="198"/>
      <c r="D1423" s="111"/>
      <c r="E1423" s="33"/>
      <c r="F1423" s="104"/>
      <c r="H1423" s="115"/>
      <c r="I1423" s="26"/>
      <c r="J1423" s="98"/>
      <c r="K1423" s="36"/>
      <c r="L1423" s="26"/>
      <c r="M1423" s="26"/>
      <c r="N1423" s="26"/>
      <c r="O1423" s="93"/>
      <c r="P1423" s="95"/>
      <c r="Q1423" s="196"/>
    </row>
    <row r="1424" spans="3:17" x14ac:dyDescent="0.25">
      <c r="C1424" s="198"/>
      <c r="D1424" s="111"/>
      <c r="E1424" s="33"/>
      <c r="F1424" s="104"/>
      <c r="H1424" s="115"/>
      <c r="I1424" s="26"/>
      <c r="J1424" s="98"/>
      <c r="K1424" s="36"/>
      <c r="L1424" s="26"/>
      <c r="M1424" s="26"/>
      <c r="N1424" s="26"/>
      <c r="O1424" s="93"/>
      <c r="P1424" s="95"/>
      <c r="Q1424" s="196"/>
    </row>
    <row r="1425" spans="3:17" x14ac:dyDescent="0.25">
      <c r="C1425" s="198"/>
      <c r="D1425" s="111"/>
      <c r="E1425" s="33"/>
      <c r="F1425" s="104"/>
      <c r="H1425" s="115"/>
      <c r="I1425" s="26"/>
      <c r="J1425" s="98"/>
      <c r="K1425" s="36"/>
      <c r="L1425" s="26"/>
      <c r="M1425" s="26"/>
      <c r="N1425" s="26"/>
      <c r="O1425" s="93"/>
      <c r="P1425" s="95"/>
      <c r="Q1425" s="196"/>
    </row>
    <row r="1426" spans="3:17" x14ac:dyDescent="0.25">
      <c r="C1426" s="198"/>
      <c r="D1426" s="111"/>
      <c r="E1426" s="33"/>
      <c r="F1426" s="104"/>
      <c r="H1426" s="115"/>
      <c r="I1426" s="26"/>
      <c r="J1426" s="98"/>
      <c r="K1426" s="36"/>
      <c r="L1426" s="26"/>
      <c r="M1426" s="26"/>
      <c r="N1426" s="26"/>
      <c r="O1426" s="93"/>
      <c r="P1426" s="95"/>
      <c r="Q1426" s="196"/>
    </row>
    <row r="1427" spans="3:17" x14ac:dyDescent="0.25">
      <c r="C1427" s="198"/>
      <c r="D1427" s="111"/>
      <c r="E1427" s="33"/>
      <c r="F1427" s="104"/>
      <c r="H1427" s="115"/>
      <c r="I1427" s="26"/>
      <c r="J1427" s="98"/>
      <c r="K1427" s="36"/>
      <c r="L1427" s="26"/>
      <c r="M1427" s="26"/>
      <c r="N1427" s="26"/>
      <c r="O1427" s="93"/>
      <c r="P1427" s="95"/>
      <c r="Q1427" s="196"/>
    </row>
    <row r="1428" spans="3:17" x14ac:dyDescent="0.25">
      <c r="C1428" s="198"/>
      <c r="D1428" s="111"/>
      <c r="E1428" s="33"/>
      <c r="F1428" s="104"/>
      <c r="H1428" s="115"/>
      <c r="I1428" s="26"/>
      <c r="J1428" s="98"/>
      <c r="K1428" s="36"/>
      <c r="L1428" s="26"/>
      <c r="M1428" s="26"/>
      <c r="N1428" s="26"/>
      <c r="O1428" s="93"/>
      <c r="P1428" s="95"/>
      <c r="Q1428" s="196"/>
    </row>
    <row r="1429" spans="3:17" x14ac:dyDescent="0.25">
      <c r="C1429" s="198"/>
      <c r="D1429" s="111"/>
      <c r="E1429" s="33"/>
      <c r="F1429" s="104"/>
      <c r="H1429" s="115"/>
      <c r="I1429" s="26"/>
      <c r="J1429" s="98"/>
      <c r="K1429" s="36"/>
      <c r="L1429" s="26"/>
      <c r="M1429" s="26"/>
      <c r="N1429" s="26"/>
      <c r="O1429" s="93"/>
      <c r="P1429" s="95"/>
      <c r="Q1429" s="196"/>
    </row>
    <row r="1430" spans="3:17" x14ac:dyDescent="0.25">
      <c r="C1430" s="198"/>
      <c r="D1430" s="111"/>
      <c r="E1430" s="33"/>
      <c r="F1430" s="104"/>
      <c r="H1430" s="115"/>
      <c r="I1430" s="26"/>
      <c r="J1430" s="98"/>
      <c r="K1430" s="36"/>
      <c r="L1430" s="26"/>
      <c r="M1430" s="26"/>
      <c r="N1430" s="26"/>
      <c r="O1430" s="93"/>
      <c r="P1430" s="95"/>
      <c r="Q1430" s="196"/>
    </row>
    <row r="1431" spans="3:17" x14ac:dyDescent="0.25">
      <c r="C1431" s="198"/>
      <c r="D1431" s="111"/>
      <c r="E1431" s="33"/>
      <c r="F1431" s="104"/>
      <c r="H1431" s="115"/>
      <c r="I1431" s="26"/>
      <c r="J1431" s="98"/>
      <c r="K1431" s="36"/>
      <c r="L1431" s="26"/>
      <c r="M1431" s="26"/>
      <c r="N1431" s="26"/>
      <c r="O1431" s="93"/>
      <c r="P1431" s="95"/>
      <c r="Q1431" s="196"/>
    </row>
    <row r="1432" spans="3:17" x14ac:dyDescent="0.25">
      <c r="C1432" s="198"/>
      <c r="D1432" s="111"/>
      <c r="E1432" s="33"/>
      <c r="F1432" s="104"/>
      <c r="H1432" s="115"/>
      <c r="I1432" s="26"/>
      <c r="J1432" s="98"/>
      <c r="K1432" s="36"/>
      <c r="L1432" s="26"/>
      <c r="M1432" s="26"/>
      <c r="N1432" s="26"/>
      <c r="O1432" s="93"/>
      <c r="P1432" s="95"/>
      <c r="Q1432" s="196"/>
    </row>
    <row r="1433" spans="3:17" x14ac:dyDescent="0.25">
      <c r="C1433" s="198"/>
      <c r="D1433" s="111"/>
      <c r="E1433" s="33"/>
      <c r="F1433" s="104"/>
      <c r="H1433" s="115"/>
      <c r="I1433" s="26"/>
      <c r="J1433" s="98"/>
      <c r="K1433" s="36"/>
      <c r="L1433" s="26"/>
      <c r="M1433" s="26"/>
      <c r="N1433" s="26"/>
      <c r="O1433" s="93"/>
      <c r="P1433" s="95"/>
      <c r="Q1433" s="196"/>
    </row>
    <row r="1434" spans="3:17" x14ac:dyDescent="0.25">
      <c r="C1434" s="198"/>
      <c r="D1434" s="111"/>
      <c r="E1434" s="33"/>
      <c r="F1434" s="104"/>
      <c r="H1434" s="115"/>
      <c r="I1434" s="26"/>
      <c r="J1434" s="98"/>
      <c r="K1434" s="36"/>
      <c r="L1434" s="26"/>
      <c r="M1434" s="26"/>
      <c r="N1434" s="26"/>
      <c r="O1434" s="93"/>
      <c r="P1434" s="95"/>
      <c r="Q1434" s="196"/>
    </row>
    <row r="1435" spans="3:17" x14ac:dyDescent="0.25">
      <c r="C1435" s="198"/>
      <c r="D1435" s="111"/>
      <c r="E1435" s="33"/>
      <c r="F1435" s="104"/>
      <c r="H1435" s="115"/>
      <c r="I1435" s="26"/>
      <c r="J1435" s="98"/>
      <c r="K1435" s="36"/>
      <c r="L1435" s="26"/>
      <c r="M1435" s="26"/>
      <c r="N1435" s="26"/>
      <c r="O1435" s="93"/>
      <c r="P1435" s="95"/>
      <c r="Q1435" s="196"/>
    </row>
    <row r="1436" spans="3:17" x14ac:dyDescent="0.25">
      <c r="C1436" s="198"/>
      <c r="D1436" s="111"/>
      <c r="E1436" s="33"/>
      <c r="F1436" s="104"/>
      <c r="H1436" s="115"/>
      <c r="I1436" s="26"/>
      <c r="J1436" s="98"/>
      <c r="K1436" s="36"/>
      <c r="L1436" s="26"/>
      <c r="M1436" s="26"/>
      <c r="N1436" s="26"/>
      <c r="O1436" s="93"/>
      <c r="P1436" s="95"/>
      <c r="Q1436" s="196"/>
    </row>
    <row r="1437" spans="3:17" x14ac:dyDescent="0.25">
      <c r="C1437" s="198"/>
      <c r="D1437" s="111"/>
      <c r="E1437" s="33"/>
      <c r="F1437" s="104"/>
      <c r="H1437" s="115"/>
      <c r="I1437" s="26"/>
      <c r="J1437" s="98"/>
      <c r="K1437" s="36"/>
      <c r="L1437" s="26"/>
      <c r="M1437" s="26"/>
      <c r="N1437" s="26"/>
      <c r="O1437" s="93"/>
      <c r="P1437" s="95"/>
      <c r="Q1437" s="196"/>
    </row>
    <row r="1438" spans="3:17" x14ac:dyDescent="0.25">
      <c r="C1438" s="198"/>
      <c r="D1438" s="111"/>
      <c r="E1438" s="33"/>
      <c r="F1438" s="104"/>
      <c r="H1438" s="115"/>
      <c r="I1438" s="26"/>
      <c r="J1438" s="98"/>
      <c r="K1438" s="36"/>
      <c r="L1438" s="26"/>
      <c r="M1438" s="26"/>
      <c r="N1438" s="26"/>
      <c r="O1438" s="93"/>
      <c r="P1438" s="95"/>
      <c r="Q1438" s="196"/>
    </row>
    <row r="1439" spans="3:17" x14ac:dyDescent="0.25">
      <c r="C1439" s="198"/>
      <c r="D1439" s="111"/>
      <c r="E1439" s="33"/>
      <c r="F1439" s="104"/>
      <c r="H1439" s="115"/>
      <c r="I1439" s="26"/>
      <c r="J1439" s="98"/>
      <c r="K1439" s="36"/>
      <c r="L1439" s="26"/>
      <c r="M1439" s="26"/>
      <c r="N1439" s="26"/>
      <c r="O1439" s="93"/>
      <c r="P1439" s="95"/>
      <c r="Q1439" s="196"/>
    </row>
    <row r="1440" spans="3:17" x14ac:dyDescent="0.25">
      <c r="C1440" s="198"/>
      <c r="D1440" s="111"/>
      <c r="E1440" s="33"/>
      <c r="F1440" s="104"/>
      <c r="H1440" s="115"/>
      <c r="I1440" s="26"/>
      <c r="J1440" s="98"/>
      <c r="K1440" s="36"/>
      <c r="L1440" s="26"/>
      <c r="M1440" s="26"/>
      <c r="N1440" s="26"/>
      <c r="O1440" s="93"/>
      <c r="P1440" s="95"/>
      <c r="Q1440" s="196"/>
    </row>
    <row r="1441" spans="3:17" x14ac:dyDescent="0.25">
      <c r="C1441" s="198"/>
      <c r="D1441" s="111"/>
      <c r="E1441" s="33"/>
      <c r="F1441" s="104"/>
      <c r="H1441" s="115"/>
      <c r="I1441" s="26"/>
      <c r="J1441" s="98"/>
      <c r="K1441" s="36"/>
      <c r="L1441" s="26"/>
      <c r="M1441" s="26"/>
      <c r="N1441" s="26"/>
      <c r="O1441" s="93"/>
      <c r="P1441" s="95"/>
      <c r="Q1441" s="196"/>
    </row>
    <row r="1442" spans="3:17" x14ac:dyDescent="0.25">
      <c r="C1442" s="198"/>
      <c r="D1442" s="111"/>
      <c r="E1442" s="33"/>
      <c r="F1442" s="104"/>
      <c r="H1442" s="115"/>
      <c r="I1442" s="26"/>
      <c r="J1442" s="98"/>
      <c r="K1442" s="36"/>
      <c r="L1442" s="26"/>
      <c r="M1442" s="26"/>
      <c r="N1442" s="26"/>
      <c r="O1442" s="93"/>
      <c r="P1442" s="95"/>
      <c r="Q1442" s="196"/>
    </row>
    <row r="1443" spans="3:17" x14ac:dyDescent="0.25">
      <c r="C1443" s="198"/>
      <c r="D1443" s="111"/>
      <c r="E1443" s="33"/>
      <c r="F1443" s="104"/>
      <c r="H1443" s="115"/>
      <c r="I1443" s="26"/>
      <c r="J1443" s="98"/>
      <c r="K1443" s="36"/>
      <c r="L1443" s="26"/>
      <c r="M1443" s="26"/>
      <c r="N1443" s="26"/>
      <c r="O1443" s="93"/>
      <c r="P1443" s="95"/>
      <c r="Q1443" s="196"/>
    </row>
    <row r="1444" spans="3:17" x14ac:dyDescent="0.25">
      <c r="C1444" s="198"/>
      <c r="D1444" s="111"/>
      <c r="E1444" s="33"/>
      <c r="F1444" s="104"/>
      <c r="H1444" s="115"/>
      <c r="I1444" s="26"/>
      <c r="J1444" s="98"/>
      <c r="K1444" s="36"/>
      <c r="L1444" s="26"/>
      <c r="M1444" s="26"/>
      <c r="N1444" s="26"/>
      <c r="O1444" s="93"/>
      <c r="P1444" s="95"/>
      <c r="Q1444" s="196"/>
    </row>
    <row r="1445" spans="3:17" x14ac:dyDescent="0.25">
      <c r="C1445" s="198"/>
      <c r="D1445" s="111"/>
      <c r="E1445" s="33"/>
      <c r="F1445" s="104"/>
      <c r="H1445" s="115"/>
      <c r="I1445" s="26"/>
      <c r="J1445" s="98"/>
      <c r="K1445" s="36"/>
      <c r="L1445" s="26"/>
      <c r="M1445" s="26"/>
      <c r="N1445" s="26"/>
      <c r="O1445" s="93"/>
      <c r="P1445" s="95"/>
      <c r="Q1445" s="196"/>
    </row>
    <row r="1446" spans="3:17" x14ac:dyDescent="0.25">
      <c r="C1446" s="198"/>
      <c r="D1446" s="111"/>
      <c r="E1446" s="33"/>
      <c r="F1446" s="104"/>
      <c r="H1446" s="115"/>
      <c r="I1446" s="26"/>
      <c r="J1446" s="98"/>
      <c r="K1446" s="36"/>
      <c r="L1446" s="26"/>
      <c r="M1446" s="26"/>
      <c r="N1446" s="26"/>
      <c r="O1446" s="93"/>
      <c r="P1446" s="95"/>
      <c r="Q1446" s="196"/>
    </row>
    <row r="1447" spans="3:17" x14ac:dyDescent="0.25">
      <c r="C1447" s="198"/>
      <c r="D1447" s="111"/>
      <c r="E1447" s="33"/>
      <c r="F1447" s="104"/>
      <c r="H1447" s="115"/>
      <c r="I1447" s="26"/>
      <c r="J1447" s="98"/>
      <c r="K1447" s="36"/>
      <c r="L1447" s="26"/>
      <c r="M1447" s="26"/>
      <c r="N1447" s="26"/>
      <c r="O1447" s="93"/>
      <c r="P1447" s="95"/>
      <c r="Q1447" s="196"/>
    </row>
    <row r="1448" spans="3:17" x14ac:dyDescent="0.25">
      <c r="C1448" s="198"/>
      <c r="D1448" s="111"/>
      <c r="E1448" s="33"/>
      <c r="F1448" s="104"/>
      <c r="H1448" s="115"/>
      <c r="I1448" s="26"/>
      <c r="J1448" s="98"/>
      <c r="K1448" s="36"/>
      <c r="L1448" s="26"/>
      <c r="M1448" s="26"/>
      <c r="N1448" s="26"/>
      <c r="O1448" s="93"/>
      <c r="P1448" s="95"/>
      <c r="Q1448" s="196"/>
    </row>
    <row r="1449" spans="3:17" x14ac:dyDescent="0.25">
      <c r="C1449" s="198"/>
      <c r="D1449" s="111"/>
      <c r="E1449" s="33"/>
      <c r="F1449" s="104"/>
      <c r="H1449" s="115"/>
      <c r="I1449" s="26"/>
      <c r="J1449" s="98"/>
      <c r="K1449" s="36"/>
      <c r="L1449" s="26"/>
      <c r="M1449" s="26"/>
      <c r="N1449" s="26"/>
      <c r="O1449" s="93"/>
      <c r="P1449" s="95"/>
      <c r="Q1449" s="196"/>
    </row>
    <row r="1450" spans="3:17" x14ac:dyDescent="0.25">
      <c r="C1450" s="198"/>
      <c r="D1450" s="111"/>
      <c r="E1450" s="33"/>
      <c r="F1450" s="104"/>
      <c r="H1450" s="115"/>
      <c r="I1450" s="26"/>
      <c r="J1450" s="98"/>
      <c r="K1450" s="36"/>
      <c r="L1450" s="26"/>
      <c r="M1450" s="26"/>
      <c r="N1450" s="26"/>
      <c r="O1450" s="93"/>
      <c r="P1450" s="95"/>
      <c r="Q1450" s="196"/>
    </row>
    <row r="1451" spans="3:17" x14ac:dyDescent="0.25">
      <c r="C1451" s="198"/>
      <c r="D1451" s="111"/>
      <c r="E1451" s="33"/>
      <c r="F1451" s="104"/>
      <c r="H1451" s="115"/>
      <c r="I1451" s="26"/>
      <c r="J1451" s="98"/>
      <c r="K1451" s="36"/>
      <c r="L1451" s="26"/>
      <c r="M1451" s="26"/>
      <c r="N1451" s="26"/>
      <c r="O1451" s="93"/>
      <c r="P1451" s="95"/>
      <c r="Q1451" s="196"/>
    </row>
    <row r="1452" spans="3:17" x14ac:dyDescent="0.25">
      <c r="C1452" s="198"/>
      <c r="D1452" s="111"/>
      <c r="E1452" s="33"/>
      <c r="F1452" s="104"/>
      <c r="H1452" s="115"/>
      <c r="I1452" s="26"/>
      <c r="J1452" s="98"/>
      <c r="K1452" s="36"/>
      <c r="L1452" s="26"/>
      <c r="M1452" s="26"/>
      <c r="N1452" s="26"/>
      <c r="O1452" s="93"/>
      <c r="P1452" s="95"/>
      <c r="Q1452" s="196"/>
    </row>
    <row r="1453" spans="3:17" x14ac:dyDescent="0.25">
      <c r="C1453" s="198"/>
      <c r="D1453" s="111"/>
      <c r="E1453" s="33"/>
      <c r="F1453" s="104"/>
      <c r="H1453" s="115"/>
      <c r="I1453" s="26"/>
      <c r="J1453" s="98"/>
      <c r="K1453" s="36"/>
      <c r="L1453" s="26"/>
      <c r="M1453" s="26"/>
      <c r="N1453" s="26"/>
      <c r="O1453" s="93"/>
      <c r="P1453" s="95"/>
      <c r="Q1453" s="196"/>
    </row>
    <row r="1454" spans="3:17" x14ac:dyDescent="0.25">
      <c r="C1454" s="198"/>
      <c r="D1454" s="111"/>
      <c r="E1454" s="33"/>
      <c r="F1454" s="104"/>
      <c r="H1454" s="115"/>
      <c r="I1454" s="26"/>
      <c r="J1454" s="98"/>
      <c r="K1454" s="36"/>
      <c r="L1454" s="26"/>
      <c r="M1454" s="26"/>
      <c r="N1454" s="26"/>
      <c r="O1454" s="93"/>
      <c r="P1454" s="95"/>
      <c r="Q1454" s="196"/>
    </row>
    <row r="1455" spans="3:17" x14ac:dyDescent="0.25">
      <c r="C1455" s="198"/>
      <c r="D1455" s="111"/>
      <c r="E1455" s="33"/>
      <c r="F1455" s="104"/>
      <c r="H1455" s="115"/>
      <c r="I1455" s="26"/>
      <c r="J1455" s="98"/>
      <c r="K1455" s="36"/>
      <c r="L1455" s="26"/>
      <c r="M1455" s="26"/>
      <c r="N1455" s="26"/>
      <c r="O1455" s="93"/>
      <c r="P1455" s="95"/>
      <c r="Q1455" s="196"/>
    </row>
    <row r="1456" spans="3:17" x14ac:dyDescent="0.25">
      <c r="C1456" s="198"/>
      <c r="D1456" s="111"/>
      <c r="E1456" s="33"/>
      <c r="F1456" s="104"/>
      <c r="H1456" s="115"/>
      <c r="I1456" s="26"/>
      <c r="J1456" s="98"/>
      <c r="K1456" s="36"/>
      <c r="L1456" s="26"/>
      <c r="M1456" s="26"/>
      <c r="N1456" s="26"/>
      <c r="O1456" s="93"/>
      <c r="P1456" s="95"/>
      <c r="Q1456" s="196"/>
    </row>
    <row r="1457" spans="3:17" x14ac:dyDescent="0.25">
      <c r="C1457" s="198"/>
      <c r="D1457" s="111"/>
      <c r="E1457" s="33"/>
      <c r="F1457" s="104"/>
      <c r="H1457" s="115"/>
      <c r="I1457" s="26"/>
      <c r="J1457" s="98"/>
      <c r="K1457" s="36"/>
      <c r="L1457" s="26"/>
      <c r="M1457" s="26"/>
      <c r="N1457" s="26"/>
      <c r="O1457" s="93"/>
      <c r="P1457" s="95"/>
      <c r="Q1457" s="196"/>
    </row>
    <row r="1458" spans="3:17" x14ac:dyDescent="0.25">
      <c r="C1458" s="198"/>
      <c r="D1458" s="111"/>
      <c r="E1458" s="33"/>
      <c r="F1458" s="104"/>
      <c r="H1458" s="115"/>
      <c r="I1458" s="26"/>
      <c r="J1458" s="98"/>
      <c r="K1458" s="36"/>
      <c r="L1458" s="26"/>
      <c r="M1458" s="26"/>
      <c r="N1458" s="26"/>
      <c r="O1458" s="93"/>
      <c r="P1458" s="95"/>
      <c r="Q1458" s="196"/>
    </row>
    <row r="1459" spans="3:17" x14ac:dyDescent="0.25">
      <c r="C1459" s="198"/>
      <c r="D1459" s="111"/>
      <c r="E1459" s="33"/>
      <c r="F1459" s="104"/>
      <c r="H1459" s="115"/>
      <c r="I1459" s="26"/>
      <c r="J1459" s="98"/>
      <c r="K1459" s="36"/>
      <c r="L1459" s="26"/>
      <c r="M1459" s="26"/>
      <c r="N1459" s="26"/>
      <c r="O1459" s="93"/>
      <c r="P1459" s="95"/>
      <c r="Q1459" s="196"/>
    </row>
    <row r="1460" spans="3:17" x14ac:dyDescent="0.25">
      <c r="C1460" s="198"/>
      <c r="D1460" s="111"/>
      <c r="E1460" s="33"/>
      <c r="F1460" s="104"/>
      <c r="H1460" s="115"/>
      <c r="I1460" s="26"/>
      <c r="J1460" s="98"/>
      <c r="K1460" s="36"/>
      <c r="L1460" s="26"/>
      <c r="M1460" s="26"/>
      <c r="N1460" s="26"/>
      <c r="O1460" s="93"/>
      <c r="P1460" s="95"/>
      <c r="Q1460" s="196"/>
    </row>
    <row r="1461" spans="3:17" x14ac:dyDescent="0.25">
      <c r="C1461" s="198"/>
      <c r="D1461" s="111"/>
      <c r="E1461" s="33"/>
      <c r="F1461" s="104"/>
      <c r="H1461" s="115"/>
      <c r="I1461" s="26"/>
      <c r="J1461" s="98"/>
      <c r="K1461" s="36"/>
      <c r="L1461" s="26"/>
      <c r="M1461" s="26"/>
      <c r="N1461" s="26"/>
      <c r="O1461" s="93"/>
      <c r="P1461" s="95"/>
      <c r="Q1461" s="196"/>
    </row>
    <row r="1462" spans="3:17" x14ac:dyDescent="0.25">
      <c r="C1462" s="198"/>
      <c r="D1462" s="111"/>
      <c r="E1462" s="33"/>
      <c r="F1462" s="104"/>
      <c r="H1462" s="115"/>
      <c r="I1462" s="26"/>
      <c r="J1462" s="98"/>
      <c r="K1462" s="36"/>
      <c r="L1462" s="26"/>
      <c r="M1462" s="26"/>
      <c r="N1462" s="26"/>
      <c r="O1462" s="93"/>
      <c r="P1462" s="95"/>
      <c r="Q1462" s="196"/>
    </row>
    <row r="1463" spans="3:17" x14ac:dyDescent="0.25">
      <c r="C1463" s="198"/>
      <c r="D1463" s="111"/>
      <c r="E1463" s="33"/>
      <c r="F1463" s="104"/>
      <c r="H1463" s="115"/>
      <c r="I1463" s="26"/>
      <c r="J1463" s="98"/>
      <c r="K1463" s="36"/>
      <c r="L1463" s="26"/>
      <c r="M1463" s="26"/>
      <c r="N1463" s="26"/>
      <c r="O1463" s="93"/>
      <c r="P1463" s="95"/>
      <c r="Q1463" s="196"/>
    </row>
    <row r="1464" spans="3:17" x14ac:dyDescent="0.25">
      <c r="C1464" s="198"/>
      <c r="D1464" s="111"/>
      <c r="E1464" s="33"/>
      <c r="F1464" s="104"/>
      <c r="H1464" s="115"/>
      <c r="I1464" s="26"/>
      <c r="J1464" s="98"/>
      <c r="K1464" s="36"/>
      <c r="L1464" s="26"/>
      <c r="M1464" s="26"/>
      <c r="N1464" s="26"/>
      <c r="O1464" s="93"/>
      <c r="P1464" s="95"/>
      <c r="Q1464" s="196"/>
    </row>
    <row r="1465" spans="3:17" x14ac:dyDescent="0.25">
      <c r="C1465" s="198"/>
      <c r="D1465" s="111"/>
      <c r="E1465" s="33"/>
      <c r="F1465" s="104"/>
      <c r="H1465" s="115"/>
      <c r="I1465" s="26"/>
      <c r="J1465" s="98"/>
      <c r="K1465" s="36"/>
      <c r="L1465" s="26"/>
      <c r="M1465" s="26"/>
      <c r="N1465" s="26"/>
      <c r="O1465" s="93"/>
      <c r="P1465" s="95"/>
      <c r="Q1465" s="196"/>
    </row>
    <row r="1466" spans="3:17" x14ac:dyDescent="0.25">
      <c r="C1466" s="198"/>
      <c r="D1466" s="111"/>
      <c r="E1466" s="33"/>
      <c r="F1466" s="104"/>
      <c r="H1466" s="115"/>
      <c r="I1466" s="26"/>
      <c r="J1466" s="98"/>
      <c r="K1466" s="36"/>
      <c r="L1466" s="26"/>
      <c r="M1466" s="26"/>
      <c r="N1466" s="26"/>
      <c r="O1466" s="93"/>
      <c r="P1466" s="95"/>
      <c r="Q1466" s="196"/>
    </row>
    <row r="1467" spans="3:17" x14ac:dyDescent="0.25">
      <c r="C1467" s="198"/>
      <c r="D1467" s="111"/>
      <c r="E1467" s="33"/>
      <c r="F1467" s="104"/>
      <c r="H1467" s="115"/>
      <c r="I1467" s="26"/>
      <c r="J1467" s="98"/>
      <c r="K1467" s="36"/>
      <c r="L1467" s="26"/>
      <c r="M1467" s="26"/>
      <c r="N1467" s="26"/>
      <c r="O1467" s="93"/>
      <c r="P1467" s="95"/>
      <c r="Q1467" s="196"/>
    </row>
    <row r="1468" spans="3:17" x14ac:dyDescent="0.25">
      <c r="C1468" s="198"/>
      <c r="D1468" s="111"/>
      <c r="E1468" s="33"/>
      <c r="F1468" s="104"/>
      <c r="H1468" s="115"/>
      <c r="I1468" s="26"/>
      <c r="J1468" s="98"/>
      <c r="K1468" s="36"/>
      <c r="L1468" s="26"/>
      <c r="M1468" s="26"/>
      <c r="N1468" s="26"/>
      <c r="O1468" s="93"/>
      <c r="P1468" s="95"/>
      <c r="Q1468" s="196"/>
    </row>
    <row r="1469" spans="3:17" x14ac:dyDescent="0.25">
      <c r="C1469" s="198"/>
      <c r="D1469" s="111"/>
      <c r="E1469" s="33"/>
      <c r="F1469" s="104"/>
      <c r="H1469" s="115"/>
      <c r="I1469" s="26"/>
      <c r="J1469" s="98"/>
      <c r="K1469" s="36"/>
      <c r="L1469" s="26"/>
      <c r="M1469" s="26"/>
      <c r="N1469" s="26"/>
      <c r="O1469" s="93"/>
      <c r="P1469" s="95"/>
      <c r="Q1469" s="196"/>
    </row>
    <row r="1470" spans="3:17" x14ac:dyDescent="0.25">
      <c r="C1470" s="198"/>
      <c r="D1470" s="111"/>
      <c r="E1470" s="33"/>
      <c r="F1470" s="104"/>
      <c r="H1470" s="115"/>
      <c r="I1470" s="26"/>
      <c r="J1470" s="98"/>
      <c r="K1470" s="36"/>
      <c r="L1470" s="26"/>
      <c r="M1470" s="26"/>
      <c r="N1470" s="26"/>
      <c r="O1470" s="93"/>
      <c r="P1470" s="95"/>
      <c r="Q1470" s="196"/>
    </row>
    <row r="1471" spans="3:17" x14ac:dyDescent="0.25">
      <c r="C1471" s="198"/>
      <c r="D1471" s="111"/>
      <c r="E1471" s="33"/>
      <c r="F1471" s="104"/>
      <c r="H1471" s="115"/>
      <c r="I1471" s="26"/>
      <c r="J1471" s="98"/>
      <c r="K1471" s="36"/>
      <c r="L1471" s="26"/>
      <c r="M1471" s="26"/>
      <c r="N1471" s="26"/>
      <c r="O1471" s="93"/>
      <c r="P1471" s="95"/>
      <c r="Q1471" s="196"/>
    </row>
    <row r="1472" spans="3:17" x14ac:dyDescent="0.25">
      <c r="C1472" s="198"/>
      <c r="D1472" s="111"/>
      <c r="E1472" s="33"/>
      <c r="F1472" s="104"/>
      <c r="H1472" s="115"/>
      <c r="I1472" s="26"/>
      <c r="J1472" s="98"/>
      <c r="K1472" s="36"/>
      <c r="L1472" s="26"/>
      <c r="M1472" s="26"/>
      <c r="N1472" s="26"/>
      <c r="O1472" s="93"/>
      <c r="P1472" s="95"/>
      <c r="Q1472" s="196"/>
    </row>
    <row r="1473" spans="3:17" x14ac:dyDescent="0.25">
      <c r="C1473" s="198"/>
      <c r="D1473" s="111"/>
      <c r="E1473" s="33"/>
      <c r="F1473" s="104"/>
      <c r="H1473" s="115"/>
      <c r="I1473" s="26"/>
      <c r="J1473" s="98"/>
      <c r="K1473" s="36"/>
      <c r="L1473" s="26"/>
      <c r="M1473" s="26"/>
      <c r="N1473" s="26"/>
      <c r="O1473" s="93"/>
      <c r="P1473" s="95"/>
      <c r="Q1473" s="196"/>
    </row>
    <row r="1474" spans="3:17" x14ac:dyDescent="0.25">
      <c r="C1474" s="198"/>
      <c r="D1474" s="111"/>
      <c r="E1474" s="33"/>
      <c r="F1474" s="104"/>
      <c r="H1474" s="115"/>
      <c r="I1474" s="26"/>
      <c r="J1474" s="98"/>
      <c r="K1474" s="36"/>
      <c r="L1474" s="26"/>
      <c r="M1474" s="26"/>
      <c r="N1474" s="26"/>
      <c r="O1474" s="93"/>
      <c r="P1474" s="95"/>
      <c r="Q1474" s="196"/>
    </row>
    <row r="1475" spans="3:17" x14ac:dyDescent="0.25">
      <c r="C1475" s="198"/>
      <c r="D1475" s="111"/>
      <c r="E1475" s="33"/>
      <c r="F1475" s="104"/>
      <c r="H1475" s="115"/>
      <c r="I1475" s="26"/>
      <c r="J1475" s="98"/>
      <c r="K1475" s="36"/>
      <c r="L1475" s="26"/>
      <c r="M1475" s="26"/>
      <c r="N1475" s="26"/>
      <c r="O1475" s="93"/>
      <c r="P1475" s="95"/>
      <c r="Q1475" s="196"/>
    </row>
    <row r="1476" spans="3:17" x14ac:dyDescent="0.25">
      <c r="C1476" s="198"/>
      <c r="D1476" s="111"/>
      <c r="E1476" s="33"/>
      <c r="F1476" s="104"/>
      <c r="H1476" s="115"/>
      <c r="I1476" s="26"/>
      <c r="J1476" s="98"/>
      <c r="K1476" s="36"/>
      <c r="L1476" s="26"/>
      <c r="M1476" s="26"/>
      <c r="N1476" s="26"/>
      <c r="O1476" s="93"/>
      <c r="P1476" s="95"/>
      <c r="Q1476" s="196"/>
    </row>
    <row r="1477" spans="3:17" x14ac:dyDescent="0.25">
      <c r="C1477" s="198"/>
      <c r="D1477" s="111"/>
      <c r="E1477" s="33"/>
      <c r="F1477" s="104"/>
      <c r="H1477" s="115"/>
      <c r="I1477" s="26"/>
      <c r="J1477" s="98"/>
      <c r="K1477" s="36"/>
      <c r="L1477" s="26"/>
      <c r="M1477" s="26"/>
      <c r="N1477" s="26"/>
      <c r="O1477" s="93"/>
      <c r="P1477" s="95"/>
      <c r="Q1477" s="196"/>
    </row>
    <row r="1478" spans="3:17" x14ac:dyDescent="0.25">
      <c r="C1478" s="198"/>
      <c r="D1478" s="111"/>
      <c r="E1478" s="33"/>
      <c r="F1478" s="104"/>
      <c r="H1478" s="115"/>
      <c r="I1478" s="26"/>
      <c r="J1478" s="98"/>
      <c r="K1478" s="36"/>
      <c r="L1478" s="26"/>
      <c r="M1478" s="26"/>
      <c r="N1478" s="26"/>
      <c r="O1478" s="93"/>
      <c r="P1478" s="95"/>
      <c r="Q1478" s="196"/>
    </row>
    <row r="1479" spans="3:17" x14ac:dyDescent="0.25">
      <c r="C1479" s="198"/>
      <c r="D1479" s="111"/>
      <c r="E1479" s="33"/>
      <c r="F1479" s="104"/>
      <c r="H1479" s="115"/>
      <c r="I1479" s="26"/>
      <c r="J1479" s="98"/>
      <c r="K1479" s="36"/>
      <c r="L1479" s="26"/>
      <c r="M1479" s="26"/>
      <c r="N1479" s="26"/>
      <c r="O1479" s="93"/>
      <c r="P1479" s="95"/>
      <c r="Q1479" s="196"/>
    </row>
    <row r="1480" spans="3:17" x14ac:dyDescent="0.25">
      <c r="C1480" s="198"/>
      <c r="D1480" s="111"/>
      <c r="E1480" s="33"/>
      <c r="F1480" s="104"/>
      <c r="H1480" s="115"/>
      <c r="I1480" s="26"/>
      <c r="J1480" s="98"/>
      <c r="K1480" s="36"/>
      <c r="L1480" s="26"/>
      <c r="M1480" s="26"/>
      <c r="N1480" s="26"/>
      <c r="O1480" s="93"/>
      <c r="P1480" s="95"/>
      <c r="Q1480" s="196"/>
    </row>
    <row r="1481" spans="3:17" x14ac:dyDescent="0.25">
      <c r="C1481" s="198"/>
      <c r="D1481" s="111"/>
      <c r="E1481" s="33"/>
      <c r="F1481" s="104"/>
      <c r="H1481" s="115"/>
      <c r="I1481" s="26"/>
      <c r="J1481" s="98"/>
      <c r="K1481" s="36"/>
      <c r="L1481" s="26"/>
      <c r="M1481" s="26"/>
      <c r="N1481" s="26"/>
      <c r="O1481" s="93"/>
      <c r="P1481" s="95"/>
      <c r="Q1481" s="196"/>
    </row>
    <row r="1482" spans="3:17" x14ac:dyDescent="0.25">
      <c r="C1482" s="198"/>
      <c r="D1482" s="111"/>
      <c r="E1482" s="33"/>
      <c r="F1482" s="104"/>
      <c r="H1482" s="115"/>
      <c r="I1482" s="26"/>
      <c r="J1482" s="98"/>
      <c r="K1482" s="36"/>
      <c r="L1482" s="26"/>
      <c r="M1482" s="26"/>
      <c r="N1482" s="26"/>
      <c r="O1482" s="93"/>
      <c r="P1482" s="95"/>
      <c r="Q1482" s="196"/>
    </row>
    <row r="1483" spans="3:17" x14ac:dyDescent="0.25">
      <c r="C1483" s="198"/>
      <c r="D1483" s="111"/>
      <c r="E1483" s="33"/>
      <c r="F1483" s="104"/>
      <c r="H1483" s="115"/>
      <c r="I1483" s="26"/>
      <c r="J1483" s="98"/>
      <c r="K1483" s="36"/>
      <c r="L1483" s="26"/>
      <c r="M1483" s="26"/>
      <c r="N1483" s="26"/>
      <c r="O1483" s="93"/>
      <c r="P1483" s="95"/>
      <c r="Q1483" s="196"/>
    </row>
    <row r="1484" spans="3:17" x14ac:dyDescent="0.25">
      <c r="C1484" s="198"/>
      <c r="D1484" s="111"/>
      <c r="E1484" s="33"/>
      <c r="F1484" s="104"/>
      <c r="H1484" s="115"/>
      <c r="I1484" s="26"/>
      <c r="J1484" s="98"/>
      <c r="K1484" s="36"/>
      <c r="L1484" s="26"/>
      <c r="M1484" s="26"/>
      <c r="N1484" s="26"/>
      <c r="O1484" s="93"/>
      <c r="P1484" s="95"/>
      <c r="Q1484" s="196"/>
    </row>
    <row r="1485" spans="3:17" x14ac:dyDescent="0.25">
      <c r="C1485" s="198"/>
      <c r="D1485" s="111"/>
      <c r="E1485" s="33"/>
      <c r="F1485" s="104"/>
      <c r="H1485" s="115"/>
      <c r="I1485" s="26"/>
      <c r="J1485" s="98"/>
      <c r="K1485" s="36"/>
      <c r="L1485" s="26"/>
      <c r="M1485" s="26"/>
      <c r="N1485" s="26"/>
      <c r="O1485" s="93"/>
      <c r="P1485" s="95"/>
      <c r="Q1485" s="196"/>
    </row>
    <row r="1486" spans="3:17" x14ac:dyDescent="0.25">
      <c r="C1486" s="198"/>
      <c r="D1486" s="111"/>
      <c r="E1486" s="33"/>
      <c r="F1486" s="104"/>
      <c r="H1486" s="115"/>
      <c r="I1486" s="26"/>
      <c r="J1486" s="98"/>
      <c r="K1486" s="36"/>
      <c r="L1486" s="26"/>
      <c r="M1486" s="26"/>
      <c r="N1486" s="26"/>
      <c r="O1486" s="93"/>
      <c r="P1486" s="95"/>
      <c r="Q1486" s="196"/>
    </row>
    <row r="1487" spans="3:17" x14ac:dyDescent="0.25">
      <c r="C1487" s="198"/>
      <c r="D1487" s="111"/>
      <c r="E1487" s="33"/>
      <c r="F1487" s="104"/>
      <c r="H1487" s="115"/>
      <c r="I1487" s="26"/>
      <c r="J1487" s="98"/>
      <c r="K1487" s="36"/>
      <c r="L1487" s="26"/>
      <c r="M1487" s="26"/>
      <c r="N1487" s="26"/>
      <c r="O1487" s="93"/>
      <c r="P1487" s="95"/>
      <c r="Q1487" s="196"/>
    </row>
    <row r="1488" spans="3:17" x14ac:dyDescent="0.25">
      <c r="C1488" s="198"/>
      <c r="D1488" s="111"/>
      <c r="E1488" s="33"/>
      <c r="F1488" s="104"/>
      <c r="H1488" s="115"/>
      <c r="I1488" s="26"/>
      <c r="J1488" s="98"/>
      <c r="K1488" s="36"/>
      <c r="L1488" s="26"/>
      <c r="M1488" s="26"/>
      <c r="N1488" s="26"/>
      <c r="O1488" s="93"/>
      <c r="P1488" s="95"/>
      <c r="Q1488" s="196"/>
    </row>
    <row r="1489" spans="3:17" x14ac:dyDescent="0.25">
      <c r="C1489" s="198"/>
      <c r="D1489" s="111"/>
      <c r="E1489" s="33"/>
      <c r="F1489" s="104"/>
      <c r="H1489" s="115"/>
      <c r="I1489" s="26"/>
      <c r="J1489" s="98"/>
      <c r="K1489" s="36"/>
      <c r="L1489" s="26"/>
      <c r="M1489" s="26"/>
      <c r="N1489" s="26"/>
      <c r="O1489" s="93"/>
      <c r="P1489" s="95"/>
      <c r="Q1489" s="196"/>
    </row>
    <row r="1490" spans="3:17" x14ac:dyDescent="0.25">
      <c r="C1490" s="198"/>
      <c r="D1490" s="111"/>
      <c r="E1490" s="33"/>
      <c r="F1490" s="104"/>
      <c r="H1490" s="115"/>
      <c r="I1490" s="26"/>
      <c r="J1490" s="98"/>
      <c r="K1490" s="36"/>
      <c r="L1490" s="26"/>
      <c r="M1490" s="26"/>
      <c r="N1490" s="26"/>
      <c r="O1490" s="93"/>
      <c r="P1490" s="95"/>
      <c r="Q1490" s="196"/>
    </row>
    <row r="1491" spans="3:17" x14ac:dyDescent="0.25">
      <c r="C1491" s="198"/>
      <c r="D1491" s="111"/>
      <c r="E1491" s="33"/>
      <c r="F1491" s="104"/>
      <c r="H1491" s="115"/>
      <c r="I1491" s="26"/>
      <c r="J1491" s="98"/>
      <c r="K1491" s="36"/>
      <c r="L1491" s="26"/>
      <c r="M1491" s="26"/>
      <c r="N1491" s="26"/>
      <c r="O1491" s="93"/>
      <c r="P1491" s="95"/>
      <c r="Q1491" s="196"/>
    </row>
    <row r="1492" spans="3:17" x14ac:dyDescent="0.25">
      <c r="C1492" s="198"/>
      <c r="D1492" s="111"/>
      <c r="E1492" s="33"/>
      <c r="F1492" s="104"/>
      <c r="H1492" s="115"/>
      <c r="I1492" s="26"/>
      <c r="J1492" s="98"/>
      <c r="K1492" s="36"/>
      <c r="L1492" s="26"/>
      <c r="M1492" s="26"/>
      <c r="N1492" s="26"/>
      <c r="O1492" s="93"/>
      <c r="P1492" s="95"/>
      <c r="Q1492" s="196"/>
    </row>
    <row r="1493" spans="3:17" x14ac:dyDescent="0.25">
      <c r="C1493" s="198"/>
      <c r="D1493" s="111"/>
      <c r="E1493" s="33"/>
      <c r="F1493" s="104"/>
      <c r="H1493" s="115"/>
      <c r="I1493" s="26"/>
      <c r="J1493" s="98"/>
      <c r="K1493" s="36"/>
      <c r="L1493" s="26"/>
      <c r="M1493" s="26"/>
      <c r="N1493" s="26"/>
      <c r="O1493" s="93"/>
      <c r="P1493" s="95"/>
      <c r="Q1493" s="196"/>
    </row>
    <row r="1494" spans="3:17" x14ac:dyDescent="0.25">
      <c r="C1494" s="198"/>
      <c r="D1494" s="111"/>
      <c r="E1494" s="33"/>
      <c r="F1494" s="104"/>
      <c r="H1494" s="115"/>
      <c r="I1494" s="26"/>
      <c r="J1494" s="98"/>
      <c r="K1494" s="36"/>
      <c r="L1494" s="26"/>
      <c r="M1494" s="26"/>
      <c r="N1494" s="26"/>
      <c r="O1494" s="93"/>
      <c r="P1494" s="95"/>
      <c r="Q1494" s="196"/>
    </row>
    <row r="1495" spans="3:17" x14ac:dyDescent="0.25">
      <c r="C1495" s="198"/>
      <c r="D1495" s="111"/>
      <c r="E1495" s="33"/>
      <c r="F1495" s="104"/>
      <c r="H1495" s="115"/>
      <c r="I1495" s="26"/>
      <c r="J1495" s="98"/>
      <c r="K1495" s="36"/>
      <c r="L1495" s="26"/>
      <c r="M1495" s="26"/>
      <c r="N1495" s="26"/>
      <c r="O1495" s="93"/>
      <c r="P1495" s="95"/>
      <c r="Q1495" s="196"/>
    </row>
    <row r="1496" spans="3:17" x14ac:dyDescent="0.25">
      <c r="C1496" s="198"/>
      <c r="D1496" s="111"/>
      <c r="E1496" s="33"/>
      <c r="F1496" s="104"/>
      <c r="H1496" s="115"/>
      <c r="I1496" s="26"/>
      <c r="J1496" s="98"/>
      <c r="K1496" s="36"/>
      <c r="L1496" s="26"/>
      <c r="M1496" s="26"/>
      <c r="N1496" s="26"/>
      <c r="O1496" s="93"/>
      <c r="P1496" s="95"/>
      <c r="Q1496" s="196"/>
    </row>
    <row r="1497" spans="3:17" x14ac:dyDescent="0.25">
      <c r="C1497" s="198"/>
      <c r="D1497" s="111"/>
      <c r="E1497" s="33"/>
      <c r="F1497" s="104"/>
      <c r="H1497" s="115"/>
      <c r="I1497" s="26"/>
      <c r="J1497" s="98"/>
      <c r="K1497" s="36"/>
      <c r="L1497" s="26"/>
      <c r="M1497" s="26"/>
      <c r="N1497" s="26"/>
      <c r="O1497" s="93"/>
      <c r="P1497" s="95"/>
      <c r="Q1497" s="196"/>
    </row>
    <row r="1498" spans="3:17" x14ac:dyDescent="0.25">
      <c r="C1498" s="198"/>
      <c r="D1498" s="111"/>
      <c r="E1498" s="33"/>
      <c r="F1498" s="104"/>
      <c r="H1498" s="115"/>
      <c r="I1498" s="26"/>
      <c r="J1498" s="98"/>
      <c r="K1498" s="36"/>
      <c r="L1498" s="26"/>
      <c r="M1498" s="26"/>
      <c r="N1498" s="26"/>
      <c r="O1498" s="93"/>
      <c r="P1498" s="95"/>
      <c r="Q1498" s="196"/>
    </row>
    <row r="1499" spans="3:17" x14ac:dyDescent="0.25">
      <c r="C1499" s="198"/>
      <c r="D1499" s="111"/>
      <c r="E1499" s="33"/>
      <c r="F1499" s="104"/>
      <c r="H1499" s="115"/>
      <c r="I1499" s="26"/>
      <c r="J1499" s="98"/>
      <c r="K1499" s="36"/>
      <c r="L1499" s="26"/>
      <c r="M1499" s="26"/>
      <c r="N1499" s="26"/>
      <c r="O1499" s="93"/>
      <c r="P1499" s="95"/>
      <c r="Q1499" s="196"/>
    </row>
    <row r="1500" spans="3:17" x14ac:dyDescent="0.25">
      <c r="C1500" s="198"/>
      <c r="D1500" s="111"/>
      <c r="E1500" s="33"/>
      <c r="F1500" s="104"/>
      <c r="H1500" s="115"/>
      <c r="I1500" s="26"/>
      <c r="J1500" s="98"/>
      <c r="K1500" s="36"/>
      <c r="L1500" s="26"/>
      <c r="M1500" s="26"/>
      <c r="N1500" s="26"/>
      <c r="O1500" s="93"/>
      <c r="P1500" s="95"/>
      <c r="Q1500" s="196"/>
    </row>
    <row r="1501" spans="3:17" x14ac:dyDescent="0.25">
      <c r="C1501" s="198"/>
      <c r="D1501" s="111"/>
      <c r="E1501" s="33"/>
      <c r="F1501" s="104"/>
      <c r="H1501" s="115"/>
      <c r="I1501" s="26"/>
      <c r="J1501" s="98"/>
      <c r="K1501" s="36"/>
      <c r="L1501" s="26"/>
      <c r="M1501" s="26"/>
      <c r="N1501" s="26"/>
      <c r="O1501" s="93"/>
      <c r="P1501" s="95"/>
      <c r="Q1501" s="196"/>
    </row>
    <row r="1502" spans="3:17" x14ac:dyDescent="0.25">
      <c r="C1502" s="198"/>
      <c r="D1502" s="111"/>
      <c r="E1502" s="33"/>
      <c r="F1502" s="104"/>
      <c r="H1502" s="115"/>
      <c r="I1502" s="26"/>
      <c r="J1502" s="98"/>
      <c r="K1502" s="36"/>
      <c r="L1502" s="26"/>
      <c r="M1502" s="26"/>
      <c r="N1502" s="26"/>
      <c r="O1502" s="93"/>
      <c r="P1502" s="95"/>
      <c r="Q1502" s="196"/>
    </row>
    <row r="1503" spans="3:17" x14ac:dyDescent="0.25">
      <c r="C1503" s="198"/>
      <c r="D1503" s="111"/>
      <c r="E1503" s="33"/>
      <c r="F1503" s="104"/>
      <c r="H1503" s="115"/>
      <c r="I1503" s="26"/>
      <c r="J1503" s="98"/>
      <c r="K1503" s="36"/>
      <c r="L1503" s="26"/>
      <c r="M1503" s="26"/>
      <c r="N1503" s="26"/>
      <c r="O1503" s="93"/>
      <c r="P1503" s="95"/>
      <c r="Q1503" s="196"/>
    </row>
    <row r="1504" spans="3:17" x14ac:dyDescent="0.25">
      <c r="C1504" s="198"/>
      <c r="D1504" s="111"/>
      <c r="E1504" s="33"/>
      <c r="F1504" s="104"/>
      <c r="H1504" s="115"/>
      <c r="I1504" s="26"/>
      <c r="J1504" s="98"/>
      <c r="K1504" s="36"/>
      <c r="L1504" s="26"/>
      <c r="M1504" s="26"/>
      <c r="N1504" s="26"/>
      <c r="O1504" s="93"/>
      <c r="P1504" s="95"/>
      <c r="Q1504" s="196"/>
    </row>
    <row r="1505" spans="3:17" x14ac:dyDescent="0.25">
      <c r="C1505" s="198"/>
      <c r="D1505" s="111"/>
      <c r="E1505" s="33"/>
      <c r="F1505" s="104"/>
      <c r="H1505" s="115"/>
      <c r="I1505" s="26"/>
      <c r="J1505" s="98"/>
      <c r="K1505" s="36"/>
      <c r="L1505" s="26"/>
      <c r="M1505" s="26"/>
      <c r="N1505" s="26"/>
      <c r="O1505" s="93"/>
      <c r="P1505" s="95"/>
      <c r="Q1505" s="196"/>
    </row>
    <row r="1506" spans="3:17" x14ac:dyDescent="0.25">
      <c r="C1506" s="198"/>
      <c r="D1506" s="111"/>
      <c r="E1506" s="33"/>
      <c r="F1506" s="104"/>
      <c r="H1506" s="115"/>
      <c r="I1506" s="26"/>
      <c r="J1506" s="98"/>
      <c r="K1506" s="36"/>
      <c r="L1506" s="26"/>
      <c r="M1506" s="26"/>
      <c r="N1506" s="26"/>
      <c r="O1506" s="93"/>
      <c r="P1506" s="95"/>
      <c r="Q1506" s="196"/>
    </row>
    <row r="1507" spans="3:17" x14ac:dyDescent="0.25">
      <c r="C1507" s="198"/>
      <c r="D1507" s="111"/>
      <c r="E1507" s="33"/>
      <c r="F1507" s="104"/>
      <c r="H1507" s="115"/>
      <c r="I1507" s="26"/>
      <c r="J1507" s="98"/>
      <c r="K1507" s="36"/>
      <c r="L1507" s="26"/>
      <c r="M1507" s="26"/>
      <c r="N1507" s="26"/>
      <c r="O1507" s="93"/>
      <c r="P1507" s="95"/>
      <c r="Q1507" s="196"/>
    </row>
    <row r="1508" spans="3:17" x14ac:dyDescent="0.25">
      <c r="C1508" s="198"/>
      <c r="D1508" s="111"/>
      <c r="E1508" s="33"/>
      <c r="F1508" s="104"/>
      <c r="H1508" s="115"/>
      <c r="I1508" s="26"/>
      <c r="J1508" s="98"/>
      <c r="K1508" s="36"/>
      <c r="L1508" s="26"/>
      <c r="M1508" s="26"/>
      <c r="N1508" s="26"/>
      <c r="O1508" s="93"/>
      <c r="P1508" s="95"/>
      <c r="Q1508" s="196"/>
    </row>
    <row r="1509" spans="3:17" x14ac:dyDescent="0.25">
      <c r="C1509" s="198"/>
      <c r="D1509" s="111"/>
      <c r="E1509" s="33"/>
      <c r="F1509" s="104"/>
      <c r="H1509" s="115"/>
      <c r="I1509" s="26"/>
      <c r="J1509" s="98"/>
      <c r="K1509" s="36"/>
      <c r="L1509" s="26"/>
      <c r="M1509" s="26"/>
      <c r="N1509" s="26"/>
      <c r="O1509" s="93"/>
      <c r="P1509" s="95"/>
      <c r="Q1509" s="196"/>
    </row>
    <row r="1510" spans="3:17" x14ac:dyDescent="0.25">
      <c r="C1510" s="198"/>
      <c r="D1510" s="111"/>
      <c r="E1510" s="33"/>
      <c r="F1510" s="104"/>
      <c r="H1510" s="115"/>
      <c r="I1510" s="26"/>
      <c r="J1510" s="98"/>
      <c r="K1510" s="36"/>
      <c r="L1510" s="26"/>
      <c r="M1510" s="26"/>
      <c r="N1510" s="26"/>
      <c r="O1510" s="93"/>
      <c r="P1510" s="95"/>
      <c r="Q1510" s="196"/>
    </row>
    <row r="1511" spans="3:17" x14ac:dyDescent="0.25">
      <c r="C1511" s="198"/>
      <c r="D1511" s="111"/>
      <c r="E1511" s="33"/>
      <c r="F1511" s="104"/>
      <c r="H1511" s="115"/>
      <c r="I1511" s="26"/>
      <c r="J1511" s="98"/>
      <c r="K1511" s="36"/>
      <c r="L1511" s="26"/>
      <c r="M1511" s="26"/>
      <c r="N1511" s="26"/>
      <c r="O1511" s="93"/>
      <c r="P1511" s="95"/>
      <c r="Q1511" s="196"/>
    </row>
    <row r="1512" spans="3:17" x14ac:dyDescent="0.25">
      <c r="C1512" s="198"/>
      <c r="D1512" s="111"/>
      <c r="E1512" s="33"/>
      <c r="F1512" s="104"/>
      <c r="H1512" s="115"/>
      <c r="I1512" s="26"/>
      <c r="J1512" s="98"/>
      <c r="K1512" s="36"/>
      <c r="L1512" s="26"/>
      <c r="M1512" s="26"/>
      <c r="N1512" s="26"/>
      <c r="O1512" s="93"/>
      <c r="P1512" s="95"/>
      <c r="Q1512" s="196"/>
    </row>
    <row r="1513" spans="3:17" x14ac:dyDescent="0.25">
      <c r="C1513" s="198"/>
      <c r="D1513" s="111"/>
      <c r="E1513" s="33"/>
      <c r="F1513" s="104"/>
      <c r="H1513" s="115"/>
      <c r="I1513" s="26"/>
      <c r="J1513" s="98"/>
      <c r="K1513" s="36"/>
      <c r="L1513" s="26"/>
      <c r="M1513" s="26"/>
      <c r="N1513" s="26"/>
      <c r="O1513" s="93"/>
      <c r="P1513" s="95"/>
      <c r="Q1513" s="196"/>
    </row>
    <row r="1514" spans="3:17" x14ac:dyDescent="0.25">
      <c r="C1514" s="198"/>
      <c r="D1514" s="111"/>
      <c r="E1514" s="33"/>
      <c r="F1514" s="104"/>
      <c r="H1514" s="115"/>
      <c r="I1514" s="26"/>
      <c r="J1514" s="98"/>
      <c r="K1514" s="36"/>
      <c r="L1514" s="26"/>
      <c r="M1514" s="26"/>
      <c r="N1514" s="26"/>
      <c r="O1514" s="93"/>
      <c r="P1514" s="95"/>
      <c r="Q1514" s="196"/>
    </row>
    <row r="1515" spans="3:17" x14ac:dyDescent="0.25">
      <c r="C1515" s="198"/>
      <c r="D1515" s="111"/>
      <c r="E1515" s="33"/>
      <c r="F1515" s="104"/>
      <c r="H1515" s="115"/>
      <c r="I1515" s="26"/>
      <c r="J1515" s="98"/>
      <c r="K1515" s="36"/>
      <c r="L1515" s="26"/>
      <c r="M1515" s="26"/>
      <c r="N1515" s="26"/>
      <c r="O1515" s="93"/>
      <c r="P1515" s="95"/>
      <c r="Q1515" s="196"/>
    </row>
    <row r="1516" spans="3:17" x14ac:dyDescent="0.25">
      <c r="C1516" s="198"/>
      <c r="D1516" s="111"/>
      <c r="E1516" s="33"/>
      <c r="F1516" s="104"/>
      <c r="H1516" s="115"/>
      <c r="I1516" s="26"/>
      <c r="J1516" s="98"/>
      <c r="K1516" s="36"/>
      <c r="L1516" s="26"/>
      <c r="M1516" s="26"/>
      <c r="N1516" s="26"/>
      <c r="O1516" s="93"/>
      <c r="P1516" s="95"/>
      <c r="Q1516" s="196"/>
    </row>
    <row r="1517" spans="3:17" x14ac:dyDescent="0.25">
      <c r="C1517" s="198"/>
      <c r="D1517" s="111"/>
      <c r="E1517" s="33"/>
      <c r="F1517" s="104"/>
      <c r="H1517" s="115"/>
      <c r="I1517" s="26"/>
      <c r="J1517" s="98"/>
      <c r="K1517" s="36"/>
      <c r="L1517" s="26"/>
      <c r="M1517" s="26"/>
      <c r="N1517" s="26"/>
      <c r="O1517" s="93"/>
      <c r="P1517" s="95"/>
      <c r="Q1517" s="196"/>
    </row>
    <row r="1518" spans="3:17" x14ac:dyDescent="0.25">
      <c r="C1518" s="198"/>
      <c r="D1518" s="111"/>
      <c r="E1518" s="33"/>
      <c r="F1518" s="104"/>
      <c r="H1518" s="115"/>
      <c r="I1518" s="26"/>
      <c r="J1518" s="98"/>
      <c r="K1518" s="36"/>
      <c r="L1518" s="26"/>
      <c r="M1518" s="26"/>
      <c r="N1518" s="26"/>
      <c r="O1518" s="93"/>
      <c r="P1518" s="95"/>
      <c r="Q1518" s="196"/>
    </row>
    <row r="1519" spans="3:17" x14ac:dyDescent="0.25">
      <c r="C1519" s="198"/>
      <c r="D1519" s="111"/>
      <c r="E1519" s="33"/>
      <c r="F1519" s="104"/>
      <c r="H1519" s="115"/>
      <c r="I1519" s="26"/>
      <c r="J1519" s="98"/>
      <c r="K1519" s="36"/>
      <c r="L1519" s="26"/>
      <c r="M1519" s="26"/>
      <c r="N1519" s="26"/>
      <c r="O1519" s="93"/>
      <c r="P1519" s="95"/>
      <c r="Q1519" s="196"/>
    </row>
    <row r="1520" spans="3:17" x14ac:dyDescent="0.25">
      <c r="C1520" s="198"/>
      <c r="D1520" s="111"/>
      <c r="E1520" s="33"/>
      <c r="F1520" s="104"/>
      <c r="H1520" s="115"/>
      <c r="I1520" s="26"/>
      <c r="J1520" s="98"/>
      <c r="K1520" s="36"/>
      <c r="L1520" s="26"/>
      <c r="M1520" s="26"/>
      <c r="N1520" s="26"/>
      <c r="O1520" s="93"/>
      <c r="P1520" s="95"/>
      <c r="Q1520" s="196"/>
    </row>
    <row r="1521" spans="3:17" x14ac:dyDescent="0.25">
      <c r="C1521" s="198"/>
      <c r="D1521" s="111"/>
      <c r="E1521" s="33"/>
      <c r="F1521" s="104"/>
      <c r="H1521" s="115"/>
      <c r="I1521" s="26"/>
      <c r="J1521" s="98"/>
      <c r="K1521" s="36"/>
      <c r="L1521" s="26"/>
      <c r="M1521" s="26"/>
      <c r="N1521" s="26"/>
      <c r="O1521" s="93"/>
      <c r="P1521" s="95"/>
      <c r="Q1521" s="196"/>
    </row>
    <row r="1522" spans="3:17" x14ac:dyDescent="0.25">
      <c r="C1522" s="198"/>
      <c r="D1522" s="111"/>
      <c r="E1522" s="33"/>
      <c r="F1522" s="104"/>
      <c r="H1522" s="115"/>
      <c r="I1522" s="26"/>
      <c r="J1522" s="98"/>
      <c r="K1522" s="36"/>
      <c r="L1522" s="26"/>
      <c r="M1522" s="26"/>
      <c r="N1522" s="26"/>
      <c r="O1522" s="93"/>
      <c r="P1522" s="95"/>
      <c r="Q1522" s="196"/>
    </row>
    <row r="1523" spans="3:17" x14ac:dyDescent="0.25">
      <c r="C1523" s="198"/>
      <c r="D1523" s="111"/>
      <c r="E1523" s="33"/>
      <c r="F1523" s="104"/>
      <c r="H1523" s="115"/>
      <c r="I1523" s="26"/>
      <c r="J1523" s="98"/>
      <c r="K1523" s="36"/>
      <c r="L1523" s="26"/>
      <c r="M1523" s="26"/>
      <c r="N1523" s="26"/>
      <c r="O1523" s="93"/>
      <c r="P1523" s="95"/>
      <c r="Q1523" s="196"/>
    </row>
    <row r="1524" spans="3:17" x14ac:dyDescent="0.25">
      <c r="C1524" s="198"/>
      <c r="D1524" s="111"/>
      <c r="E1524" s="33"/>
      <c r="F1524" s="104"/>
      <c r="H1524" s="115"/>
      <c r="I1524" s="26"/>
      <c r="J1524" s="98"/>
      <c r="K1524" s="36"/>
      <c r="L1524" s="26"/>
      <c r="M1524" s="26"/>
      <c r="N1524" s="26"/>
      <c r="O1524" s="93"/>
      <c r="P1524" s="95"/>
      <c r="Q1524" s="196"/>
    </row>
    <row r="1525" spans="3:17" x14ac:dyDescent="0.25">
      <c r="C1525" s="198"/>
      <c r="D1525" s="111"/>
      <c r="E1525" s="33"/>
      <c r="F1525" s="104"/>
      <c r="H1525" s="115"/>
      <c r="I1525" s="26"/>
      <c r="J1525" s="98"/>
      <c r="K1525" s="36"/>
      <c r="L1525" s="26"/>
      <c r="M1525" s="26"/>
      <c r="N1525" s="26"/>
      <c r="O1525" s="93"/>
      <c r="P1525" s="95"/>
      <c r="Q1525" s="196"/>
    </row>
    <row r="1526" spans="3:17" x14ac:dyDescent="0.25">
      <c r="C1526" s="198"/>
      <c r="D1526" s="111"/>
      <c r="E1526" s="33"/>
      <c r="F1526" s="104"/>
      <c r="H1526" s="115"/>
      <c r="I1526" s="26"/>
      <c r="J1526" s="98"/>
      <c r="K1526" s="36"/>
      <c r="L1526" s="26"/>
      <c r="M1526" s="26"/>
      <c r="N1526" s="26"/>
      <c r="O1526" s="93"/>
      <c r="P1526" s="95"/>
      <c r="Q1526" s="196"/>
    </row>
    <row r="1527" spans="3:17" x14ac:dyDescent="0.25">
      <c r="C1527" s="198"/>
      <c r="D1527" s="111"/>
      <c r="E1527" s="33"/>
      <c r="F1527" s="104"/>
      <c r="H1527" s="115"/>
      <c r="I1527" s="26"/>
      <c r="J1527" s="98"/>
      <c r="K1527" s="36"/>
      <c r="L1527" s="26"/>
      <c r="M1527" s="26"/>
      <c r="N1527" s="26"/>
      <c r="O1527" s="93"/>
      <c r="P1527" s="95"/>
      <c r="Q1527" s="196"/>
    </row>
    <row r="1528" spans="3:17" x14ac:dyDescent="0.25">
      <c r="C1528" s="198"/>
      <c r="D1528" s="111"/>
      <c r="E1528" s="33"/>
      <c r="F1528" s="104"/>
      <c r="H1528" s="115"/>
      <c r="I1528" s="26"/>
      <c r="J1528" s="98"/>
      <c r="K1528" s="36"/>
      <c r="L1528" s="26"/>
      <c r="M1528" s="26"/>
      <c r="N1528" s="26"/>
      <c r="O1528" s="93"/>
      <c r="P1528" s="95"/>
      <c r="Q1528" s="196"/>
    </row>
    <row r="1529" spans="3:17" x14ac:dyDescent="0.25">
      <c r="C1529" s="198"/>
      <c r="D1529" s="111"/>
      <c r="E1529" s="33"/>
      <c r="F1529" s="104"/>
      <c r="H1529" s="115"/>
      <c r="I1529" s="26"/>
      <c r="J1529" s="98"/>
      <c r="K1529" s="36"/>
      <c r="L1529" s="26"/>
      <c r="M1529" s="26"/>
      <c r="N1529" s="26"/>
      <c r="O1529" s="93"/>
      <c r="P1529" s="95"/>
      <c r="Q1529" s="196"/>
    </row>
    <row r="1530" spans="3:17" x14ac:dyDescent="0.25">
      <c r="C1530" s="198"/>
      <c r="D1530" s="111"/>
      <c r="E1530" s="33"/>
      <c r="F1530" s="104"/>
      <c r="H1530" s="115"/>
      <c r="I1530" s="26"/>
      <c r="J1530" s="98"/>
      <c r="K1530" s="36"/>
      <c r="L1530" s="26"/>
      <c r="M1530" s="26"/>
      <c r="N1530" s="26"/>
      <c r="O1530" s="93"/>
      <c r="P1530" s="95"/>
      <c r="Q1530" s="196"/>
    </row>
    <row r="1531" spans="3:17" x14ac:dyDescent="0.25">
      <c r="C1531" s="198"/>
      <c r="D1531" s="111"/>
      <c r="E1531" s="33"/>
      <c r="F1531" s="104"/>
      <c r="H1531" s="115"/>
      <c r="I1531" s="26"/>
      <c r="J1531" s="98"/>
      <c r="K1531" s="36"/>
      <c r="L1531" s="26"/>
      <c r="M1531" s="26"/>
      <c r="N1531" s="26"/>
      <c r="O1531" s="93"/>
      <c r="P1531" s="95"/>
      <c r="Q1531" s="196"/>
    </row>
    <row r="1532" spans="3:17" x14ac:dyDescent="0.25">
      <c r="C1532" s="198"/>
      <c r="D1532" s="111"/>
      <c r="E1532" s="33"/>
      <c r="F1532" s="104"/>
      <c r="H1532" s="115"/>
      <c r="I1532" s="26"/>
      <c r="J1532" s="98"/>
      <c r="K1532" s="36"/>
      <c r="L1532" s="26"/>
      <c r="M1532" s="26"/>
      <c r="N1532" s="26"/>
      <c r="O1532" s="93"/>
      <c r="P1532" s="95"/>
      <c r="Q1532" s="196"/>
    </row>
    <row r="1533" spans="3:17" x14ac:dyDescent="0.25">
      <c r="C1533" s="198"/>
      <c r="D1533" s="111"/>
      <c r="E1533" s="33"/>
      <c r="F1533" s="104"/>
      <c r="H1533" s="115"/>
      <c r="I1533" s="26"/>
      <c r="J1533" s="98"/>
      <c r="K1533" s="36"/>
      <c r="L1533" s="26"/>
      <c r="M1533" s="26"/>
      <c r="N1533" s="26"/>
      <c r="O1533" s="93"/>
      <c r="P1533" s="95"/>
      <c r="Q1533" s="196"/>
    </row>
    <row r="1534" spans="3:17" x14ac:dyDescent="0.25">
      <c r="C1534" s="198"/>
      <c r="D1534" s="111"/>
      <c r="E1534" s="33"/>
      <c r="F1534" s="104"/>
      <c r="H1534" s="115"/>
      <c r="I1534" s="26"/>
      <c r="J1534" s="98"/>
      <c r="K1534" s="36"/>
      <c r="L1534" s="26"/>
      <c r="M1534" s="26"/>
      <c r="N1534" s="26"/>
      <c r="O1534" s="93"/>
      <c r="P1534" s="95"/>
      <c r="Q1534" s="196"/>
    </row>
    <row r="1535" spans="3:17" x14ac:dyDescent="0.25">
      <c r="C1535" s="198"/>
      <c r="D1535" s="111"/>
      <c r="E1535" s="33"/>
      <c r="F1535" s="104"/>
      <c r="H1535" s="115"/>
      <c r="I1535" s="26"/>
      <c r="J1535" s="98"/>
      <c r="K1535" s="36"/>
      <c r="L1535" s="26"/>
      <c r="M1535" s="26"/>
      <c r="N1535" s="26"/>
      <c r="O1535" s="93"/>
      <c r="P1535" s="95"/>
      <c r="Q1535" s="196"/>
    </row>
    <row r="1536" spans="3:17" x14ac:dyDescent="0.25">
      <c r="C1536" s="198"/>
      <c r="D1536" s="111"/>
      <c r="E1536" s="33"/>
      <c r="F1536" s="104"/>
      <c r="H1536" s="115"/>
      <c r="I1536" s="26"/>
      <c r="J1536" s="98"/>
      <c r="K1536" s="36"/>
      <c r="L1536" s="26"/>
      <c r="M1536" s="26"/>
      <c r="N1536" s="26"/>
      <c r="O1536" s="93"/>
      <c r="P1536" s="95"/>
      <c r="Q1536" s="196"/>
    </row>
    <row r="1537" spans="3:17" x14ac:dyDescent="0.25">
      <c r="C1537" s="198"/>
      <c r="D1537" s="111"/>
      <c r="E1537" s="33"/>
      <c r="F1537" s="104"/>
      <c r="H1537" s="115"/>
      <c r="I1537" s="26"/>
      <c r="J1537" s="98"/>
      <c r="K1537" s="36"/>
      <c r="L1537" s="26"/>
      <c r="M1537" s="26"/>
      <c r="N1537" s="26"/>
      <c r="O1537" s="93"/>
      <c r="P1537" s="95"/>
      <c r="Q1537" s="196"/>
    </row>
    <row r="1538" spans="3:17" x14ac:dyDescent="0.25">
      <c r="C1538" s="198"/>
      <c r="D1538" s="111"/>
      <c r="E1538" s="33"/>
      <c r="F1538" s="104"/>
      <c r="H1538" s="115"/>
      <c r="I1538" s="26"/>
      <c r="J1538" s="98"/>
      <c r="K1538" s="36"/>
      <c r="L1538" s="26"/>
      <c r="M1538" s="26"/>
      <c r="N1538" s="26"/>
      <c r="O1538" s="93"/>
      <c r="P1538" s="95"/>
      <c r="Q1538" s="196"/>
    </row>
    <row r="1539" spans="3:17" x14ac:dyDescent="0.25">
      <c r="C1539" s="198"/>
      <c r="D1539" s="111"/>
      <c r="E1539" s="33"/>
      <c r="F1539" s="104"/>
      <c r="H1539" s="115"/>
      <c r="I1539" s="26"/>
      <c r="J1539" s="98"/>
      <c r="K1539" s="36"/>
      <c r="L1539" s="26"/>
      <c r="M1539" s="26"/>
      <c r="N1539" s="26"/>
      <c r="O1539" s="93"/>
      <c r="P1539" s="95"/>
      <c r="Q1539" s="196"/>
    </row>
    <row r="1540" spans="3:17" x14ac:dyDescent="0.25">
      <c r="C1540" s="198"/>
      <c r="D1540" s="111"/>
      <c r="E1540" s="33"/>
      <c r="F1540" s="104"/>
      <c r="H1540" s="115"/>
      <c r="I1540" s="26"/>
      <c r="J1540" s="98"/>
      <c r="K1540" s="36"/>
      <c r="L1540" s="26"/>
      <c r="M1540" s="26"/>
      <c r="N1540" s="26"/>
      <c r="O1540" s="93"/>
      <c r="P1540" s="95"/>
      <c r="Q1540" s="196"/>
    </row>
    <row r="1541" spans="3:17" x14ac:dyDescent="0.25">
      <c r="C1541" s="198"/>
      <c r="D1541" s="111"/>
      <c r="E1541" s="33"/>
      <c r="F1541" s="104"/>
      <c r="H1541" s="115"/>
      <c r="I1541" s="26"/>
      <c r="J1541" s="98"/>
      <c r="K1541" s="36"/>
      <c r="L1541" s="26"/>
      <c r="M1541" s="26"/>
      <c r="N1541" s="26"/>
      <c r="O1541" s="93"/>
      <c r="P1541" s="95"/>
      <c r="Q1541" s="196"/>
    </row>
    <row r="1542" spans="3:17" x14ac:dyDescent="0.25">
      <c r="C1542" s="198"/>
      <c r="D1542" s="111"/>
      <c r="E1542" s="33"/>
      <c r="F1542" s="104"/>
      <c r="H1542" s="115"/>
      <c r="I1542" s="26"/>
      <c r="J1542" s="98"/>
      <c r="K1542" s="36"/>
      <c r="L1542" s="26"/>
      <c r="M1542" s="26"/>
      <c r="N1542" s="26"/>
      <c r="O1542" s="93"/>
      <c r="P1542" s="95"/>
      <c r="Q1542" s="196"/>
    </row>
    <row r="1543" spans="3:17" x14ac:dyDescent="0.25">
      <c r="C1543" s="198"/>
      <c r="D1543" s="111"/>
      <c r="E1543" s="33"/>
      <c r="F1543" s="104"/>
      <c r="H1543" s="115"/>
      <c r="I1543" s="26"/>
      <c r="J1543" s="98"/>
      <c r="K1543" s="36"/>
      <c r="L1543" s="26"/>
      <c r="M1543" s="26"/>
      <c r="N1543" s="26"/>
      <c r="O1543" s="93"/>
      <c r="P1543" s="95"/>
      <c r="Q1543" s="196"/>
    </row>
    <row r="1544" spans="3:17" x14ac:dyDescent="0.25">
      <c r="C1544" s="198"/>
      <c r="D1544" s="111"/>
      <c r="E1544" s="33"/>
      <c r="F1544" s="104"/>
      <c r="H1544" s="115"/>
      <c r="I1544" s="26"/>
      <c r="J1544" s="98"/>
      <c r="K1544" s="36"/>
      <c r="L1544" s="26"/>
      <c r="M1544" s="26"/>
      <c r="N1544" s="26"/>
      <c r="O1544" s="93"/>
      <c r="P1544" s="95"/>
      <c r="Q1544" s="196"/>
    </row>
    <row r="1545" spans="3:17" x14ac:dyDescent="0.25">
      <c r="C1545" s="198"/>
      <c r="D1545" s="111"/>
      <c r="E1545" s="33"/>
      <c r="F1545" s="104"/>
      <c r="H1545" s="115"/>
      <c r="I1545" s="26"/>
      <c r="J1545" s="98"/>
      <c r="K1545" s="36"/>
      <c r="L1545" s="26"/>
      <c r="M1545" s="26"/>
      <c r="N1545" s="26"/>
      <c r="O1545" s="93"/>
      <c r="P1545" s="95"/>
      <c r="Q1545" s="196"/>
    </row>
    <row r="1546" spans="3:17" x14ac:dyDescent="0.25">
      <c r="C1546" s="198"/>
      <c r="D1546" s="111"/>
      <c r="E1546" s="33"/>
      <c r="F1546" s="104"/>
      <c r="H1546" s="115"/>
      <c r="I1546" s="26"/>
      <c r="J1546" s="98"/>
      <c r="K1546" s="36"/>
      <c r="L1546" s="26"/>
      <c r="M1546" s="26"/>
      <c r="N1546" s="26"/>
      <c r="O1546" s="93"/>
      <c r="P1546" s="95"/>
      <c r="Q1546" s="196"/>
    </row>
    <row r="1547" spans="3:17" x14ac:dyDescent="0.25">
      <c r="C1547" s="198"/>
      <c r="D1547" s="111"/>
      <c r="E1547" s="33"/>
      <c r="F1547" s="104"/>
      <c r="H1547" s="115"/>
      <c r="I1547" s="26"/>
      <c r="J1547" s="98"/>
      <c r="K1547" s="36"/>
      <c r="L1547" s="26"/>
      <c r="M1547" s="26"/>
      <c r="N1547" s="26"/>
      <c r="O1547" s="93"/>
      <c r="P1547" s="95"/>
      <c r="Q1547" s="196"/>
    </row>
    <row r="1548" spans="3:17" x14ac:dyDescent="0.25">
      <c r="C1548" s="198"/>
      <c r="D1548" s="111"/>
      <c r="E1548" s="33"/>
      <c r="F1548" s="104"/>
      <c r="H1548" s="115"/>
      <c r="I1548" s="26"/>
      <c r="J1548" s="98"/>
      <c r="K1548" s="36"/>
      <c r="L1548" s="26"/>
      <c r="M1548" s="26"/>
      <c r="N1548" s="26"/>
      <c r="O1548" s="93"/>
      <c r="P1548" s="95"/>
      <c r="Q1548" s="196"/>
    </row>
    <row r="1549" spans="3:17" x14ac:dyDescent="0.25">
      <c r="C1549" s="198"/>
      <c r="D1549" s="111"/>
      <c r="E1549" s="33"/>
      <c r="F1549" s="104"/>
      <c r="H1549" s="115"/>
      <c r="I1549" s="26"/>
      <c r="J1549" s="98"/>
      <c r="K1549" s="36"/>
      <c r="L1549" s="26"/>
      <c r="M1549" s="26"/>
      <c r="N1549" s="26"/>
      <c r="O1549" s="93"/>
      <c r="P1549" s="95"/>
      <c r="Q1549" s="196"/>
    </row>
    <row r="1550" spans="3:17" x14ac:dyDescent="0.25">
      <c r="C1550" s="198"/>
      <c r="D1550" s="111"/>
      <c r="E1550" s="33"/>
      <c r="F1550" s="104"/>
      <c r="H1550" s="115"/>
      <c r="I1550" s="26"/>
      <c r="J1550" s="98"/>
      <c r="K1550" s="36"/>
      <c r="L1550" s="26"/>
      <c r="M1550" s="26"/>
      <c r="N1550" s="26"/>
      <c r="O1550" s="93"/>
      <c r="P1550" s="95"/>
      <c r="Q1550" s="196"/>
    </row>
    <row r="1551" spans="3:17" x14ac:dyDescent="0.25">
      <c r="C1551" s="198"/>
      <c r="D1551" s="111"/>
      <c r="E1551" s="33"/>
      <c r="F1551" s="104"/>
      <c r="H1551" s="115"/>
      <c r="I1551" s="26"/>
      <c r="J1551" s="98"/>
      <c r="K1551" s="36"/>
      <c r="L1551" s="26"/>
      <c r="M1551" s="26"/>
      <c r="N1551" s="26"/>
      <c r="O1551" s="93"/>
      <c r="P1551" s="95"/>
      <c r="Q1551" s="196"/>
    </row>
    <row r="1552" spans="3:17" x14ac:dyDescent="0.25">
      <c r="C1552" s="198"/>
      <c r="D1552" s="111"/>
      <c r="E1552" s="33"/>
      <c r="F1552" s="104"/>
      <c r="H1552" s="115"/>
      <c r="I1552" s="26"/>
      <c r="J1552" s="98"/>
      <c r="K1552" s="36"/>
      <c r="L1552" s="26"/>
      <c r="M1552" s="26"/>
      <c r="N1552" s="26"/>
      <c r="O1552" s="93"/>
      <c r="P1552" s="95"/>
      <c r="Q1552" s="196"/>
    </row>
    <row r="1553" spans="3:17" x14ac:dyDescent="0.25">
      <c r="C1553" s="198"/>
      <c r="D1553" s="111"/>
      <c r="E1553" s="33"/>
      <c r="F1553" s="104"/>
      <c r="H1553" s="115"/>
      <c r="I1553" s="26"/>
      <c r="J1553" s="98"/>
      <c r="K1553" s="36"/>
      <c r="L1553" s="26"/>
      <c r="M1553" s="26"/>
      <c r="N1553" s="26"/>
      <c r="O1553" s="93"/>
      <c r="P1553" s="95"/>
      <c r="Q1553" s="196"/>
    </row>
    <row r="1554" spans="3:17" x14ac:dyDescent="0.25">
      <c r="C1554" s="198"/>
      <c r="D1554" s="111"/>
      <c r="E1554" s="33"/>
      <c r="F1554" s="104"/>
      <c r="H1554" s="115"/>
      <c r="I1554" s="26"/>
      <c r="J1554" s="98"/>
      <c r="K1554" s="36"/>
      <c r="L1554" s="26"/>
      <c r="M1554" s="26"/>
      <c r="N1554" s="26"/>
      <c r="O1554" s="93"/>
      <c r="P1554" s="95"/>
      <c r="Q1554" s="196"/>
    </row>
    <row r="1555" spans="3:17" x14ac:dyDescent="0.25">
      <c r="C1555" s="198"/>
      <c r="D1555" s="111"/>
      <c r="E1555" s="33"/>
      <c r="F1555" s="104"/>
      <c r="H1555" s="115"/>
      <c r="I1555" s="26"/>
      <c r="J1555" s="98"/>
      <c r="K1555" s="36"/>
      <c r="L1555" s="26"/>
      <c r="M1555" s="26"/>
      <c r="N1555" s="26"/>
      <c r="O1555" s="93"/>
      <c r="P1555" s="95"/>
      <c r="Q1555" s="196"/>
    </row>
    <row r="1556" spans="3:17" x14ac:dyDescent="0.25">
      <c r="C1556" s="198"/>
      <c r="D1556" s="111"/>
      <c r="E1556" s="33"/>
      <c r="F1556" s="104"/>
      <c r="H1556" s="115"/>
      <c r="I1556" s="26"/>
      <c r="J1556" s="98"/>
      <c r="K1556" s="36"/>
      <c r="L1556" s="26"/>
      <c r="M1556" s="26"/>
      <c r="N1556" s="26"/>
      <c r="O1556" s="93"/>
      <c r="P1556" s="95"/>
      <c r="Q1556" s="196"/>
    </row>
    <row r="1557" spans="3:17" x14ac:dyDescent="0.25">
      <c r="C1557" s="198"/>
      <c r="D1557" s="111"/>
      <c r="E1557" s="33"/>
      <c r="F1557" s="104"/>
      <c r="H1557" s="115"/>
      <c r="I1557" s="26"/>
      <c r="J1557" s="98"/>
      <c r="K1557" s="36"/>
      <c r="L1557" s="26"/>
      <c r="M1557" s="26"/>
      <c r="N1557" s="26"/>
      <c r="O1557" s="93"/>
      <c r="P1557" s="95"/>
      <c r="Q1557" s="196"/>
    </row>
    <row r="1558" spans="3:17" x14ac:dyDescent="0.25">
      <c r="C1558" s="198"/>
      <c r="D1558" s="111"/>
      <c r="E1558" s="33"/>
      <c r="F1558" s="104"/>
      <c r="H1558" s="115"/>
      <c r="I1558" s="26"/>
      <c r="J1558" s="98"/>
      <c r="K1558" s="36"/>
      <c r="L1558" s="26"/>
      <c r="M1558" s="26"/>
      <c r="N1558" s="26"/>
      <c r="O1558" s="93"/>
      <c r="P1558" s="95"/>
      <c r="Q1558" s="196"/>
    </row>
    <row r="1559" spans="3:17" x14ac:dyDescent="0.25">
      <c r="C1559" s="198"/>
      <c r="D1559" s="111"/>
      <c r="E1559" s="33"/>
      <c r="F1559" s="104"/>
      <c r="H1559" s="115"/>
      <c r="I1559" s="26"/>
      <c r="J1559" s="98"/>
      <c r="K1559" s="36"/>
      <c r="L1559" s="26"/>
      <c r="M1559" s="26"/>
      <c r="N1559" s="26"/>
      <c r="O1559" s="93"/>
      <c r="P1559" s="95"/>
      <c r="Q1559" s="196"/>
    </row>
    <row r="1560" spans="3:17" x14ac:dyDescent="0.25">
      <c r="C1560" s="198"/>
      <c r="D1560" s="111"/>
      <c r="E1560" s="33"/>
      <c r="F1560" s="104"/>
      <c r="H1560" s="115"/>
      <c r="I1560" s="26"/>
      <c r="J1560" s="98"/>
      <c r="K1560" s="36"/>
      <c r="L1560" s="26"/>
      <c r="M1560" s="26"/>
      <c r="N1560" s="26"/>
      <c r="O1560" s="93"/>
      <c r="P1560" s="95"/>
      <c r="Q1560" s="196"/>
    </row>
    <row r="1561" spans="3:17" x14ac:dyDescent="0.25">
      <c r="C1561" s="198"/>
      <c r="D1561" s="111"/>
      <c r="E1561" s="33"/>
      <c r="F1561" s="104"/>
      <c r="H1561" s="115"/>
      <c r="I1561" s="26"/>
      <c r="J1561" s="98"/>
      <c r="K1561" s="36"/>
      <c r="L1561" s="26"/>
      <c r="M1561" s="26"/>
      <c r="N1561" s="26"/>
      <c r="O1561" s="93"/>
      <c r="P1561" s="95"/>
      <c r="Q1561" s="196"/>
    </row>
    <row r="1562" spans="3:17" x14ac:dyDescent="0.25">
      <c r="C1562" s="198"/>
      <c r="D1562" s="111"/>
      <c r="E1562" s="33"/>
      <c r="F1562" s="104"/>
      <c r="H1562" s="115"/>
      <c r="I1562" s="26"/>
      <c r="J1562" s="98"/>
      <c r="K1562" s="36"/>
      <c r="L1562" s="26"/>
      <c r="M1562" s="26"/>
      <c r="N1562" s="26"/>
      <c r="O1562" s="93"/>
      <c r="P1562" s="95"/>
      <c r="Q1562" s="196"/>
    </row>
    <row r="1563" spans="3:17" x14ac:dyDescent="0.25">
      <c r="C1563" s="198"/>
      <c r="D1563" s="111"/>
      <c r="E1563" s="33"/>
      <c r="F1563" s="104"/>
      <c r="H1563" s="115"/>
      <c r="I1563" s="26"/>
      <c r="J1563" s="98"/>
      <c r="K1563" s="36"/>
      <c r="L1563" s="26"/>
      <c r="M1563" s="26"/>
      <c r="N1563" s="26"/>
      <c r="O1563" s="93"/>
      <c r="P1563" s="95"/>
      <c r="Q1563" s="196"/>
    </row>
    <row r="1564" spans="3:17" x14ac:dyDescent="0.25">
      <c r="C1564" s="198"/>
      <c r="D1564" s="111"/>
      <c r="E1564" s="33"/>
      <c r="F1564" s="104"/>
      <c r="H1564" s="115"/>
      <c r="I1564" s="26"/>
      <c r="J1564" s="98"/>
      <c r="K1564" s="36"/>
      <c r="L1564" s="26"/>
      <c r="M1564" s="26"/>
      <c r="N1564" s="26"/>
      <c r="O1564" s="93"/>
      <c r="P1564" s="95"/>
      <c r="Q1564" s="196"/>
    </row>
    <row r="1565" spans="3:17" x14ac:dyDescent="0.25">
      <c r="C1565" s="198"/>
      <c r="D1565" s="111"/>
      <c r="E1565" s="33"/>
      <c r="F1565" s="104"/>
      <c r="H1565" s="115"/>
      <c r="I1565" s="26"/>
      <c r="J1565" s="98"/>
      <c r="K1565" s="36"/>
      <c r="L1565" s="26"/>
      <c r="M1565" s="26"/>
      <c r="N1565" s="26"/>
      <c r="O1565" s="93"/>
      <c r="P1565" s="95"/>
      <c r="Q1565" s="196"/>
    </row>
    <row r="1566" spans="3:17" x14ac:dyDescent="0.25">
      <c r="C1566" s="198"/>
      <c r="D1566" s="111"/>
      <c r="E1566" s="33"/>
      <c r="F1566" s="104"/>
      <c r="H1566" s="115"/>
      <c r="I1566" s="26"/>
      <c r="J1566" s="98"/>
      <c r="K1566" s="36"/>
      <c r="L1566" s="26"/>
      <c r="M1566" s="26"/>
      <c r="N1566" s="26"/>
      <c r="O1566" s="93"/>
      <c r="P1566" s="95"/>
      <c r="Q1566" s="196"/>
    </row>
    <row r="1567" spans="3:17" x14ac:dyDescent="0.25">
      <c r="C1567" s="198"/>
      <c r="D1567" s="111"/>
      <c r="E1567" s="33"/>
      <c r="F1567" s="104"/>
      <c r="H1567" s="115"/>
      <c r="I1567" s="26"/>
      <c r="J1567" s="98"/>
      <c r="K1567" s="36"/>
      <c r="L1567" s="26"/>
      <c r="M1567" s="26"/>
      <c r="N1567" s="26"/>
      <c r="O1567" s="93"/>
      <c r="P1567" s="95"/>
      <c r="Q1567" s="196"/>
    </row>
    <row r="1568" spans="3:17" x14ac:dyDescent="0.25">
      <c r="C1568" s="198"/>
      <c r="D1568" s="111"/>
      <c r="E1568" s="33"/>
      <c r="F1568" s="104"/>
      <c r="H1568" s="115"/>
      <c r="I1568" s="26"/>
      <c r="J1568" s="98"/>
      <c r="K1568" s="36"/>
      <c r="L1568" s="26"/>
      <c r="M1568" s="26"/>
      <c r="N1568" s="26"/>
      <c r="O1568" s="93"/>
      <c r="P1568" s="95"/>
      <c r="Q1568" s="196"/>
    </row>
    <row r="1569" spans="3:17" x14ac:dyDescent="0.25">
      <c r="C1569" s="198"/>
      <c r="D1569" s="111"/>
      <c r="E1569" s="33"/>
      <c r="F1569" s="104"/>
      <c r="H1569" s="115"/>
      <c r="I1569" s="26"/>
      <c r="J1569" s="98"/>
      <c r="K1569" s="36"/>
      <c r="L1569" s="26"/>
      <c r="M1569" s="26"/>
      <c r="N1569" s="26"/>
      <c r="O1569" s="93"/>
      <c r="P1569" s="95"/>
      <c r="Q1569" s="196"/>
    </row>
    <row r="1570" spans="3:17" x14ac:dyDescent="0.25">
      <c r="C1570" s="198"/>
      <c r="D1570" s="111"/>
      <c r="E1570" s="33"/>
      <c r="F1570" s="104"/>
      <c r="H1570" s="115"/>
      <c r="I1570" s="26"/>
      <c r="J1570" s="98"/>
      <c r="K1570" s="36"/>
      <c r="L1570" s="26"/>
      <c r="M1570" s="26"/>
      <c r="N1570" s="26"/>
      <c r="O1570" s="93"/>
      <c r="P1570" s="95"/>
      <c r="Q1570" s="196"/>
    </row>
    <row r="1571" spans="3:17" x14ac:dyDescent="0.25">
      <c r="C1571" s="198"/>
      <c r="D1571" s="111"/>
      <c r="E1571" s="33"/>
      <c r="F1571" s="104"/>
      <c r="H1571" s="115"/>
      <c r="I1571" s="26"/>
      <c r="J1571" s="98"/>
      <c r="K1571" s="36"/>
      <c r="L1571" s="26"/>
      <c r="M1571" s="26"/>
      <c r="N1571" s="26"/>
      <c r="O1571" s="93"/>
      <c r="P1571" s="95"/>
      <c r="Q1571" s="196"/>
    </row>
    <row r="1572" spans="3:17" x14ac:dyDescent="0.25">
      <c r="C1572" s="198"/>
      <c r="D1572" s="111"/>
      <c r="E1572" s="33"/>
      <c r="F1572" s="104"/>
      <c r="H1572" s="115"/>
      <c r="I1572" s="26"/>
      <c r="J1572" s="98"/>
      <c r="K1572" s="36"/>
      <c r="L1572" s="26"/>
      <c r="M1572" s="26"/>
      <c r="N1572" s="26"/>
      <c r="O1572" s="93"/>
      <c r="P1572" s="95"/>
      <c r="Q1572" s="196"/>
    </row>
    <row r="1573" spans="3:17" x14ac:dyDescent="0.25">
      <c r="C1573" s="198"/>
      <c r="D1573" s="111"/>
      <c r="E1573" s="33"/>
      <c r="F1573" s="104"/>
      <c r="H1573" s="115"/>
      <c r="I1573" s="26"/>
      <c r="J1573" s="98"/>
      <c r="K1573" s="36"/>
      <c r="L1573" s="26"/>
      <c r="M1573" s="26"/>
      <c r="N1573" s="26"/>
      <c r="O1573" s="93"/>
      <c r="P1573" s="95"/>
      <c r="Q1573" s="196"/>
    </row>
    <row r="1574" spans="3:17" x14ac:dyDescent="0.25">
      <c r="C1574" s="198"/>
      <c r="D1574" s="111"/>
      <c r="E1574" s="33"/>
      <c r="F1574" s="104"/>
      <c r="H1574" s="115"/>
      <c r="I1574" s="26"/>
      <c r="J1574" s="98"/>
      <c r="K1574" s="36"/>
      <c r="L1574" s="26"/>
      <c r="M1574" s="26"/>
      <c r="N1574" s="26"/>
      <c r="O1574" s="93"/>
      <c r="P1574" s="95"/>
      <c r="Q1574" s="196"/>
    </row>
    <row r="1575" spans="3:17" x14ac:dyDescent="0.25">
      <c r="C1575" s="198"/>
      <c r="D1575" s="111"/>
      <c r="E1575" s="33"/>
      <c r="F1575" s="104"/>
      <c r="H1575" s="115"/>
      <c r="I1575" s="26"/>
      <c r="J1575" s="98"/>
      <c r="K1575" s="36"/>
      <c r="L1575" s="26"/>
      <c r="M1575" s="26"/>
      <c r="N1575" s="26"/>
      <c r="O1575" s="93"/>
      <c r="P1575" s="95"/>
      <c r="Q1575" s="196"/>
    </row>
    <row r="1576" spans="3:17" x14ac:dyDescent="0.25">
      <c r="C1576" s="198"/>
      <c r="D1576" s="111"/>
      <c r="E1576" s="33"/>
      <c r="F1576" s="104"/>
      <c r="H1576" s="115"/>
      <c r="I1576" s="26"/>
      <c r="J1576" s="98"/>
      <c r="K1576" s="36"/>
      <c r="L1576" s="26"/>
      <c r="M1576" s="26"/>
      <c r="N1576" s="26"/>
      <c r="O1576" s="93"/>
      <c r="P1576" s="95"/>
      <c r="Q1576" s="196"/>
    </row>
    <row r="1577" spans="3:17" x14ac:dyDescent="0.25">
      <c r="C1577" s="198"/>
      <c r="D1577" s="111"/>
      <c r="E1577" s="33"/>
      <c r="F1577" s="104"/>
      <c r="H1577" s="115"/>
      <c r="I1577" s="26"/>
      <c r="J1577" s="98"/>
      <c r="K1577" s="36"/>
      <c r="L1577" s="26"/>
      <c r="M1577" s="26"/>
      <c r="N1577" s="26"/>
      <c r="O1577" s="93"/>
      <c r="P1577" s="95"/>
      <c r="Q1577" s="196"/>
    </row>
    <row r="1578" spans="3:17" x14ac:dyDescent="0.25">
      <c r="C1578" s="198"/>
      <c r="D1578" s="111"/>
      <c r="E1578" s="33"/>
      <c r="F1578" s="104"/>
      <c r="H1578" s="115"/>
      <c r="I1578" s="26"/>
      <c r="J1578" s="98"/>
      <c r="K1578" s="36"/>
      <c r="L1578" s="26"/>
      <c r="M1578" s="26"/>
      <c r="N1578" s="26"/>
      <c r="O1578" s="93"/>
      <c r="P1578" s="95"/>
      <c r="Q1578" s="196"/>
    </row>
    <row r="1579" spans="3:17" x14ac:dyDescent="0.25">
      <c r="C1579" s="198"/>
      <c r="D1579" s="111"/>
      <c r="E1579" s="33"/>
      <c r="F1579" s="104"/>
      <c r="H1579" s="115"/>
      <c r="I1579" s="26"/>
      <c r="J1579" s="98"/>
      <c r="K1579" s="36"/>
      <c r="L1579" s="26"/>
      <c r="M1579" s="26"/>
      <c r="N1579" s="26"/>
      <c r="O1579" s="93"/>
      <c r="P1579" s="95"/>
      <c r="Q1579" s="196"/>
    </row>
    <row r="1580" spans="3:17" x14ac:dyDescent="0.25">
      <c r="C1580" s="198"/>
      <c r="D1580" s="111"/>
      <c r="E1580" s="33"/>
      <c r="F1580" s="104"/>
      <c r="H1580" s="115"/>
      <c r="I1580" s="26"/>
      <c r="J1580" s="98"/>
      <c r="K1580" s="36"/>
      <c r="L1580" s="26"/>
      <c r="M1580" s="26"/>
      <c r="N1580" s="26"/>
      <c r="O1580" s="93"/>
      <c r="P1580" s="95"/>
      <c r="Q1580" s="196"/>
    </row>
    <row r="1581" spans="3:17" x14ac:dyDescent="0.25">
      <c r="C1581" s="198"/>
      <c r="D1581" s="111"/>
      <c r="E1581" s="33"/>
      <c r="F1581" s="104"/>
      <c r="H1581" s="115"/>
      <c r="I1581" s="26"/>
      <c r="J1581" s="98"/>
      <c r="K1581" s="36"/>
      <c r="L1581" s="26"/>
      <c r="M1581" s="26"/>
      <c r="N1581" s="26"/>
      <c r="O1581" s="93"/>
      <c r="P1581" s="95"/>
      <c r="Q1581" s="196"/>
    </row>
    <row r="1582" spans="3:17" x14ac:dyDescent="0.25">
      <c r="C1582" s="198"/>
      <c r="D1582" s="111"/>
      <c r="E1582" s="33"/>
      <c r="F1582" s="104"/>
      <c r="H1582" s="115"/>
      <c r="I1582" s="26"/>
      <c r="J1582" s="98"/>
      <c r="K1582" s="36"/>
      <c r="L1582" s="26"/>
      <c r="M1582" s="26"/>
      <c r="N1582" s="26"/>
      <c r="O1582" s="93"/>
      <c r="P1582" s="95"/>
      <c r="Q1582" s="196"/>
    </row>
    <row r="1583" spans="3:17" x14ac:dyDescent="0.25">
      <c r="C1583" s="198"/>
      <c r="D1583" s="111"/>
      <c r="E1583" s="33"/>
      <c r="F1583" s="104"/>
      <c r="H1583" s="115"/>
      <c r="I1583" s="26"/>
      <c r="J1583" s="98"/>
      <c r="K1583" s="36"/>
      <c r="L1583" s="26"/>
      <c r="M1583" s="26"/>
      <c r="N1583" s="26"/>
      <c r="O1583" s="93"/>
      <c r="P1583" s="95"/>
      <c r="Q1583" s="196"/>
    </row>
    <row r="1584" spans="3:17" x14ac:dyDescent="0.25">
      <c r="C1584" s="198"/>
      <c r="D1584" s="111"/>
      <c r="E1584" s="33"/>
      <c r="F1584" s="104"/>
      <c r="H1584" s="115"/>
      <c r="I1584" s="26"/>
      <c r="J1584" s="98"/>
      <c r="K1584" s="36"/>
      <c r="L1584" s="26"/>
      <c r="M1584" s="26"/>
      <c r="N1584" s="26"/>
      <c r="O1584" s="93"/>
      <c r="P1584" s="95"/>
      <c r="Q1584" s="196"/>
    </row>
    <row r="1585" spans="3:17" x14ac:dyDescent="0.25">
      <c r="C1585" s="198"/>
      <c r="D1585" s="111"/>
      <c r="E1585" s="33"/>
      <c r="F1585" s="104"/>
      <c r="H1585" s="115"/>
      <c r="I1585" s="26"/>
      <c r="J1585" s="98"/>
      <c r="K1585" s="36"/>
      <c r="L1585" s="26"/>
      <c r="M1585" s="26"/>
      <c r="N1585" s="26"/>
      <c r="O1585" s="93"/>
      <c r="P1585" s="95"/>
      <c r="Q1585" s="196"/>
    </row>
    <row r="1586" spans="3:17" x14ac:dyDescent="0.25">
      <c r="C1586" s="198"/>
      <c r="D1586" s="111"/>
      <c r="E1586" s="33"/>
      <c r="F1586" s="104"/>
      <c r="H1586" s="115"/>
      <c r="I1586" s="26"/>
      <c r="J1586" s="98"/>
      <c r="K1586" s="36"/>
      <c r="L1586" s="26"/>
      <c r="M1586" s="26"/>
      <c r="N1586" s="26"/>
      <c r="O1586" s="93"/>
      <c r="P1586" s="95"/>
      <c r="Q1586" s="196"/>
    </row>
    <row r="1587" spans="3:17" x14ac:dyDescent="0.25">
      <c r="C1587" s="198"/>
      <c r="D1587" s="111"/>
      <c r="E1587" s="33"/>
      <c r="F1587" s="104"/>
      <c r="H1587" s="115"/>
      <c r="I1587" s="26"/>
      <c r="J1587" s="98"/>
      <c r="K1587" s="36"/>
      <c r="L1587" s="26"/>
      <c r="M1587" s="26"/>
      <c r="N1587" s="26"/>
      <c r="O1587" s="93"/>
      <c r="P1587" s="95"/>
      <c r="Q1587" s="196"/>
    </row>
    <row r="1588" spans="3:17" x14ac:dyDescent="0.25">
      <c r="C1588" s="198"/>
      <c r="D1588" s="111"/>
      <c r="E1588" s="33"/>
      <c r="F1588" s="104"/>
      <c r="H1588" s="115"/>
      <c r="I1588" s="26"/>
      <c r="J1588" s="98"/>
      <c r="K1588" s="36"/>
      <c r="L1588" s="26"/>
      <c r="M1588" s="26"/>
      <c r="N1588" s="26"/>
      <c r="O1588" s="93"/>
      <c r="P1588" s="95"/>
      <c r="Q1588" s="196"/>
    </row>
    <row r="1589" spans="3:17" x14ac:dyDescent="0.25">
      <c r="C1589" s="198"/>
      <c r="D1589" s="111"/>
      <c r="E1589" s="33"/>
      <c r="F1589" s="104"/>
      <c r="H1589" s="115"/>
      <c r="I1589" s="26"/>
      <c r="J1589" s="98"/>
      <c r="K1589" s="36"/>
      <c r="L1589" s="26"/>
      <c r="M1589" s="26"/>
      <c r="N1589" s="26"/>
      <c r="O1589" s="93"/>
      <c r="P1589" s="95"/>
      <c r="Q1589" s="196"/>
    </row>
    <row r="1590" spans="3:17" x14ac:dyDescent="0.25">
      <c r="C1590" s="198"/>
      <c r="D1590" s="111"/>
      <c r="E1590" s="33"/>
      <c r="F1590" s="104"/>
      <c r="H1590" s="115"/>
      <c r="I1590" s="26"/>
      <c r="J1590" s="98"/>
      <c r="K1590" s="36"/>
      <c r="L1590" s="26"/>
      <c r="M1590" s="26"/>
      <c r="N1590" s="26"/>
      <c r="O1590" s="93"/>
      <c r="P1590" s="95"/>
      <c r="Q1590" s="196"/>
    </row>
    <row r="1591" spans="3:17" x14ac:dyDescent="0.25">
      <c r="C1591" s="198"/>
      <c r="D1591" s="111"/>
      <c r="E1591" s="33"/>
      <c r="F1591" s="104"/>
      <c r="H1591" s="115"/>
      <c r="I1591" s="26"/>
      <c r="J1591" s="98"/>
      <c r="K1591" s="36"/>
      <c r="L1591" s="26"/>
      <c r="M1591" s="26"/>
      <c r="N1591" s="26"/>
      <c r="O1591" s="93"/>
      <c r="P1591" s="95"/>
      <c r="Q1591" s="196"/>
    </row>
    <row r="1592" spans="3:17" x14ac:dyDescent="0.25">
      <c r="C1592" s="198"/>
      <c r="D1592" s="111"/>
      <c r="E1592" s="33"/>
      <c r="F1592" s="104"/>
      <c r="H1592" s="115"/>
      <c r="I1592" s="26"/>
      <c r="J1592" s="98"/>
      <c r="K1592" s="36"/>
      <c r="L1592" s="26"/>
      <c r="M1592" s="26"/>
      <c r="N1592" s="26"/>
      <c r="O1592" s="93"/>
      <c r="P1592" s="95"/>
      <c r="Q1592" s="196"/>
    </row>
    <row r="1593" spans="3:17" x14ac:dyDescent="0.25">
      <c r="C1593" s="198"/>
      <c r="D1593" s="111"/>
      <c r="E1593" s="33"/>
      <c r="F1593" s="104"/>
      <c r="H1593" s="115"/>
      <c r="I1593" s="26"/>
      <c r="J1593" s="98"/>
      <c r="K1593" s="36"/>
      <c r="L1593" s="26"/>
      <c r="M1593" s="26"/>
      <c r="N1593" s="26"/>
      <c r="O1593" s="93"/>
      <c r="P1593" s="95"/>
      <c r="Q1593" s="196"/>
    </row>
    <row r="1594" spans="3:17" x14ac:dyDescent="0.25">
      <c r="C1594" s="198"/>
      <c r="D1594" s="111"/>
      <c r="E1594" s="33"/>
      <c r="F1594" s="104"/>
      <c r="H1594" s="115"/>
      <c r="I1594" s="26"/>
      <c r="J1594" s="98"/>
      <c r="K1594" s="36"/>
      <c r="L1594" s="26"/>
      <c r="M1594" s="26"/>
      <c r="N1594" s="26"/>
      <c r="O1594" s="93"/>
      <c r="P1594" s="95"/>
      <c r="Q1594" s="196"/>
    </row>
    <row r="1595" spans="3:17" x14ac:dyDescent="0.25">
      <c r="C1595" s="198"/>
      <c r="D1595" s="111"/>
      <c r="E1595" s="33"/>
      <c r="F1595" s="104"/>
      <c r="H1595" s="115"/>
      <c r="I1595" s="26"/>
      <c r="J1595" s="98"/>
      <c r="K1595" s="36"/>
      <c r="L1595" s="26"/>
      <c r="M1595" s="26"/>
      <c r="N1595" s="26"/>
      <c r="O1595" s="93"/>
      <c r="P1595" s="95"/>
      <c r="Q1595" s="196"/>
    </row>
    <row r="1596" spans="3:17" x14ac:dyDescent="0.25">
      <c r="C1596" s="198"/>
      <c r="D1596" s="111"/>
      <c r="E1596" s="33"/>
      <c r="F1596" s="104"/>
      <c r="H1596" s="115"/>
      <c r="I1596" s="26"/>
      <c r="J1596" s="98"/>
      <c r="K1596" s="36"/>
      <c r="L1596" s="26"/>
      <c r="M1596" s="26"/>
      <c r="N1596" s="26"/>
      <c r="O1596" s="93"/>
      <c r="P1596" s="95"/>
      <c r="Q1596" s="196"/>
    </row>
    <row r="1597" spans="3:17" x14ac:dyDescent="0.25">
      <c r="C1597" s="198"/>
      <c r="D1597" s="111"/>
      <c r="E1597" s="33"/>
      <c r="F1597" s="104"/>
      <c r="H1597" s="115"/>
      <c r="I1597" s="26"/>
      <c r="J1597" s="98"/>
      <c r="K1597" s="36"/>
      <c r="L1597" s="26"/>
      <c r="M1597" s="26"/>
      <c r="N1597" s="26"/>
      <c r="O1597" s="93"/>
      <c r="P1597" s="95"/>
      <c r="Q1597" s="196"/>
    </row>
    <row r="1598" spans="3:17" x14ac:dyDescent="0.25">
      <c r="C1598" s="198"/>
      <c r="D1598" s="111"/>
      <c r="E1598" s="33"/>
      <c r="F1598" s="104"/>
      <c r="H1598" s="115"/>
      <c r="I1598" s="26"/>
      <c r="J1598" s="98"/>
      <c r="K1598" s="36"/>
      <c r="L1598" s="26"/>
      <c r="M1598" s="26"/>
      <c r="N1598" s="26"/>
      <c r="O1598" s="93"/>
      <c r="P1598" s="95"/>
      <c r="Q1598" s="196"/>
    </row>
    <row r="1599" spans="3:17" x14ac:dyDescent="0.25">
      <c r="C1599" s="198"/>
      <c r="D1599" s="111"/>
      <c r="E1599" s="33"/>
      <c r="F1599" s="104"/>
      <c r="H1599" s="115"/>
      <c r="I1599" s="26"/>
      <c r="J1599" s="98"/>
      <c r="K1599" s="36"/>
      <c r="L1599" s="26"/>
      <c r="M1599" s="26"/>
      <c r="N1599" s="26"/>
      <c r="O1599" s="93"/>
      <c r="P1599" s="95"/>
      <c r="Q1599" s="196"/>
    </row>
    <row r="1600" spans="3:17" x14ac:dyDescent="0.25">
      <c r="C1600" s="198"/>
      <c r="D1600" s="111"/>
      <c r="E1600" s="33"/>
      <c r="F1600" s="104"/>
      <c r="H1600" s="115"/>
      <c r="I1600" s="26"/>
      <c r="J1600" s="98"/>
      <c r="K1600" s="36"/>
      <c r="L1600" s="26"/>
      <c r="M1600" s="26"/>
      <c r="N1600" s="26"/>
      <c r="O1600" s="93"/>
      <c r="P1600" s="95"/>
      <c r="Q1600" s="196"/>
    </row>
    <row r="1601" spans="3:17" x14ac:dyDescent="0.25">
      <c r="C1601" s="198"/>
      <c r="D1601" s="111"/>
      <c r="E1601" s="33"/>
      <c r="F1601" s="104"/>
      <c r="H1601" s="115"/>
      <c r="I1601" s="26"/>
      <c r="J1601" s="98"/>
      <c r="K1601" s="36"/>
      <c r="L1601" s="26"/>
      <c r="M1601" s="26"/>
      <c r="N1601" s="26"/>
      <c r="O1601" s="93"/>
      <c r="P1601" s="95"/>
      <c r="Q1601" s="196"/>
    </row>
    <row r="1602" spans="3:17" x14ac:dyDescent="0.25">
      <c r="C1602" s="198"/>
      <c r="D1602" s="111"/>
      <c r="E1602" s="33"/>
      <c r="F1602" s="104"/>
      <c r="H1602" s="115"/>
      <c r="I1602" s="26"/>
      <c r="J1602" s="98"/>
      <c r="K1602" s="36"/>
      <c r="L1602" s="26"/>
      <c r="M1602" s="26"/>
      <c r="N1602" s="26"/>
      <c r="O1602" s="93"/>
      <c r="P1602" s="95"/>
      <c r="Q1602" s="196"/>
    </row>
    <row r="1603" spans="3:17" x14ac:dyDescent="0.25">
      <c r="C1603" s="198"/>
      <c r="D1603" s="111"/>
      <c r="E1603" s="33"/>
      <c r="F1603" s="104"/>
      <c r="H1603" s="115"/>
      <c r="I1603" s="26"/>
      <c r="J1603" s="98"/>
      <c r="K1603" s="36"/>
      <c r="L1603" s="26"/>
      <c r="M1603" s="26"/>
      <c r="N1603" s="26"/>
      <c r="O1603" s="93"/>
      <c r="P1603" s="95"/>
      <c r="Q1603" s="196"/>
    </row>
    <row r="1604" spans="3:17" x14ac:dyDescent="0.25">
      <c r="C1604" s="198"/>
      <c r="D1604" s="111"/>
      <c r="E1604" s="33"/>
      <c r="F1604" s="104"/>
      <c r="H1604" s="115"/>
      <c r="I1604" s="26"/>
      <c r="J1604" s="98"/>
      <c r="K1604" s="36"/>
      <c r="L1604" s="26"/>
      <c r="M1604" s="26"/>
      <c r="N1604" s="26"/>
      <c r="O1604" s="93"/>
      <c r="P1604" s="95"/>
      <c r="Q1604" s="196"/>
    </row>
    <row r="1605" spans="3:17" x14ac:dyDescent="0.25">
      <c r="C1605" s="198"/>
      <c r="D1605" s="111"/>
      <c r="E1605" s="33"/>
      <c r="F1605" s="104"/>
      <c r="H1605" s="115"/>
      <c r="I1605" s="26"/>
      <c r="J1605" s="98"/>
      <c r="K1605" s="36"/>
      <c r="L1605" s="26"/>
      <c r="M1605" s="26"/>
      <c r="N1605" s="26"/>
      <c r="O1605" s="93"/>
      <c r="P1605" s="95"/>
      <c r="Q1605" s="196"/>
    </row>
    <row r="1606" spans="3:17" x14ac:dyDescent="0.25">
      <c r="C1606" s="198"/>
      <c r="D1606" s="111"/>
      <c r="E1606" s="33"/>
      <c r="F1606" s="104"/>
      <c r="H1606" s="115"/>
      <c r="I1606" s="26"/>
      <c r="J1606" s="98"/>
      <c r="K1606" s="36"/>
      <c r="L1606" s="26"/>
      <c r="M1606" s="26"/>
      <c r="N1606" s="26"/>
      <c r="O1606" s="93"/>
      <c r="P1606" s="95"/>
      <c r="Q1606" s="196"/>
    </row>
    <row r="1607" spans="3:17" x14ac:dyDescent="0.25">
      <c r="C1607" s="198"/>
      <c r="D1607" s="111"/>
      <c r="E1607" s="33"/>
      <c r="F1607" s="104"/>
      <c r="H1607" s="115"/>
      <c r="I1607" s="26"/>
      <c r="J1607" s="98"/>
      <c r="K1607" s="36"/>
      <c r="L1607" s="26"/>
      <c r="M1607" s="26"/>
      <c r="N1607" s="26"/>
      <c r="O1607" s="93"/>
      <c r="P1607" s="95"/>
      <c r="Q1607" s="196"/>
    </row>
    <row r="1608" spans="3:17" x14ac:dyDescent="0.25">
      <c r="C1608" s="198"/>
      <c r="D1608" s="111"/>
      <c r="E1608" s="33"/>
      <c r="F1608" s="104"/>
      <c r="H1608" s="115"/>
      <c r="I1608" s="26"/>
      <c r="J1608" s="98"/>
      <c r="K1608" s="36"/>
      <c r="L1608" s="26"/>
      <c r="M1608" s="26"/>
      <c r="N1608" s="26"/>
      <c r="O1608" s="93"/>
      <c r="P1608" s="95"/>
      <c r="Q1608" s="196"/>
    </row>
    <row r="1609" spans="3:17" x14ac:dyDescent="0.25">
      <c r="C1609" s="198"/>
      <c r="D1609" s="111"/>
      <c r="E1609" s="33"/>
      <c r="F1609" s="104"/>
      <c r="H1609" s="115"/>
      <c r="I1609" s="26"/>
      <c r="J1609" s="98"/>
      <c r="K1609" s="36"/>
      <c r="L1609" s="26"/>
      <c r="M1609" s="26"/>
      <c r="N1609" s="26"/>
      <c r="O1609" s="93"/>
      <c r="P1609" s="95"/>
      <c r="Q1609" s="196"/>
    </row>
    <row r="1610" spans="3:17" x14ac:dyDescent="0.25">
      <c r="C1610" s="198"/>
      <c r="D1610" s="111"/>
      <c r="E1610" s="33"/>
      <c r="F1610" s="104"/>
      <c r="H1610" s="115"/>
      <c r="I1610" s="26"/>
      <c r="J1610" s="98"/>
      <c r="K1610" s="36"/>
      <c r="L1610" s="26"/>
      <c r="M1610" s="26"/>
      <c r="N1610" s="26"/>
      <c r="O1610" s="93"/>
      <c r="P1610" s="95"/>
      <c r="Q1610" s="196"/>
    </row>
    <row r="1611" spans="3:17" x14ac:dyDescent="0.25">
      <c r="C1611" s="198"/>
      <c r="D1611" s="111"/>
      <c r="E1611" s="33"/>
      <c r="F1611" s="104"/>
      <c r="H1611" s="115"/>
      <c r="I1611" s="26"/>
      <c r="J1611" s="98"/>
      <c r="K1611" s="36"/>
      <c r="L1611" s="26"/>
      <c r="M1611" s="26"/>
      <c r="N1611" s="26"/>
      <c r="O1611" s="93"/>
      <c r="P1611" s="95"/>
      <c r="Q1611" s="196"/>
    </row>
    <row r="1612" spans="3:17" x14ac:dyDescent="0.25">
      <c r="C1612" s="198"/>
      <c r="D1612" s="111"/>
      <c r="E1612" s="33"/>
      <c r="F1612" s="104"/>
      <c r="H1612" s="115"/>
      <c r="I1612" s="26"/>
      <c r="J1612" s="98"/>
      <c r="K1612" s="36"/>
      <c r="L1612" s="26"/>
      <c r="M1612" s="26"/>
      <c r="N1612" s="26"/>
      <c r="O1612" s="93"/>
      <c r="P1612" s="95"/>
      <c r="Q1612" s="196"/>
    </row>
    <row r="1613" spans="3:17" x14ac:dyDescent="0.25">
      <c r="C1613" s="198"/>
      <c r="D1613" s="111"/>
      <c r="E1613" s="33"/>
      <c r="F1613" s="104"/>
      <c r="H1613" s="115"/>
      <c r="I1613" s="26"/>
      <c r="J1613" s="98"/>
      <c r="K1613" s="36"/>
      <c r="L1613" s="26"/>
      <c r="M1613" s="26"/>
      <c r="N1613" s="26"/>
      <c r="O1613" s="93"/>
      <c r="P1613" s="95"/>
      <c r="Q1613" s="196"/>
    </row>
    <row r="1614" spans="3:17" x14ac:dyDescent="0.25">
      <c r="C1614" s="198"/>
      <c r="D1614" s="111"/>
      <c r="E1614" s="33"/>
      <c r="F1614" s="104"/>
      <c r="H1614" s="115"/>
      <c r="I1614" s="26"/>
      <c r="J1614" s="98"/>
      <c r="K1614" s="36"/>
      <c r="L1614" s="26"/>
      <c r="M1614" s="26"/>
      <c r="N1614" s="26"/>
      <c r="O1614" s="93"/>
      <c r="P1614" s="95"/>
      <c r="Q1614" s="196"/>
    </row>
    <row r="1615" spans="3:17" x14ac:dyDescent="0.25">
      <c r="C1615" s="198"/>
      <c r="D1615" s="111"/>
      <c r="E1615" s="33"/>
      <c r="F1615" s="104"/>
      <c r="H1615" s="115"/>
      <c r="I1615" s="26"/>
      <c r="J1615" s="98"/>
      <c r="K1615" s="36"/>
      <c r="L1615" s="26"/>
      <c r="M1615" s="26"/>
      <c r="N1615" s="26"/>
      <c r="O1615" s="93"/>
      <c r="P1615" s="95"/>
      <c r="Q1615" s="196"/>
    </row>
    <row r="1616" spans="3:17" x14ac:dyDescent="0.25">
      <c r="C1616" s="198"/>
      <c r="D1616" s="111"/>
      <c r="E1616" s="33"/>
      <c r="F1616" s="104"/>
      <c r="H1616" s="115"/>
      <c r="I1616" s="26"/>
      <c r="J1616" s="98"/>
      <c r="K1616" s="36"/>
      <c r="L1616" s="26"/>
      <c r="M1616" s="26"/>
      <c r="N1616" s="26"/>
      <c r="O1616" s="93"/>
      <c r="P1616" s="95"/>
      <c r="Q1616" s="196"/>
    </row>
    <row r="1617" spans="3:17" x14ac:dyDescent="0.25">
      <c r="C1617" s="198"/>
      <c r="D1617" s="111"/>
      <c r="E1617" s="33"/>
      <c r="F1617" s="104"/>
      <c r="H1617" s="115"/>
      <c r="I1617" s="26"/>
      <c r="J1617" s="98"/>
      <c r="K1617" s="36"/>
      <c r="L1617" s="26"/>
      <c r="M1617" s="26"/>
      <c r="N1617" s="26"/>
      <c r="O1617" s="93"/>
      <c r="P1617" s="95"/>
      <c r="Q1617" s="196"/>
    </row>
    <row r="1618" spans="3:17" x14ac:dyDescent="0.25">
      <c r="C1618" s="198"/>
      <c r="D1618" s="111"/>
      <c r="E1618" s="33"/>
      <c r="F1618" s="104"/>
      <c r="H1618" s="115"/>
      <c r="I1618" s="26"/>
      <c r="J1618" s="98"/>
      <c r="K1618" s="36"/>
      <c r="L1618" s="26"/>
      <c r="M1618" s="26"/>
      <c r="N1618" s="26"/>
      <c r="O1618" s="93"/>
      <c r="P1618" s="95"/>
      <c r="Q1618" s="196"/>
    </row>
    <row r="1619" spans="3:17" x14ac:dyDescent="0.25">
      <c r="C1619" s="198"/>
      <c r="D1619" s="111"/>
      <c r="E1619" s="33"/>
      <c r="F1619" s="104"/>
      <c r="H1619" s="115"/>
      <c r="I1619" s="26"/>
      <c r="J1619" s="98"/>
      <c r="K1619" s="36"/>
      <c r="L1619" s="26"/>
      <c r="M1619" s="26"/>
      <c r="N1619" s="26"/>
      <c r="O1619" s="93"/>
      <c r="P1619" s="95"/>
      <c r="Q1619" s="196"/>
    </row>
    <row r="1620" spans="3:17" x14ac:dyDescent="0.25">
      <c r="C1620" s="198"/>
      <c r="D1620" s="111"/>
      <c r="E1620" s="33"/>
      <c r="F1620" s="104"/>
      <c r="H1620" s="115"/>
      <c r="I1620" s="26"/>
      <c r="J1620" s="98"/>
      <c r="K1620" s="36"/>
      <c r="L1620" s="26"/>
      <c r="M1620" s="26"/>
      <c r="N1620" s="26"/>
      <c r="O1620" s="93"/>
      <c r="P1620" s="95"/>
      <c r="Q1620" s="196"/>
    </row>
    <row r="1621" spans="3:17" x14ac:dyDescent="0.25">
      <c r="C1621" s="198"/>
      <c r="D1621" s="111"/>
      <c r="E1621" s="33"/>
      <c r="F1621" s="104"/>
      <c r="H1621" s="115"/>
      <c r="I1621" s="26"/>
      <c r="J1621" s="98"/>
      <c r="K1621" s="36"/>
      <c r="L1621" s="26"/>
      <c r="M1621" s="26"/>
      <c r="N1621" s="26"/>
      <c r="O1621" s="93"/>
      <c r="P1621" s="95"/>
      <c r="Q1621" s="196"/>
    </row>
    <row r="1622" spans="3:17" x14ac:dyDescent="0.25">
      <c r="C1622" s="198"/>
      <c r="D1622" s="111"/>
      <c r="E1622" s="33"/>
      <c r="F1622" s="104"/>
      <c r="H1622" s="115"/>
      <c r="I1622" s="26"/>
      <c r="J1622" s="98"/>
      <c r="K1622" s="36"/>
      <c r="L1622" s="26"/>
      <c r="M1622" s="26"/>
      <c r="N1622" s="26"/>
      <c r="O1622" s="93"/>
      <c r="P1622" s="95"/>
      <c r="Q1622" s="196"/>
    </row>
    <row r="1623" spans="3:17" x14ac:dyDescent="0.25">
      <c r="C1623" s="198"/>
      <c r="D1623" s="111"/>
      <c r="E1623" s="33"/>
      <c r="F1623" s="104"/>
      <c r="H1623" s="115"/>
      <c r="I1623" s="26"/>
      <c r="J1623" s="98"/>
      <c r="K1623" s="36"/>
      <c r="L1623" s="26"/>
      <c r="M1623" s="26"/>
      <c r="N1623" s="26"/>
      <c r="O1623" s="93"/>
      <c r="P1623" s="95"/>
      <c r="Q1623" s="196"/>
    </row>
    <row r="1624" spans="3:17" x14ac:dyDescent="0.25">
      <c r="C1624" s="198"/>
      <c r="D1624" s="111"/>
      <c r="E1624" s="33"/>
      <c r="F1624" s="104"/>
      <c r="H1624" s="115"/>
      <c r="I1624" s="26"/>
      <c r="J1624" s="98"/>
      <c r="K1624" s="36"/>
      <c r="L1624" s="26"/>
      <c r="M1624" s="26"/>
      <c r="N1624" s="26"/>
      <c r="O1624" s="93"/>
      <c r="P1624" s="95"/>
      <c r="Q1624" s="196"/>
    </row>
    <row r="1625" spans="3:17" x14ac:dyDescent="0.25">
      <c r="C1625" s="198"/>
      <c r="D1625" s="111"/>
      <c r="E1625" s="33"/>
      <c r="F1625" s="104"/>
      <c r="H1625" s="115"/>
      <c r="I1625" s="26"/>
      <c r="J1625" s="98"/>
      <c r="K1625" s="36"/>
      <c r="L1625" s="26"/>
      <c r="M1625" s="26"/>
      <c r="N1625" s="26"/>
      <c r="O1625" s="93"/>
      <c r="P1625" s="95"/>
      <c r="Q1625" s="196"/>
    </row>
    <row r="1626" spans="3:17" x14ac:dyDescent="0.25">
      <c r="C1626" s="198"/>
      <c r="D1626" s="111"/>
      <c r="E1626" s="33"/>
      <c r="F1626" s="104"/>
      <c r="H1626" s="115"/>
      <c r="I1626" s="26"/>
      <c r="J1626" s="98"/>
      <c r="K1626" s="36"/>
      <c r="L1626" s="26"/>
      <c r="M1626" s="26"/>
      <c r="N1626" s="26"/>
      <c r="O1626" s="93"/>
      <c r="P1626" s="95"/>
      <c r="Q1626" s="196"/>
    </row>
    <row r="1627" spans="3:17" x14ac:dyDescent="0.25">
      <c r="C1627" s="198"/>
      <c r="D1627" s="111"/>
      <c r="E1627" s="33"/>
      <c r="F1627" s="104"/>
      <c r="H1627" s="115"/>
      <c r="I1627" s="26"/>
      <c r="J1627" s="98"/>
      <c r="K1627" s="36"/>
      <c r="L1627" s="26"/>
      <c r="M1627" s="26"/>
      <c r="N1627" s="26"/>
      <c r="O1627" s="93"/>
      <c r="P1627" s="95"/>
      <c r="Q1627" s="196"/>
    </row>
    <row r="1628" spans="3:17" x14ac:dyDescent="0.25">
      <c r="C1628" s="198"/>
      <c r="D1628" s="111"/>
      <c r="E1628" s="33"/>
      <c r="F1628" s="104"/>
      <c r="H1628" s="115"/>
      <c r="I1628" s="26"/>
      <c r="J1628" s="98"/>
      <c r="K1628" s="36"/>
      <c r="L1628" s="26"/>
      <c r="M1628" s="26"/>
      <c r="N1628" s="26"/>
      <c r="O1628" s="93"/>
      <c r="P1628" s="95"/>
      <c r="Q1628" s="196"/>
    </row>
    <row r="1629" spans="3:17" x14ac:dyDescent="0.25">
      <c r="C1629" s="198"/>
      <c r="D1629" s="111"/>
      <c r="E1629" s="33"/>
      <c r="F1629" s="104"/>
      <c r="H1629" s="115"/>
      <c r="I1629" s="26"/>
      <c r="J1629" s="98"/>
      <c r="K1629" s="36"/>
      <c r="L1629" s="26"/>
      <c r="M1629" s="26"/>
      <c r="N1629" s="26"/>
      <c r="O1629" s="93"/>
      <c r="P1629" s="95"/>
      <c r="Q1629" s="196"/>
    </row>
    <row r="1630" spans="3:17" x14ac:dyDescent="0.25">
      <c r="C1630" s="198"/>
      <c r="D1630" s="111"/>
      <c r="E1630" s="33"/>
      <c r="F1630" s="104"/>
      <c r="H1630" s="115"/>
      <c r="I1630" s="26"/>
      <c r="J1630" s="98"/>
      <c r="K1630" s="36"/>
      <c r="L1630" s="26"/>
      <c r="M1630" s="26"/>
      <c r="N1630" s="26"/>
      <c r="O1630" s="93"/>
      <c r="P1630" s="95"/>
      <c r="Q1630" s="196"/>
    </row>
    <row r="1631" spans="3:17" x14ac:dyDescent="0.25">
      <c r="C1631" s="198"/>
      <c r="D1631" s="111"/>
      <c r="E1631" s="33"/>
      <c r="F1631" s="104"/>
      <c r="H1631" s="115"/>
      <c r="I1631" s="26"/>
      <c r="J1631" s="98"/>
      <c r="K1631" s="36"/>
      <c r="L1631" s="26"/>
      <c r="M1631" s="26"/>
      <c r="N1631" s="26"/>
      <c r="O1631" s="93"/>
      <c r="P1631" s="95"/>
      <c r="Q1631" s="196"/>
    </row>
    <row r="1632" spans="3:17" x14ac:dyDescent="0.25">
      <c r="C1632" s="198"/>
      <c r="D1632" s="111"/>
      <c r="E1632" s="33"/>
      <c r="F1632" s="104"/>
      <c r="H1632" s="115"/>
      <c r="I1632" s="26"/>
      <c r="J1632" s="98"/>
      <c r="K1632" s="36"/>
      <c r="L1632" s="26"/>
      <c r="M1632" s="26"/>
      <c r="N1632" s="26"/>
      <c r="O1632" s="93"/>
      <c r="P1632" s="95"/>
      <c r="Q1632" s="196"/>
    </row>
    <row r="1633" spans="3:17" x14ac:dyDescent="0.25">
      <c r="C1633" s="198"/>
      <c r="D1633" s="111"/>
      <c r="E1633" s="33"/>
      <c r="F1633" s="104"/>
      <c r="H1633" s="115"/>
      <c r="I1633" s="26"/>
      <c r="J1633" s="98"/>
      <c r="K1633" s="36"/>
      <c r="L1633" s="26"/>
      <c r="M1633" s="26"/>
      <c r="N1633" s="26"/>
      <c r="O1633" s="93"/>
      <c r="P1633" s="95"/>
      <c r="Q1633" s="196"/>
    </row>
    <row r="1634" spans="3:17" x14ac:dyDescent="0.25">
      <c r="C1634" s="198"/>
      <c r="D1634" s="111"/>
      <c r="E1634" s="33"/>
      <c r="F1634" s="104"/>
      <c r="H1634" s="115"/>
      <c r="I1634" s="26"/>
      <c r="J1634" s="98"/>
      <c r="K1634" s="36"/>
      <c r="L1634" s="26"/>
      <c r="M1634" s="26"/>
      <c r="N1634" s="26"/>
      <c r="O1634" s="93"/>
      <c r="P1634" s="95"/>
      <c r="Q1634" s="196"/>
    </row>
    <row r="1635" spans="3:17" x14ac:dyDescent="0.25">
      <c r="C1635" s="198"/>
      <c r="D1635" s="111"/>
      <c r="E1635" s="33"/>
      <c r="F1635" s="104"/>
      <c r="H1635" s="115"/>
      <c r="I1635" s="26"/>
      <c r="J1635" s="98"/>
      <c r="K1635" s="36"/>
      <c r="L1635" s="26"/>
      <c r="M1635" s="26"/>
      <c r="N1635" s="26"/>
      <c r="O1635" s="93"/>
      <c r="P1635" s="95"/>
      <c r="Q1635" s="196"/>
    </row>
    <row r="1636" spans="3:17" x14ac:dyDescent="0.25">
      <c r="C1636" s="198"/>
      <c r="D1636" s="111"/>
      <c r="E1636" s="33"/>
      <c r="F1636" s="104"/>
      <c r="H1636" s="115"/>
      <c r="I1636" s="26"/>
      <c r="J1636" s="98"/>
      <c r="K1636" s="36"/>
      <c r="L1636" s="26"/>
      <c r="M1636" s="26"/>
      <c r="N1636" s="26"/>
      <c r="O1636" s="93"/>
      <c r="P1636" s="95"/>
      <c r="Q1636" s="196"/>
    </row>
    <row r="1637" spans="3:17" x14ac:dyDescent="0.25">
      <c r="C1637" s="198"/>
      <c r="D1637" s="111"/>
      <c r="E1637" s="33"/>
      <c r="F1637" s="104"/>
      <c r="H1637" s="115"/>
      <c r="I1637" s="26"/>
      <c r="J1637" s="98"/>
      <c r="K1637" s="36"/>
      <c r="L1637" s="26"/>
      <c r="M1637" s="26"/>
      <c r="N1637" s="26"/>
      <c r="O1637" s="93"/>
      <c r="P1637" s="95"/>
      <c r="Q1637" s="196"/>
    </row>
    <row r="1638" spans="3:17" x14ac:dyDescent="0.25">
      <c r="C1638" s="198"/>
      <c r="D1638" s="111"/>
      <c r="E1638" s="33"/>
      <c r="F1638" s="104"/>
      <c r="H1638" s="115"/>
      <c r="I1638" s="26"/>
      <c r="J1638" s="98"/>
      <c r="K1638" s="36"/>
      <c r="L1638" s="26"/>
      <c r="M1638" s="26"/>
      <c r="N1638" s="26"/>
      <c r="O1638" s="93"/>
      <c r="P1638" s="95"/>
      <c r="Q1638" s="196"/>
    </row>
    <row r="1639" spans="3:17" x14ac:dyDescent="0.25">
      <c r="C1639" s="198"/>
      <c r="D1639" s="111"/>
      <c r="E1639" s="33"/>
      <c r="F1639" s="104"/>
      <c r="H1639" s="115"/>
      <c r="I1639" s="26"/>
      <c r="J1639" s="98"/>
      <c r="K1639" s="36"/>
      <c r="L1639" s="26"/>
      <c r="M1639" s="26"/>
      <c r="N1639" s="26"/>
      <c r="O1639" s="93"/>
      <c r="P1639" s="95"/>
      <c r="Q1639" s="196"/>
    </row>
    <row r="1640" spans="3:17" x14ac:dyDescent="0.25">
      <c r="C1640" s="198"/>
      <c r="D1640" s="111"/>
      <c r="E1640" s="33"/>
      <c r="F1640" s="104"/>
      <c r="H1640" s="115"/>
      <c r="I1640" s="26"/>
      <c r="J1640" s="98"/>
      <c r="K1640" s="36"/>
      <c r="L1640" s="26"/>
      <c r="M1640" s="26"/>
      <c r="N1640" s="26"/>
      <c r="O1640" s="93"/>
      <c r="P1640" s="95"/>
      <c r="Q1640" s="196"/>
    </row>
    <row r="1641" spans="3:17" x14ac:dyDescent="0.25">
      <c r="C1641" s="198"/>
      <c r="D1641" s="111"/>
      <c r="E1641" s="33"/>
      <c r="F1641" s="104"/>
      <c r="H1641" s="115"/>
      <c r="I1641" s="26"/>
      <c r="J1641" s="98"/>
      <c r="K1641" s="36"/>
      <c r="L1641" s="26"/>
      <c r="M1641" s="26"/>
      <c r="N1641" s="26"/>
      <c r="O1641" s="93"/>
      <c r="P1641" s="95"/>
      <c r="Q1641" s="196"/>
    </row>
    <row r="1642" spans="3:17" x14ac:dyDescent="0.25">
      <c r="C1642" s="198"/>
      <c r="D1642" s="111"/>
      <c r="E1642" s="33"/>
      <c r="F1642" s="104"/>
      <c r="H1642" s="115"/>
      <c r="I1642" s="26"/>
      <c r="J1642" s="98"/>
      <c r="K1642" s="36"/>
      <c r="L1642" s="26"/>
      <c r="M1642" s="26"/>
      <c r="N1642" s="26"/>
      <c r="O1642" s="93"/>
      <c r="P1642" s="95"/>
      <c r="Q1642" s="196"/>
    </row>
    <row r="1643" spans="3:17" x14ac:dyDescent="0.25">
      <c r="C1643" s="198"/>
      <c r="D1643" s="111"/>
      <c r="E1643" s="33"/>
      <c r="F1643" s="104"/>
      <c r="H1643" s="115"/>
      <c r="I1643" s="26"/>
      <c r="J1643" s="98"/>
      <c r="K1643" s="36"/>
      <c r="L1643" s="26"/>
      <c r="M1643" s="26"/>
      <c r="N1643" s="26"/>
      <c r="O1643" s="93"/>
      <c r="P1643" s="95"/>
      <c r="Q1643" s="196"/>
    </row>
    <row r="1644" spans="3:17" x14ac:dyDescent="0.25">
      <c r="C1644" s="198"/>
      <c r="D1644" s="111"/>
      <c r="E1644" s="33"/>
      <c r="F1644" s="104"/>
      <c r="H1644" s="115"/>
      <c r="I1644" s="26"/>
      <c r="J1644" s="98"/>
      <c r="K1644" s="36"/>
      <c r="L1644" s="26"/>
      <c r="M1644" s="26"/>
      <c r="N1644" s="26"/>
      <c r="O1644" s="93"/>
      <c r="P1644" s="95"/>
      <c r="Q1644" s="196"/>
    </row>
    <row r="1645" spans="3:17" x14ac:dyDescent="0.25">
      <c r="C1645" s="198"/>
      <c r="D1645" s="111"/>
      <c r="E1645" s="33"/>
      <c r="F1645" s="104"/>
      <c r="H1645" s="115"/>
      <c r="I1645" s="26"/>
      <c r="J1645" s="98"/>
      <c r="K1645" s="36"/>
      <c r="L1645" s="26"/>
      <c r="M1645" s="26"/>
      <c r="N1645" s="26"/>
      <c r="O1645" s="93"/>
      <c r="P1645" s="95"/>
      <c r="Q1645" s="196"/>
    </row>
    <row r="1646" spans="3:17" x14ac:dyDescent="0.25">
      <c r="C1646" s="198"/>
      <c r="D1646" s="111"/>
      <c r="E1646" s="33"/>
      <c r="F1646" s="104"/>
      <c r="H1646" s="115"/>
      <c r="I1646" s="26"/>
      <c r="J1646" s="98"/>
      <c r="K1646" s="36"/>
      <c r="L1646" s="26"/>
      <c r="M1646" s="26"/>
      <c r="N1646" s="26"/>
      <c r="O1646" s="93"/>
      <c r="P1646" s="95"/>
      <c r="Q1646" s="196"/>
    </row>
    <row r="1647" spans="3:17" x14ac:dyDescent="0.25">
      <c r="C1647" s="198"/>
      <c r="D1647" s="111"/>
      <c r="E1647" s="33"/>
      <c r="F1647" s="104"/>
      <c r="H1647" s="115"/>
      <c r="I1647" s="26"/>
      <c r="J1647" s="98"/>
      <c r="K1647" s="36"/>
      <c r="L1647" s="26"/>
      <c r="M1647" s="26"/>
      <c r="N1647" s="26"/>
      <c r="O1647" s="93"/>
      <c r="P1647" s="95"/>
      <c r="Q1647" s="196"/>
    </row>
    <row r="1648" spans="3:17" x14ac:dyDescent="0.25">
      <c r="C1648" s="198"/>
      <c r="D1648" s="111"/>
      <c r="E1648" s="33"/>
      <c r="F1648" s="104"/>
      <c r="H1648" s="115"/>
      <c r="I1648" s="26"/>
      <c r="J1648" s="98"/>
      <c r="K1648" s="36"/>
      <c r="L1648" s="26"/>
      <c r="M1648" s="26"/>
      <c r="N1648" s="26"/>
      <c r="O1648" s="93"/>
      <c r="P1648" s="95"/>
      <c r="Q1648" s="196"/>
    </row>
    <row r="1649" spans="3:17" x14ac:dyDescent="0.25">
      <c r="C1649" s="198"/>
      <c r="D1649" s="111"/>
      <c r="E1649" s="33"/>
      <c r="F1649" s="104"/>
      <c r="H1649" s="115"/>
      <c r="I1649" s="26"/>
      <c r="J1649" s="98"/>
      <c r="K1649" s="36"/>
      <c r="L1649" s="26"/>
      <c r="M1649" s="26"/>
      <c r="N1649" s="26"/>
      <c r="O1649" s="93"/>
      <c r="P1649" s="95"/>
      <c r="Q1649" s="196"/>
    </row>
    <row r="1650" spans="3:17" x14ac:dyDescent="0.25">
      <c r="C1650" s="198"/>
      <c r="D1650" s="111"/>
      <c r="E1650" s="33"/>
      <c r="F1650" s="104"/>
      <c r="H1650" s="115"/>
      <c r="I1650" s="26"/>
      <c r="J1650" s="98"/>
      <c r="K1650" s="36"/>
      <c r="L1650" s="26"/>
      <c r="M1650" s="26"/>
      <c r="N1650" s="26"/>
      <c r="O1650" s="93"/>
      <c r="P1650" s="95"/>
      <c r="Q1650" s="196"/>
    </row>
    <row r="1651" spans="3:17" x14ac:dyDescent="0.25">
      <c r="C1651" s="198"/>
      <c r="D1651" s="111"/>
      <c r="E1651" s="33"/>
      <c r="F1651" s="104"/>
      <c r="H1651" s="115"/>
      <c r="I1651" s="26"/>
      <c r="J1651" s="98"/>
      <c r="K1651" s="36"/>
      <c r="L1651" s="26"/>
      <c r="M1651" s="26"/>
      <c r="N1651" s="26"/>
      <c r="O1651" s="93"/>
      <c r="P1651" s="95"/>
      <c r="Q1651" s="196"/>
    </row>
    <row r="1652" spans="3:17" x14ac:dyDescent="0.25">
      <c r="C1652" s="198"/>
      <c r="D1652" s="111"/>
      <c r="E1652" s="33"/>
      <c r="F1652" s="104"/>
      <c r="H1652" s="115"/>
      <c r="I1652" s="26"/>
      <c r="J1652" s="98"/>
      <c r="K1652" s="36"/>
      <c r="L1652" s="26"/>
      <c r="M1652" s="26"/>
      <c r="N1652" s="26"/>
      <c r="O1652" s="93"/>
      <c r="P1652" s="95"/>
      <c r="Q1652" s="196"/>
    </row>
    <row r="1653" spans="3:17" x14ac:dyDescent="0.25">
      <c r="C1653" s="198"/>
      <c r="D1653" s="111"/>
      <c r="E1653" s="33"/>
      <c r="F1653" s="104"/>
      <c r="H1653" s="115"/>
      <c r="I1653" s="26"/>
      <c r="J1653" s="98"/>
      <c r="K1653" s="36"/>
      <c r="L1653" s="26"/>
      <c r="M1653" s="26"/>
      <c r="N1653" s="26"/>
      <c r="O1653" s="93"/>
      <c r="P1653" s="95"/>
      <c r="Q1653" s="196"/>
    </row>
    <row r="1654" spans="3:17" x14ac:dyDescent="0.25">
      <c r="C1654" s="198"/>
      <c r="D1654" s="111"/>
      <c r="E1654" s="33"/>
      <c r="F1654" s="104"/>
      <c r="H1654" s="115"/>
      <c r="I1654" s="26"/>
      <c r="J1654" s="98"/>
      <c r="K1654" s="36"/>
      <c r="L1654" s="26"/>
      <c r="M1654" s="26"/>
      <c r="N1654" s="26"/>
      <c r="O1654" s="93"/>
      <c r="P1654" s="95"/>
      <c r="Q1654" s="196"/>
    </row>
    <row r="1655" spans="3:17" x14ac:dyDescent="0.25">
      <c r="C1655" s="198"/>
      <c r="D1655" s="111"/>
      <c r="E1655" s="33"/>
      <c r="F1655" s="104"/>
      <c r="H1655" s="115"/>
      <c r="I1655" s="26"/>
      <c r="J1655" s="98"/>
      <c r="K1655" s="36"/>
      <c r="L1655" s="26"/>
      <c r="M1655" s="26"/>
      <c r="N1655" s="26"/>
      <c r="O1655" s="93"/>
      <c r="P1655" s="95"/>
      <c r="Q1655" s="196"/>
    </row>
    <row r="1656" spans="3:17" x14ac:dyDescent="0.25">
      <c r="C1656" s="198"/>
      <c r="D1656" s="111"/>
      <c r="E1656" s="33"/>
      <c r="F1656" s="104"/>
      <c r="H1656" s="115"/>
      <c r="I1656" s="26"/>
      <c r="J1656" s="98"/>
      <c r="K1656" s="36"/>
      <c r="L1656" s="26"/>
      <c r="M1656" s="26"/>
      <c r="N1656" s="26"/>
      <c r="O1656" s="93"/>
      <c r="P1656" s="95"/>
      <c r="Q1656" s="196"/>
    </row>
    <row r="1657" spans="3:17" x14ac:dyDescent="0.25">
      <c r="C1657" s="198"/>
      <c r="D1657" s="111"/>
      <c r="E1657" s="33"/>
      <c r="F1657" s="104"/>
      <c r="H1657" s="115"/>
      <c r="I1657" s="26"/>
      <c r="J1657" s="98"/>
      <c r="K1657" s="36"/>
      <c r="L1657" s="26"/>
      <c r="M1657" s="26"/>
      <c r="N1657" s="26"/>
      <c r="O1657" s="93"/>
      <c r="P1657" s="95"/>
      <c r="Q1657" s="196"/>
    </row>
    <row r="1658" spans="3:17" x14ac:dyDescent="0.25">
      <c r="C1658" s="198"/>
      <c r="D1658" s="111"/>
      <c r="E1658" s="33"/>
      <c r="F1658" s="104"/>
      <c r="H1658" s="115"/>
      <c r="I1658" s="26"/>
      <c r="J1658" s="98"/>
      <c r="K1658" s="36"/>
      <c r="L1658" s="26"/>
      <c r="M1658" s="26"/>
      <c r="N1658" s="26"/>
      <c r="O1658" s="93"/>
      <c r="P1658" s="95"/>
      <c r="Q1658" s="196"/>
    </row>
    <row r="1659" spans="3:17" x14ac:dyDescent="0.25">
      <c r="C1659" s="198"/>
      <c r="D1659" s="111"/>
      <c r="E1659" s="33"/>
      <c r="F1659" s="104"/>
      <c r="H1659" s="115"/>
      <c r="I1659" s="26"/>
      <c r="J1659" s="98"/>
      <c r="K1659" s="36"/>
      <c r="L1659" s="26"/>
      <c r="M1659" s="26"/>
      <c r="N1659" s="26"/>
      <c r="O1659" s="93"/>
      <c r="P1659" s="95"/>
      <c r="Q1659" s="196"/>
    </row>
    <row r="1660" spans="3:17" x14ac:dyDescent="0.25">
      <c r="C1660" s="198"/>
      <c r="D1660" s="111"/>
      <c r="E1660" s="33"/>
      <c r="F1660" s="104"/>
      <c r="H1660" s="115"/>
      <c r="I1660" s="26"/>
      <c r="J1660" s="98"/>
      <c r="K1660" s="36"/>
      <c r="L1660" s="26"/>
      <c r="M1660" s="26"/>
      <c r="N1660" s="26"/>
      <c r="O1660" s="93"/>
      <c r="P1660" s="95"/>
      <c r="Q1660" s="196"/>
    </row>
    <row r="1661" spans="3:17" x14ac:dyDescent="0.25">
      <c r="C1661" s="198"/>
      <c r="D1661" s="111"/>
      <c r="E1661" s="33"/>
      <c r="F1661" s="104"/>
      <c r="H1661" s="115"/>
      <c r="I1661" s="26"/>
      <c r="J1661" s="98"/>
      <c r="K1661" s="36"/>
      <c r="L1661" s="26"/>
      <c r="M1661" s="26"/>
      <c r="N1661" s="26"/>
      <c r="O1661" s="93"/>
      <c r="P1661" s="95"/>
      <c r="Q1661" s="196"/>
    </row>
    <row r="1662" spans="3:17" x14ac:dyDescent="0.25">
      <c r="C1662" s="198"/>
      <c r="D1662" s="111"/>
      <c r="E1662" s="33"/>
      <c r="F1662" s="104"/>
      <c r="H1662" s="115"/>
      <c r="I1662" s="26"/>
      <c r="J1662" s="98"/>
      <c r="K1662" s="36"/>
      <c r="L1662" s="26"/>
      <c r="M1662" s="26"/>
      <c r="N1662" s="26"/>
      <c r="O1662" s="93"/>
      <c r="P1662" s="95"/>
      <c r="Q1662" s="196"/>
    </row>
    <row r="1663" spans="3:17" x14ac:dyDescent="0.25">
      <c r="C1663" s="198"/>
      <c r="D1663" s="111"/>
      <c r="E1663" s="33"/>
      <c r="F1663" s="104"/>
      <c r="H1663" s="115"/>
      <c r="I1663" s="26"/>
      <c r="J1663" s="98"/>
      <c r="K1663" s="36"/>
      <c r="L1663" s="26"/>
      <c r="M1663" s="26"/>
      <c r="N1663" s="26"/>
      <c r="O1663" s="93"/>
      <c r="P1663" s="95"/>
      <c r="Q1663" s="196"/>
    </row>
    <row r="1664" spans="3:17" x14ac:dyDescent="0.25">
      <c r="C1664" s="198"/>
      <c r="D1664" s="111"/>
      <c r="E1664" s="33"/>
      <c r="F1664" s="104"/>
      <c r="H1664" s="115"/>
      <c r="I1664" s="26"/>
      <c r="J1664" s="98"/>
      <c r="K1664" s="36"/>
      <c r="L1664" s="26"/>
      <c r="M1664" s="26"/>
      <c r="N1664" s="26"/>
      <c r="O1664" s="93"/>
      <c r="P1664" s="95"/>
      <c r="Q1664" s="196"/>
    </row>
    <row r="1665" spans="3:17" x14ac:dyDescent="0.25">
      <c r="C1665" s="198"/>
      <c r="D1665" s="111"/>
      <c r="E1665" s="33"/>
      <c r="F1665" s="104"/>
      <c r="H1665" s="115"/>
      <c r="I1665" s="26"/>
      <c r="J1665" s="98"/>
      <c r="K1665" s="36"/>
      <c r="L1665" s="26"/>
      <c r="M1665" s="26"/>
      <c r="N1665" s="26"/>
      <c r="O1665" s="93"/>
      <c r="P1665" s="95"/>
      <c r="Q1665" s="196"/>
    </row>
    <row r="1666" spans="3:17" x14ac:dyDescent="0.25">
      <c r="C1666" s="198"/>
      <c r="D1666" s="111"/>
      <c r="E1666" s="33"/>
      <c r="F1666" s="104"/>
      <c r="H1666" s="115"/>
      <c r="I1666" s="26"/>
      <c r="J1666" s="98"/>
      <c r="K1666" s="36"/>
      <c r="L1666" s="26"/>
      <c r="M1666" s="26"/>
      <c r="N1666" s="26"/>
      <c r="O1666" s="93"/>
      <c r="P1666" s="95"/>
      <c r="Q1666" s="196"/>
    </row>
    <row r="1667" spans="3:17" x14ac:dyDescent="0.25">
      <c r="C1667" s="198"/>
      <c r="D1667" s="111"/>
      <c r="E1667" s="33"/>
      <c r="F1667" s="104"/>
      <c r="H1667" s="115"/>
      <c r="I1667" s="26"/>
      <c r="J1667" s="98"/>
      <c r="K1667" s="36"/>
      <c r="L1667" s="26"/>
      <c r="M1667" s="26"/>
      <c r="N1667" s="26"/>
      <c r="O1667" s="93"/>
      <c r="P1667" s="95"/>
      <c r="Q1667" s="196"/>
    </row>
    <row r="1668" spans="3:17" x14ac:dyDescent="0.25">
      <c r="C1668" s="198"/>
      <c r="D1668" s="111"/>
      <c r="E1668" s="33"/>
      <c r="F1668" s="104"/>
      <c r="H1668" s="115"/>
      <c r="I1668" s="26"/>
      <c r="J1668" s="98"/>
      <c r="K1668" s="36"/>
      <c r="L1668" s="26"/>
      <c r="M1668" s="26"/>
      <c r="N1668" s="26"/>
      <c r="O1668" s="93"/>
      <c r="P1668" s="95"/>
      <c r="Q1668" s="196"/>
    </row>
    <row r="1669" spans="3:17" x14ac:dyDescent="0.25">
      <c r="C1669" s="198"/>
      <c r="D1669" s="111"/>
      <c r="E1669" s="33"/>
      <c r="F1669" s="104"/>
      <c r="H1669" s="115"/>
      <c r="I1669" s="26"/>
      <c r="J1669" s="98"/>
      <c r="K1669" s="36"/>
      <c r="L1669" s="26"/>
      <c r="M1669" s="26"/>
      <c r="N1669" s="26"/>
      <c r="O1669" s="93"/>
      <c r="P1669" s="95"/>
      <c r="Q1669" s="196"/>
    </row>
    <row r="1670" spans="3:17" x14ac:dyDescent="0.25">
      <c r="C1670" s="198"/>
      <c r="D1670" s="111"/>
      <c r="E1670" s="33"/>
      <c r="F1670" s="104"/>
      <c r="H1670" s="115"/>
      <c r="I1670" s="26"/>
      <c r="J1670" s="98"/>
      <c r="K1670" s="36"/>
      <c r="L1670" s="26"/>
      <c r="M1670" s="26"/>
      <c r="N1670" s="26"/>
      <c r="O1670" s="93"/>
      <c r="P1670" s="95"/>
      <c r="Q1670" s="196"/>
    </row>
    <row r="1671" spans="3:17" x14ac:dyDescent="0.25">
      <c r="C1671" s="198"/>
      <c r="D1671" s="111"/>
      <c r="E1671" s="33"/>
      <c r="F1671" s="104"/>
      <c r="H1671" s="115"/>
      <c r="I1671" s="26"/>
      <c r="J1671" s="98"/>
      <c r="K1671" s="36"/>
      <c r="L1671" s="26"/>
      <c r="M1671" s="26"/>
      <c r="N1671" s="26"/>
      <c r="O1671" s="93"/>
      <c r="P1671" s="95"/>
      <c r="Q1671" s="196"/>
    </row>
    <row r="1672" spans="3:17" x14ac:dyDescent="0.25">
      <c r="C1672" s="198"/>
      <c r="D1672" s="111"/>
      <c r="E1672" s="33"/>
      <c r="F1672" s="104"/>
      <c r="H1672" s="115"/>
      <c r="I1672" s="26"/>
      <c r="J1672" s="98"/>
      <c r="K1672" s="36"/>
      <c r="L1672" s="26"/>
      <c r="M1672" s="26"/>
      <c r="N1672" s="26"/>
      <c r="O1672" s="93"/>
      <c r="P1672" s="95"/>
      <c r="Q1672" s="196"/>
    </row>
    <row r="1673" spans="3:17" x14ac:dyDescent="0.25">
      <c r="C1673" s="198"/>
      <c r="D1673" s="111"/>
      <c r="E1673" s="33"/>
      <c r="F1673" s="104"/>
      <c r="H1673" s="115"/>
      <c r="I1673" s="26"/>
      <c r="J1673" s="98"/>
      <c r="K1673" s="36"/>
      <c r="L1673" s="26"/>
      <c r="M1673" s="26"/>
      <c r="N1673" s="26"/>
      <c r="O1673" s="93"/>
      <c r="P1673" s="95"/>
      <c r="Q1673" s="196"/>
    </row>
    <row r="1674" spans="3:17" x14ac:dyDescent="0.25">
      <c r="C1674" s="198"/>
      <c r="D1674" s="111"/>
      <c r="E1674" s="33"/>
      <c r="F1674" s="104"/>
      <c r="H1674" s="115"/>
      <c r="I1674" s="26"/>
      <c r="J1674" s="98"/>
      <c r="K1674" s="36"/>
      <c r="L1674" s="26"/>
      <c r="M1674" s="26"/>
      <c r="N1674" s="26"/>
      <c r="O1674" s="93"/>
      <c r="P1674" s="95"/>
      <c r="Q1674" s="196"/>
    </row>
    <row r="1675" spans="3:17" x14ac:dyDescent="0.25">
      <c r="C1675" s="198"/>
      <c r="D1675" s="111"/>
      <c r="E1675" s="33"/>
      <c r="F1675" s="104"/>
      <c r="H1675" s="115"/>
      <c r="I1675" s="26"/>
      <c r="J1675" s="98"/>
      <c r="K1675" s="36"/>
      <c r="L1675" s="26"/>
      <c r="M1675" s="26"/>
      <c r="N1675" s="26"/>
      <c r="O1675" s="93"/>
      <c r="P1675" s="95"/>
      <c r="Q1675" s="196"/>
    </row>
    <row r="1676" spans="3:17" x14ac:dyDescent="0.25">
      <c r="C1676" s="198"/>
      <c r="D1676" s="111"/>
      <c r="E1676" s="33"/>
      <c r="F1676" s="104"/>
      <c r="H1676" s="115"/>
      <c r="I1676" s="26"/>
      <c r="J1676" s="98"/>
      <c r="K1676" s="36"/>
      <c r="L1676" s="26"/>
      <c r="M1676" s="26"/>
      <c r="N1676" s="26"/>
      <c r="O1676" s="93"/>
      <c r="P1676" s="95"/>
      <c r="Q1676" s="196"/>
    </row>
    <row r="1677" spans="3:17" x14ac:dyDescent="0.25">
      <c r="C1677" s="198"/>
      <c r="D1677" s="111"/>
      <c r="E1677" s="33"/>
      <c r="F1677" s="104"/>
      <c r="H1677" s="115"/>
      <c r="I1677" s="26"/>
      <c r="J1677" s="98"/>
      <c r="K1677" s="36"/>
      <c r="L1677" s="26"/>
      <c r="M1677" s="26"/>
      <c r="N1677" s="26"/>
      <c r="O1677" s="93"/>
      <c r="P1677" s="95"/>
      <c r="Q1677" s="196"/>
    </row>
    <row r="1678" spans="3:17" x14ac:dyDescent="0.25">
      <c r="C1678" s="198"/>
      <c r="D1678" s="111"/>
      <c r="E1678" s="33"/>
      <c r="F1678" s="104"/>
      <c r="H1678" s="115"/>
      <c r="I1678" s="26"/>
      <c r="J1678" s="98"/>
      <c r="K1678" s="36"/>
      <c r="L1678" s="26"/>
      <c r="M1678" s="26"/>
      <c r="N1678" s="26"/>
      <c r="O1678" s="93"/>
      <c r="P1678" s="95"/>
      <c r="Q1678" s="196"/>
    </row>
    <row r="1679" spans="3:17" x14ac:dyDescent="0.25">
      <c r="C1679" s="198"/>
      <c r="D1679" s="111"/>
      <c r="E1679" s="33"/>
      <c r="F1679" s="104"/>
      <c r="H1679" s="115"/>
      <c r="I1679" s="26"/>
      <c r="J1679" s="98"/>
      <c r="K1679" s="36"/>
      <c r="L1679" s="26"/>
      <c r="M1679" s="26"/>
      <c r="N1679" s="26"/>
      <c r="O1679" s="93"/>
      <c r="P1679" s="95"/>
      <c r="Q1679" s="196"/>
    </row>
    <row r="1680" spans="3:17" x14ac:dyDescent="0.25">
      <c r="C1680" s="198"/>
      <c r="D1680" s="111"/>
      <c r="E1680" s="33"/>
      <c r="F1680" s="104"/>
      <c r="H1680" s="115"/>
      <c r="I1680" s="26"/>
      <c r="J1680" s="98"/>
      <c r="K1680" s="36"/>
      <c r="L1680" s="26"/>
      <c r="M1680" s="26"/>
      <c r="N1680" s="26"/>
      <c r="O1680" s="93"/>
      <c r="P1680" s="95"/>
      <c r="Q1680" s="196"/>
    </row>
    <row r="1681" spans="3:17" x14ac:dyDescent="0.25">
      <c r="C1681" s="198"/>
      <c r="D1681" s="111"/>
      <c r="E1681" s="33"/>
      <c r="F1681" s="104"/>
      <c r="H1681" s="115"/>
      <c r="I1681" s="26"/>
      <c r="J1681" s="98"/>
      <c r="K1681" s="36"/>
      <c r="L1681" s="26"/>
      <c r="M1681" s="26"/>
      <c r="N1681" s="26"/>
      <c r="O1681" s="93"/>
      <c r="P1681" s="95"/>
      <c r="Q1681" s="196"/>
    </row>
    <row r="1682" spans="3:17" x14ac:dyDescent="0.25">
      <c r="C1682" s="198"/>
      <c r="D1682" s="111"/>
      <c r="E1682" s="33"/>
      <c r="F1682" s="104"/>
      <c r="H1682" s="115"/>
      <c r="I1682" s="26"/>
      <c r="J1682" s="98"/>
      <c r="K1682" s="36"/>
      <c r="L1682" s="26"/>
      <c r="M1682" s="26"/>
      <c r="N1682" s="26"/>
      <c r="O1682" s="93"/>
      <c r="P1682" s="95"/>
      <c r="Q1682" s="196"/>
    </row>
    <row r="1683" spans="3:17" x14ac:dyDescent="0.25">
      <c r="C1683" s="198"/>
      <c r="D1683" s="111"/>
      <c r="E1683" s="33"/>
      <c r="F1683" s="104"/>
      <c r="H1683" s="115"/>
      <c r="I1683" s="26"/>
      <c r="J1683" s="98"/>
      <c r="K1683" s="36"/>
      <c r="L1683" s="26"/>
      <c r="M1683" s="26"/>
      <c r="N1683" s="26"/>
      <c r="O1683" s="93"/>
      <c r="P1683" s="95"/>
      <c r="Q1683" s="196"/>
    </row>
    <row r="1684" spans="3:17" x14ac:dyDescent="0.25">
      <c r="C1684" s="198"/>
      <c r="D1684" s="111"/>
      <c r="E1684" s="33"/>
      <c r="F1684" s="104"/>
      <c r="H1684" s="115"/>
      <c r="I1684" s="26"/>
      <c r="J1684" s="98"/>
      <c r="K1684" s="36"/>
      <c r="L1684" s="26"/>
      <c r="M1684" s="26"/>
      <c r="N1684" s="26"/>
      <c r="O1684" s="93"/>
      <c r="P1684" s="95"/>
      <c r="Q1684" s="196"/>
    </row>
    <row r="1685" spans="3:17" x14ac:dyDescent="0.25">
      <c r="C1685" s="198"/>
      <c r="D1685" s="111"/>
      <c r="E1685" s="33"/>
      <c r="F1685" s="104"/>
      <c r="H1685" s="115"/>
      <c r="I1685" s="26"/>
      <c r="J1685" s="98"/>
      <c r="K1685" s="36"/>
      <c r="L1685" s="26"/>
      <c r="M1685" s="26"/>
      <c r="N1685" s="26"/>
      <c r="O1685" s="93"/>
      <c r="P1685" s="95"/>
      <c r="Q1685" s="196"/>
    </row>
    <row r="1686" spans="3:17" x14ac:dyDescent="0.25">
      <c r="C1686" s="198"/>
      <c r="D1686" s="111"/>
      <c r="E1686" s="33"/>
      <c r="F1686" s="104"/>
      <c r="H1686" s="115"/>
      <c r="I1686" s="26"/>
      <c r="J1686" s="98"/>
      <c r="K1686" s="36"/>
      <c r="L1686" s="26"/>
      <c r="M1686" s="26"/>
      <c r="N1686" s="26"/>
      <c r="O1686" s="93"/>
      <c r="P1686" s="95"/>
      <c r="Q1686" s="196"/>
    </row>
    <row r="1687" spans="3:17" x14ac:dyDescent="0.25">
      <c r="C1687" s="198"/>
      <c r="D1687" s="111"/>
      <c r="E1687" s="33"/>
      <c r="F1687" s="104"/>
      <c r="H1687" s="115"/>
      <c r="I1687" s="26"/>
      <c r="J1687" s="98"/>
      <c r="K1687" s="36"/>
      <c r="L1687" s="26"/>
      <c r="M1687" s="26"/>
      <c r="N1687" s="26"/>
      <c r="O1687" s="93"/>
      <c r="P1687" s="95"/>
      <c r="Q1687" s="196"/>
    </row>
    <row r="1688" spans="3:17" x14ac:dyDescent="0.25">
      <c r="C1688" s="198"/>
      <c r="D1688" s="111"/>
      <c r="E1688" s="33"/>
      <c r="F1688" s="104"/>
      <c r="H1688" s="115"/>
      <c r="I1688" s="26"/>
      <c r="J1688" s="98"/>
      <c r="K1688" s="36"/>
      <c r="L1688" s="26"/>
      <c r="M1688" s="26"/>
      <c r="N1688" s="26"/>
      <c r="O1688" s="93"/>
      <c r="P1688" s="95"/>
      <c r="Q1688" s="196"/>
    </row>
    <row r="1689" spans="3:17" x14ac:dyDescent="0.25">
      <c r="C1689" s="198"/>
      <c r="D1689" s="111"/>
      <c r="E1689" s="33"/>
      <c r="F1689" s="104"/>
      <c r="H1689" s="115"/>
      <c r="I1689" s="26"/>
      <c r="J1689" s="98"/>
      <c r="K1689" s="36"/>
      <c r="L1689" s="26"/>
      <c r="M1689" s="26"/>
      <c r="N1689" s="26"/>
      <c r="O1689" s="93"/>
      <c r="P1689" s="95"/>
      <c r="Q1689" s="196"/>
    </row>
    <row r="1690" spans="3:17" x14ac:dyDescent="0.25">
      <c r="C1690" s="198"/>
      <c r="D1690" s="111"/>
      <c r="E1690" s="33"/>
      <c r="F1690" s="104"/>
      <c r="H1690" s="115"/>
      <c r="I1690" s="26"/>
      <c r="J1690" s="98"/>
      <c r="K1690" s="36"/>
      <c r="L1690" s="26"/>
      <c r="M1690" s="26"/>
      <c r="N1690" s="26"/>
      <c r="O1690" s="93"/>
      <c r="P1690" s="95"/>
      <c r="Q1690" s="196"/>
    </row>
    <row r="1691" spans="3:17" x14ac:dyDescent="0.25">
      <c r="C1691" s="198"/>
      <c r="D1691" s="111"/>
      <c r="E1691" s="33"/>
      <c r="F1691" s="104"/>
      <c r="H1691" s="115"/>
      <c r="I1691" s="26"/>
      <c r="J1691" s="98"/>
      <c r="K1691" s="36"/>
      <c r="L1691" s="26"/>
      <c r="M1691" s="26"/>
      <c r="N1691" s="26"/>
      <c r="O1691" s="93"/>
      <c r="P1691" s="95"/>
      <c r="Q1691" s="196"/>
    </row>
    <row r="1692" spans="3:17" x14ac:dyDescent="0.25">
      <c r="C1692" s="198"/>
      <c r="D1692" s="111"/>
      <c r="E1692" s="33"/>
      <c r="F1692" s="104"/>
      <c r="H1692" s="115"/>
      <c r="I1692" s="26"/>
      <c r="J1692" s="98"/>
      <c r="K1692" s="36"/>
      <c r="L1692" s="26"/>
      <c r="M1692" s="26"/>
      <c r="N1692" s="26"/>
      <c r="O1692" s="93"/>
      <c r="P1692" s="95"/>
      <c r="Q1692" s="196"/>
    </row>
    <row r="1693" spans="3:17" x14ac:dyDescent="0.25">
      <c r="C1693" s="198"/>
      <c r="D1693" s="111"/>
      <c r="E1693" s="33"/>
      <c r="F1693" s="104"/>
      <c r="H1693" s="115"/>
      <c r="I1693" s="26"/>
      <c r="J1693" s="98"/>
      <c r="K1693" s="36"/>
      <c r="L1693" s="26"/>
      <c r="M1693" s="26"/>
      <c r="N1693" s="26"/>
      <c r="O1693" s="93"/>
      <c r="P1693" s="95"/>
      <c r="Q1693" s="196"/>
    </row>
    <row r="1694" spans="3:17" x14ac:dyDescent="0.25">
      <c r="C1694" s="198"/>
      <c r="D1694" s="111"/>
      <c r="E1694" s="33"/>
      <c r="F1694" s="104"/>
      <c r="H1694" s="115"/>
      <c r="I1694" s="26"/>
      <c r="J1694" s="98"/>
      <c r="K1694" s="36"/>
      <c r="L1694" s="26"/>
      <c r="M1694" s="26"/>
      <c r="N1694" s="26"/>
      <c r="O1694" s="93"/>
      <c r="P1694" s="95"/>
      <c r="Q1694" s="196"/>
    </row>
    <row r="1695" spans="3:17" x14ac:dyDescent="0.25">
      <c r="C1695" s="198"/>
      <c r="D1695" s="111"/>
      <c r="E1695" s="33"/>
      <c r="F1695" s="104"/>
      <c r="H1695" s="115"/>
      <c r="I1695" s="26"/>
      <c r="J1695" s="98"/>
      <c r="K1695" s="36"/>
      <c r="L1695" s="26"/>
      <c r="M1695" s="26"/>
      <c r="N1695" s="26"/>
      <c r="O1695" s="93"/>
      <c r="P1695" s="95"/>
      <c r="Q1695" s="196"/>
    </row>
    <row r="1696" spans="3:17" x14ac:dyDescent="0.25">
      <c r="C1696" s="198"/>
      <c r="D1696" s="111"/>
      <c r="E1696" s="33"/>
      <c r="F1696" s="104"/>
      <c r="H1696" s="115"/>
      <c r="I1696" s="26"/>
      <c r="J1696" s="98"/>
      <c r="K1696" s="36"/>
      <c r="L1696" s="26"/>
      <c r="M1696" s="26"/>
      <c r="N1696" s="26"/>
      <c r="O1696" s="93"/>
      <c r="P1696" s="95"/>
      <c r="Q1696" s="196"/>
    </row>
    <row r="1697" spans="3:17" x14ac:dyDescent="0.25">
      <c r="C1697" s="198"/>
      <c r="D1697" s="111"/>
      <c r="E1697" s="33"/>
      <c r="F1697" s="104"/>
      <c r="H1697" s="115"/>
      <c r="I1697" s="26"/>
      <c r="J1697" s="98"/>
      <c r="K1697" s="36"/>
      <c r="L1697" s="26"/>
      <c r="M1697" s="26"/>
      <c r="N1697" s="26"/>
      <c r="O1697" s="93"/>
      <c r="P1697" s="95"/>
      <c r="Q1697" s="196"/>
    </row>
    <row r="1698" spans="3:17" x14ac:dyDescent="0.25">
      <c r="C1698" s="198"/>
      <c r="D1698" s="111"/>
      <c r="E1698" s="33"/>
      <c r="F1698" s="104"/>
      <c r="H1698" s="115"/>
      <c r="I1698" s="26"/>
      <c r="J1698" s="98"/>
      <c r="K1698" s="36"/>
      <c r="L1698" s="26"/>
      <c r="M1698" s="26"/>
      <c r="N1698" s="26"/>
      <c r="O1698" s="93"/>
      <c r="P1698" s="95"/>
      <c r="Q1698" s="196"/>
    </row>
    <row r="1699" spans="3:17" x14ac:dyDescent="0.25">
      <c r="C1699" s="198"/>
      <c r="D1699" s="111"/>
      <c r="E1699" s="33"/>
      <c r="F1699" s="104"/>
      <c r="H1699" s="115"/>
      <c r="I1699" s="26"/>
      <c r="J1699" s="98"/>
      <c r="K1699" s="36"/>
      <c r="L1699" s="26"/>
      <c r="M1699" s="26"/>
      <c r="N1699" s="26"/>
      <c r="O1699" s="93"/>
      <c r="P1699" s="95"/>
      <c r="Q1699" s="196"/>
    </row>
    <row r="1700" spans="3:17" x14ac:dyDescent="0.25">
      <c r="C1700" s="198"/>
      <c r="D1700" s="111"/>
      <c r="E1700" s="33"/>
      <c r="F1700" s="104"/>
      <c r="H1700" s="115"/>
      <c r="I1700" s="26"/>
      <c r="J1700" s="98"/>
      <c r="K1700" s="36"/>
      <c r="L1700" s="26"/>
      <c r="M1700" s="26"/>
      <c r="N1700" s="26"/>
      <c r="O1700" s="93"/>
      <c r="P1700" s="95"/>
      <c r="Q1700" s="196"/>
    </row>
    <row r="1701" spans="3:17" x14ac:dyDescent="0.25">
      <c r="C1701" s="198"/>
      <c r="D1701" s="111"/>
      <c r="E1701" s="33"/>
      <c r="F1701" s="104"/>
      <c r="H1701" s="115"/>
      <c r="I1701" s="26"/>
      <c r="J1701" s="98"/>
      <c r="K1701" s="36"/>
      <c r="L1701" s="26"/>
      <c r="M1701" s="26"/>
      <c r="N1701" s="26"/>
      <c r="O1701" s="93"/>
      <c r="P1701" s="95"/>
      <c r="Q1701" s="196"/>
    </row>
    <row r="1702" spans="3:17" x14ac:dyDescent="0.25">
      <c r="C1702" s="198"/>
      <c r="D1702" s="111"/>
      <c r="E1702" s="33"/>
      <c r="F1702" s="104"/>
      <c r="H1702" s="115"/>
      <c r="I1702" s="26"/>
      <c r="J1702" s="98"/>
      <c r="K1702" s="36"/>
      <c r="L1702" s="26"/>
      <c r="M1702" s="26"/>
      <c r="N1702" s="26"/>
      <c r="O1702" s="93"/>
      <c r="P1702" s="95"/>
      <c r="Q1702" s="196"/>
    </row>
    <row r="1703" spans="3:17" x14ac:dyDescent="0.25">
      <c r="C1703" s="198"/>
      <c r="D1703" s="111"/>
      <c r="E1703" s="33"/>
      <c r="F1703" s="104"/>
      <c r="H1703" s="115"/>
      <c r="I1703" s="26"/>
      <c r="J1703" s="98"/>
      <c r="K1703" s="36"/>
      <c r="L1703" s="26"/>
      <c r="M1703" s="26"/>
      <c r="N1703" s="26"/>
      <c r="O1703" s="93"/>
      <c r="P1703" s="95"/>
      <c r="Q1703" s="196"/>
    </row>
    <row r="1704" spans="3:17" x14ac:dyDescent="0.25">
      <c r="C1704" s="198"/>
      <c r="D1704" s="111"/>
      <c r="E1704" s="33"/>
      <c r="F1704" s="104"/>
      <c r="H1704" s="115"/>
      <c r="I1704" s="26"/>
      <c r="J1704" s="98"/>
      <c r="K1704" s="36"/>
      <c r="L1704" s="26"/>
      <c r="M1704" s="26"/>
      <c r="N1704" s="26"/>
      <c r="O1704" s="93"/>
      <c r="P1704" s="95"/>
      <c r="Q1704" s="196"/>
    </row>
    <row r="1705" spans="3:17" x14ac:dyDescent="0.25">
      <c r="C1705" s="198"/>
      <c r="D1705" s="111"/>
      <c r="E1705" s="33"/>
      <c r="F1705" s="104"/>
      <c r="H1705" s="115"/>
      <c r="I1705" s="26"/>
      <c r="J1705" s="98"/>
      <c r="K1705" s="36"/>
      <c r="L1705" s="26"/>
      <c r="M1705" s="26"/>
      <c r="N1705" s="26"/>
      <c r="O1705" s="93"/>
      <c r="P1705" s="95"/>
      <c r="Q1705" s="196"/>
    </row>
    <row r="1706" spans="3:17" x14ac:dyDescent="0.25">
      <c r="C1706" s="198"/>
      <c r="D1706" s="111"/>
      <c r="E1706" s="33"/>
      <c r="F1706" s="104"/>
      <c r="H1706" s="115"/>
      <c r="I1706" s="26"/>
      <c r="J1706" s="98"/>
      <c r="K1706" s="36"/>
      <c r="L1706" s="26"/>
      <c r="M1706" s="26"/>
      <c r="N1706" s="26"/>
      <c r="O1706" s="93"/>
      <c r="P1706" s="95"/>
      <c r="Q1706" s="196"/>
    </row>
    <row r="1707" spans="3:17" x14ac:dyDescent="0.25">
      <c r="C1707" s="198"/>
      <c r="D1707" s="111"/>
      <c r="E1707" s="33"/>
      <c r="F1707" s="104"/>
      <c r="H1707" s="115"/>
      <c r="I1707" s="26"/>
      <c r="J1707" s="98"/>
      <c r="K1707" s="36"/>
      <c r="L1707" s="26"/>
      <c r="M1707" s="26"/>
      <c r="N1707" s="26"/>
      <c r="O1707" s="93"/>
      <c r="P1707" s="95"/>
      <c r="Q1707" s="196"/>
    </row>
    <row r="1708" spans="3:17" x14ac:dyDescent="0.25">
      <c r="C1708" s="198"/>
      <c r="D1708" s="111"/>
      <c r="E1708" s="33"/>
      <c r="F1708" s="104"/>
      <c r="H1708" s="115"/>
      <c r="I1708" s="26"/>
      <c r="J1708" s="98"/>
      <c r="K1708" s="36"/>
      <c r="L1708" s="26"/>
      <c r="M1708" s="26"/>
      <c r="N1708" s="26"/>
      <c r="O1708" s="93"/>
      <c r="P1708" s="95"/>
      <c r="Q1708" s="196"/>
    </row>
    <row r="1709" spans="3:17" x14ac:dyDescent="0.25">
      <c r="C1709" s="198"/>
      <c r="D1709" s="111"/>
      <c r="E1709" s="33"/>
      <c r="F1709" s="104"/>
      <c r="H1709" s="115"/>
      <c r="I1709" s="26"/>
      <c r="J1709" s="98"/>
      <c r="K1709" s="36"/>
      <c r="L1709" s="26"/>
      <c r="M1709" s="26"/>
      <c r="N1709" s="26"/>
      <c r="O1709" s="93"/>
      <c r="P1709" s="95"/>
      <c r="Q1709" s="196"/>
    </row>
    <row r="1710" spans="3:17" x14ac:dyDescent="0.25">
      <c r="C1710" s="198"/>
      <c r="D1710" s="111"/>
      <c r="E1710" s="33"/>
      <c r="F1710" s="104"/>
      <c r="H1710" s="115"/>
      <c r="I1710" s="26"/>
      <c r="J1710" s="98"/>
      <c r="K1710" s="36"/>
      <c r="L1710" s="26"/>
      <c r="M1710" s="26"/>
      <c r="N1710" s="26"/>
      <c r="O1710" s="93"/>
      <c r="P1710" s="95"/>
      <c r="Q1710" s="196"/>
    </row>
    <row r="1711" spans="3:17" x14ac:dyDescent="0.25">
      <c r="C1711" s="198"/>
      <c r="D1711" s="111"/>
      <c r="E1711" s="33"/>
      <c r="F1711" s="104"/>
      <c r="H1711" s="115"/>
      <c r="I1711" s="26"/>
      <c r="J1711" s="98"/>
      <c r="K1711" s="36"/>
      <c r="L1711" s="26"/>
      <c r="M1711" s="26"/>
      <c r="N1711" s="26"/>
      <c r="O1711" s="93"/>
      <c r="P1711" s="95"/>
      <c r="Q1711" s="196"/>
    </row>
    <row r="1712" spans="3:17" x14ac:dyDescent="0.25">
      <c r="C1712" s="198"/>
      <c r="D1712" s="111"/>
      <c r="E1712" s="33"/>
      <c r="F1712" s="104"/>
      <c r="H1712" s="115"/>
      <c r="I1712" s="26"/>
      <c r="J1712" s="98"/>
      <c r="K1712" s="36"/>
      <c r="L1712" s="26"/>
      <c r="M1712" s="26"/>
      <c r="N1712" s="26"/>
      <c r="O1712" s="93"/>
      <c r="P1712" s="95"/>
      <c r="Q1712" s="196"/>
    </row>
    <row r="1713" spans="3:17" x14ac:dyDescent="0.25">
      <c r="C1713" s="198"/>
      <c r="D1713" s="111"/>
      <c r="E1713" s="33"/>
      <c r="F1713" s="104"/>
      <c r="H1713" s="115"/>
      <c r="I1713" s="26"/>
      <c r="J1713" s="98"/>
      <c r="K1713" s="36"/>
      <c r="L1713" s="26"/>
      <c r="M1713" s="26"/>
      <c r="N1713" s="26"/>
      <c r="O1713" s="93"/>
      <c r="P1713" s="95"/>
      <c r="Q1713" s="196"/>
    </row>
    <row r="1714" spans="3:17" x14ac:dyDescent="0.25">
      <c r="C1714" s="198"/>
      <c r="D1714" s="111"/>
      <c r="E1714" s="33"/>
      <c r="F1714" s="104"/>
      <c r="H1714" s="115"/>
      <c r="I1714" s="26"/>
      <c r="J1714" s="98"/>
      <c r="K1714" s="36"/>
      <c r="L1714" s="26"/>
      <c r="M1714" s="26"/>
      <c r="N1714" s="26"/>
      <c r="O1714" s="93"/>
      <c r="P1714" s="95"/>
      <c r="Q1714" s="196"/>
    </row>
    <row r="1715" spans="3:17" x14ac:dyDescent="0.25">
      <c r="C1715" s="198"/>
      <c r="D1715" s="111"/>
      <c r="E1715" s="33"/>
      <c r="F1715" s="104"/>
      <c r="H1715" s="115"/>
      <c r="I1715" s="26"/>
      <c r="J1715" s="98"/>
      <c r="K1715" s="36"/>
      <c r="L1715" s="26"/>
      <c r="M1715" s="26"/>
      <c r="N1715" s="26"/>
      <c r="O1715" s="93"/>
      <c r="P1715" s="95"/>
      <c r="Q1715" s="196"/>
    </row>
    <row r="1716" spans="3:17" x14ac:dyDescent="0.25">
      <c r="C1716" s="198"/>
      <c r="D1716" s="111"/>
      <c r="E1716" s="33"/>
      <c r="F1716" s="104"/>
      <c r="H1716" s="115"/>
      <c r="I1716" s="26"/>
      <c r="J1716" s="98"/>
      <c r="K1716" s="36"/>
      <c r="L1716" s="26"/>
      <c r="M1716" s="26"/>
      <c r="N1716" s="26"/>
      <c r="O1716" s="93"/>
      <c r="P1716" s="95"/>
      <c r="Q1716" s="196"/>
    </row>
    <row r="1717" spans="3:17" x14ac:dyDescent="0.25">
      <c r="C1717" s="198"/>
      <c r="D1717" s="111"/>
      <c r="E1717" s="33"/>
      <c r="F1717" s="104"/>
      <c r="H1717" s="115"/>
      <c r="I1717" s="26"/>
      <c r="J1717" s="98"/>
      <c r="K1717" s="36"/>
      <c r="L1717" s="26"/>
      <c r="M1717" s="26"/>
      <c r="N1717" s="26"/>
      <c r="O1717" s="93"/>
      <c r="P1717" s="95"/>
      <c r="Q1717" s="196"/>
    </row>
    <row r="1718" spans="3:17" x14ac:dyDescent="0.25">
      <c r="C1718" s="198"/>
      <c r="D1718" s="111"/>
      <c r="E1718" s="33"/>
      <c r="F1718" s="104"/>
      <c r="H1718" s="115"/>
      <c r="I1718" s="26"/>
      <c r="J1718" s="98"/>
      <c r="K1718" s="36"/>
      <c r="L1718" s="26"/>
      <c r="M1718" s="26"/>
      <c r="N1718" s="26"/>
      <c r="O1718" s="93"/>
      <c r="P1718" s="95"/>
      <c r="Q1718" s="196"/>
    </row>
    <row r="1719" spans="3:17" x14ac:dyDescent="0.25">
      <c r="C1719" s="198"/>
      <c r="D1719" s="111"/>
      <c r="E1719" s="33"/>
      <c r="F1719" s="104"/>
      <c r="H1719" s="115"/>
      <c r="I1719" s="26"/>
      <c r="J1719" s="98"/>
      <c r="K1719" s="36"/>
      <c r="L1719" s="26"/>
      <c r="M1719" s="26"/>
      <c r="N1719" s="26"/>
      <c r="O1719" s="93"/>
      <c r="P1719" s="95"/>
      <c r="Q1719" s="196"/>
    </row>
    <row r="1720" spans="3:17" x14ac:dyDescent="0.25">
      <c r="C1720" s="198"/>
      <c r="D1720" s="111"/>
      <c r="E1720" s="33"/>
      <c r="F1720" s="104"/>
      <c r="H1720" s="115"/>
      <c r="I1720" s="26"/>
      <c r="J1720" s="98"/>
      <c r="K1720" s="36"/>
      <c r="L1720" s="26"/>
      <c r="M1720" s="26"/>
      <c r="N1720" s="26"/>
      <c r="O1720" s="93"/>
      <c r="P1720" s="95"/>
      <c r="Q1720" s="196"/>
    </row>
    <row r="1721" spans="3:17" x14ac:dyDescent="0.25">
      <c r="C1721" s="198"/>
      <c r="D1721" s="111"/>
      <c r="E1721" s="33"/>
      <c r="F1721" s="104"/>
      <c r="H1721" s="115"/>
      <c r="I1721" s="26"/>
      <c r="J1721" s="98"/>
      <c r="K1721" s="36"/>
      <c r="L1721" s="26"/>
      <c r="M1721" s="26"/>
      <c r="N1721" s="26"/>
      <c r="O1721" s="93"/>
      <c r="P1721" s="95"/>
      <c r="Q1721" s="196"/>
    </row>
    <row r="1722" spans="3:17" x14ac:dyDescent="0.25">
      <c r="C1722" s="198"/>
      <c r="D1722" s="111"/>
      <c r="E1722" s="33"/>
      <c r="F1722" s="104"/>
      <c r="H1722" s="115"/>
      <c r="I1722" s="26"/>
      <c r="J1722" s="98"/>
      <c r="K1722" s="36"/>
      <c r="L1722" s="26"/>
      <c r="M1722" s="26"/>
      <c r="N1722" s="26"/>
      <c r="O1722" s="93"/>
      <c r="P1722" s="95"/>
      <c r="Q1722" s="196"/>
    </row>
    <row r="1723" spans="3:17" x14ac:dyDescent="0.25">
      <c r="C1723" s="198"/>
      <c r="D1723" s="111"/>
      <c r="E1723" s="33"/>
      <c r="F1723" s="104"/>
      <c r="H1723" s="115"/>
      <c r="I1723" s="26"/>
      <c r="J1723" s="98"/>
      <c r="K1723" s="36"/>
      <c r="L1723" s="26"/>
      <c r="M1723" s="26"/>
      <c r="N1723" s="26"/>
      <c r="O1723" s="93"/>
      <c r="P1723" s="95"/>
      <c r="Q1723" s="196"/>
    </row>
    <row r="1724" spans="3:17" x14ac:dyDescent="0.25">
      <c r="C1724" s="198"/>
      <c r="D1724" s="111"/>
      <c r="E1724" s="33"/>
      <c r="F1724" s="104"/>
      <c r="H1724" s="115"/>
      <c r="I1724" s="26"/>
      <c r="J1724" s="98"/>
      <c r="K1724" s="36"/>
      <c r="L1724" s="26"/>
      <c r="M1724" s="26"/>
      <c r="N1724" s="26"/>
      <c r="O1724" s="93"/>
      <c r="P1724" s="95"/>
      <c r="Q1724" s="196"/>
    </row>
    <row r="1725" spans="3:17" x14ac:dyDescent="0.25">
      <c r="C1725" s="198"/>
      <c r="D1725" s="111"/>
      <c r="E1725" s="33"/>
      <c r="F1725" s="104"/>
      <c r="H1725" s="115"/>
      <c r="I1725" s="26"/>
      <c r="J1725" s="98"/>
      <c r="K1725" s="36"/>
      <c r="L1725" s="26"/>
      <c r="M1725" s="26"/>
      <c r="N1725" s="26"/>
      <c r="O1725" s="93"/>
      <c r="P1725" s="95"/>
      <c r="Q1725" s="196"/>
    </row>
    <row r="1726" spans="3:17" x14ac:dyDescent="0.25">
      <c r="C1726" s="198"/>
      <c r="D1726" s="111"/>
      <c r="E1726" s="33"/>
      <c r="F1726" s="104"/>
      <c r="H1726" s="115"/>
      <c r="I1726" s="26"/>
      <c r="J1726" s="98"/>
      <c r="K1726" s="36"/>
      <c r="L1726" s="26"/>
      <c r="M1726" s="26"/>
      <c r="N1726" s="26"/>
      <c r="O1726" s="93"/>
      <c r="P1726" s="95"/>
      <c r="Q1726" s="196"/>
    </row>
    <row r="1727" spans="3:17" x14ac:dyDescent="0.25">
      <c r="C1727" s="198"/>
      <c r="D1727" s="111"/>
      <c r="E1727" s="33"/>
      <c r="F1727" s="104"/>
      <c r="H1727" s="115"/>
      <c r="I1727" s="26"/>
      <c r="J1727" s="98"/>
      <c r="K1727" s="36"/>
      <c r="L1727" s="26"/>
      <c r="M1727" s="26"/>
      <c r="N1727" s="26"/>
      <c r="O1727" s="93"/>
      <c r="P1727" s="95"/>
      <c r="Q1727" s="196"/>
    </row>
    <row r="1728" spans="3:17" x14ac:dyDescent="0.25">
      <c r="C1728" s="198"/>
      <c r="D1728" s="111"/>
      <c r="E1728" s="33"/>
      <c r="F1728" s="104"/>
      <c r="H1728" s="115"/>
      <c r="I1728" s="26"/>
      <c r="J1728" s="98"/>
      <c r="K1728" s="36"/>
      <c r="L1728" s="26"/>
      <c r="M1728" s="26"/>
      <c r="N1728" s="26"/>
      <c r="O1728" s="93"/>
      <c r="P1728" s="95"/>
      <c r="Q1728" s="196"/>
    </row>
    <row r="1729" spans="3:17" x14ac:dyDescent="0.25">
      <c r="C1729" s="198"/>
      <c r="D1729" s="111"/>
      <c r="E1729" s="33"/>
      <c r="F1729" s="104"/>
      <c r="H1729" s="115"/>
      <c r="I1729" s="26"/>
      <c r="J1729" s="98"/>
      <c r="K1729" s="36"/>
      <c r="L1729" s="26"/>
      <c r="M1729" s="26"/>
      <c r="N1729" s="26"/>
      <c r="O1729" s="93"/>
      <c r="P1729" s="95"/>
      <c r="Q1729" s="196"/>
    </row>
    <row r="1730" spans="3:17" x14ac:dyDescent="0.25">
      <c r="C1730" s="198"/>
      <c r="D1730" s="111"/>
      <c r="E1730" s="33"/>
      <c r="F1730" s="104"/>
      <c r="H1730" s="115"/>
      <c r="I1730" s="26"/>
      <c r="J1730" s="98"/>
      <c r="K1730" s="36"/>
      <c r="L1730" s="26"/>
      <c r="M1730" s="26"/>
      <c r="N1730" s="26"/>
      <c r="O1730" s="93"/>
      <c r="P1730" s="95"/>
      <c r="Q1730" s="196"/>
    </row>
    <row r="1731" spans="3:17" x14ac:dyDescent="0.25">
      <c r="C1731" s="198"/>
      <c r="D1731" s="111"/>
      <c r="E1731" s="33"/>
      <c r="F1731" s="104"/>
      <c r="H1731" s="115"/>
      <c r="I1731" s="26"/>
      <c r="J1731" s="98"/>
      <c r="K1731" s="36"/>
      <c r="L1731" s="26"/>
      <c r="M1731" s="26"/>
      <c r="N1731" s="26"/>
      <c r="O1731" s="93"/>
      <c r="P1731" s="95"/>
      <c r="Q1731" s="196"/>
    </row>
    <row r="1732" spans="3:17" x14ac:dyDescent="0.25">
      <c r="C1732" s="198"/>
      <c r="D1732" s="111"/>
      <c r="E1732" s="33"/>
      <c r="F1732" s="104"/>
      <c r="H1732" s="115"/>
      <c r="I1732" s="26"/>
      <c r="J1732" s="98"/>
      <c r="K1732" s="36"/>
      <c r="L1732" s="26"/>
      <c r="M1732" s="26"/>
      <c r="N1732" s="26"/>
      <c r="O1732" s="93"/>
      <c r="P1732" s="95"/>
      <c r="Q1732" s="196"/>
    </row>
    <row r="1733" spans="3:17" x14ac:dyDescent="0.25">
      <c r="C1733" s="198"/>
      <c r="D1733" s="111"/>
      <c r="E1733" s="33"/>
      <c r="F1733" s="104"/>
      <c r="H1733" s="115"/>
      <c r="I1733" s="26"/>
      <c r="J1733" s="98"/>
      <c r="K1733" s="36"/>
      <c r="L1733" s="26"/>
      <c r="M1733" s="26"/>
      <c r="N1733" s="26"/>
      <c r="O1733" s="93"/>
      <c r="P1733" s="95"/>
      <c r="Q1733" s="196"/>
    </row>
    <row r="1734" spans="3:17" x14ac:dyDescent="0.25">
      <c r="C1734" s="198"/>
      <c r="D1734" s="111"/>
      <c r="E1734" s="33"/>
      <c r="F1734" s="104"/>
      <c r="H1734" s="115"/>
      <c r="I1734" s="26"/>
      <c r="J1734" s="98"/>
      <c r="K1734" s="36"/>
      <c r="L1734" s="26"/>
      <c r="M1734" s="26"/>
      <c r="N1734" s="26"/>
      <c r="O1734" s="93"/>
      <c r="P1734" s="95"/>
      <c r="Q1734" s="196"/>
    </row>
    <row r="1735" spans="3:17" x14ac:dyDescent="0.25">
      <c r="C1735" s="198"/>
      <c r="D1735" s="111"/>
      <c r="E1735" s="33"/>
      <c r="F1735" s="104"/>
      <c r="H1735" s="115"/>
      <c r="I1735" s="26"/>
      <c r="J1735" s="98"/>
      <c r="K1735" s="36"/>
      <c r="L1735" s="26"/>
      <c r="M1735" s="26"/>
      <c r="N1735" s="26"/>
      <c r="O1735" s="93"/>
      <c r="P1735" s="95"/>
      <c r="Q1735" s="196"/>
    </row>
    <row r="1736" spans="3:17" x14ac:dyDescent="0.25">
      <c r="C1736" s="198"/>
      <c r="D1736" s="111"/>
      <c r="E1736" s="33"/>
      <c r="F1736" s="104"/>
      <c r="H1736" s="115"/>
      <c r="I1736" s="26"/>
      <c r="J1736" s="98"/>
      <c r="K1736" s="36"/>
      <c r="L1736" s="26"/>
      <c r="M1736" s="26"/>
      <c r="N1736" s="26"/>
      <c r="O1736" s="93"/>
      <c r="P1736" s="95"/>
      <c r="Q1736" s="196"/>
    </row>
    <row r="1737" spans="3:17" x14ac:dyDescent="0.25">
      <c r="C1737" s="198"/>
      <c r="D1737" s="111"/>
      <c r="E1737" s="33"/>
      <c r="F1737" s="104"/>
      <c r="H1737" s="115"/>
      <c r="I1737" s="26"/>
      <c r="J1737" s="98"/>
      <c r="K1737" s="36"/>
      <c r="L1737" s="26"/>
      <c r="M1737" s="26"/>
      <c r="N1737" s="26"/>
      <c r="O1737" s="93"/>
      <c r="P1737" s="95"/>
      <c r="Q1737" s="196"/>
    </row>
    <row r="1738" spans="3:17" x14ac:dyDescent="0.25">
      <c r="C1738" s="198"/>
      <c r="D1738" s="111"/>
      <c r="E1738" s="33"/>
      <c r="F1738" s="104"/>
      <c r="H1738" s="115"/>
      <c r="I1738" s="26"/>
      <c r="J1738" s="98"/>
      <c r="K1738" s="36"/>
      <c r="L1738" s="26"/>
      <c r="M1738" s="26"/>
      <c r="N1738" s="26"/>
      <c r="O1738" s="93"/>
      <c r="P1738" s="95"/>
      <c r="Q1738" s="196"/>
    </row>
    <row r="1739" spans="3:17" x14ac:dyDescent="0.25">
      <c r="C1739" s="198"/>
      <c r="D1739" s="111"/>
      <c r="E1739" s="33"/>
      <c r="F1739" s="104"/>
      <c r="H1739" s="115"/>
      <c r="I1739" s="26"/>
      <c r="J1739" s="98"/>
      <c r="K1739" s="36"/>
      <c r="L1739" s="26"/>
      <c r="M1739" s="26"/>
      <c r="N1739" s="26"/>
      <c r="O1739" s="93"/>
      <c r="P1739" s="95"/>
      <c r="Q1739" s="196"/>
    </row>
    <row r="1740" spans="3:17" x14ac:dyDescent="0.25">
      <c r="C1740" s="198"/>
      <c r="D1740" s="111"/>
      <c r="E1740" s="33"/>
      <c r="F1740" s="104"/>
      <c r="H1740" s="115"/>
      <c r="I1740" s="26"/>
      <c r="J1740" s="98"/>
      <c r="K1740" s="36"/>
      <c r="L1740" s="26"/>
      <c r="M1740" s="26"/>
      <c r="N1740" s="26"/>
      <c r="O1740" s="93"/>
      <c r="P1740" s="95"/>
      <c r="Q1740" s="196"/>
    </row>
    <row r="1741" spans="3:17" x14ac:dyDescent="0.25">
      <c r="C1741" s="198"/>
      <c r="D1741" s="111"/>
      <c r="E1741" s="33"/>
      <c r="F1741" s="104"/>
      <c r="H1741" s="115"/>
      <c r="I1741" s="26"/>
      <c r="J1741" s="98"/>
      <c r="K1741" s="36"/>
      <c r="L1741" s="26"/>
      <c r="M1741" s="26"/>
      <c r="N1741" s="26"/>
      <c r="O1741" s="93"/>
      <c r="P1741" s="95"/>
      <c r="Q1741" s="196"/>
    </row>
    <row r="1742" spans="3:17" x14ac:dyDescent="0.25">
      <c r="C1742" s="198"/>
      <c r="D1742" s="111"/>
      <c r="E1742" s="33"/>
      <c r="F1742" s="104"/>
      <c r="H1742" s="115"/>
      <c r="I1742" s="26"/>
      <c r="J1742" s="98"/>
      <c r="K1742" s="36"/>
      <c r="L1742" s="26"/>
      <c r="M1742" s="26"/>
      <c r="N1742" s="26"/>
      <c r="O1742" s="93"/>
      <c r="P1742" s="95"/>
      <c r="Q1742" s="196"/>
    </row>
    <row r="1743" spans="3:17" x14ac:dyDescent="0.25">
      <c r="C1743" s="198"/>
      <c r="D1743" s="111"/>
      <c r="E1743" s="33"/>
      <c r="F1743" s="104"/>
      <c r="H1743" s="115"/>
      <c r="I1743" s="26"/>
      <c r="J1743" s="98"/>
      <c r="K1743" s="36"/>
      <c r="L1743" s="26"/>
      <c r="M1743" s="26"/>
      <c r="N1743" s="26"/>
      <c r="O1743" s="93"/>
      <c r="P1743" s="95"/>
      <c r="Q1743" s="196"/>
    </row>
    <row r="1744" spans="3:17" x14ac:dyDescent="0.25">
      <c r="C1744" s="198"/>
      <c r="D1744" s="111"/>
      <c r="E1744" s="33"/>
      <c r="F1744" s="104"/>
      <c r="H1744" s="115"/>
      <c r="I1744" s="26"/>
      <c r="J1744" s="98"/>
      <c r="K1744" s="36"/>
      <c r="L1744" s="26"/>
      <c r="M1744" s="26"/>
      <c r="N1744" s="26"/>
      <c r="O1744" s="93"/>
      <c r="P1744" s="95"/>
      <c r="Q1744" s="196"/>
    </row>
    <row r="1745" spans="3:17" x14ac:dyDescent="0.25">
      <c r="C1745" s="198"/>
      <c r="D1745" s="111"/>
      <c r="E1745" s="33"/>
      <c r="F1745" s="104"/>
      <c r="H1745" s="115"/>
      <c r="I1745" s="26"/>
      <c r="J1745" s="98"/>
      <c r="K1745" s="36"/>
      <c r="L1745" s="26"/>
      <c r="M1745" s="26"/>
      <c r="N1745" s="26"/>
      <c r="O1745" s="93"/>
      <c r="P1745" s="95"/>
      <c r="Q1745" s="196"/>
    </row>
    <row r="1746" spans="3:17" x14ac:dyDescent="0.25">
      <c r="C1746" s="198"/>
      <c r="D1746" s="111"/>
      <c r="E1746" s="33"/>
      <c r="F1746" s="104"/>
      <c r="H1746" s="115"/>
      <c r="I1746" s="26"/>
      <c r="J1746" s="98"/>
      <c r="K1746" s="36"/>
      <c r="L1746" s="26"/>
      <c r="M1746" s="26"/>
      <c r="N1746" s="26"/>
      <c r="O1746" s="93"/>
      <c r="P1746" s="95"/>
      <c r="Q1746" s="196"/>
    </row>
    <row r="1747" spans="3:17" x14ac:dyDescent="0.25">
      <c r="C1747" s="198"/>
      <c r="D1747" s="111"/>
      <c r="E1747" s="33"/>
      <c r="F1747" s="104"/>
      <c r="H1747" s="115"/>
      <c r="I1747" s="26"/>
      <c r="J1747" s="98"/>
      <c r="K1747" s="36"/>
      <c r="L1747" s="26"/>
      <c r="M1747" s="26"/>
      <c r="N1747" s="26"/>
      <c r="O1747" s="93"/>
      <c r="P1747" s="95"/>
      <c r="Q1747" s="196"/>
    </row>
    <row r="1748" spans="3:17" x14ac:dyDescent="0.25">
      <c r="C1748" s="198"/>
      <c r="D1748" s="111"/>
      <c r="E1748" s="33"/>
      <c r="F1748" s="104"/>
      <c r="H1748" s="115"/>
      <c r="I1748" s="26"/>
      <c r="J1748" s="98"/>
      <c r="K1748" s="36"/>
      <c r="L1748" s="26"/>
      <c r="M1748" s="26"/>
      <c r="N1748" s="26"/>
      <c r="O1748" s="93"/>
      <c r="P1748" s="95"/>
      <c r="Q1748" s="196"/>
    </row>
    <row r="1749" spans="3:17" x14ac:dyDescent="0.25">
      <c r="C1749" s="198"/>
      <c r="D1749" s="111"/>
      <c r="E1749" s="33"/>
      <c r="F1749" s="104"/>
      <c r="H1749" s="115"/>
      <c r="I1749" s="26"/>
      <c r="J1749" s="98"/>
      <c r="K1749" s="36"/>
      <c r="L1749" s="26"/>
      <c r="M1749" s="26"/>
      <c r="N1749" s="26"/>
      <c r="O1749" s="93"/>
      <c r="P1749" s="95"/>
      <c r="Q1749" s="196"/>
    </row>
    <row r="1750" spans="3:17" x14ac:dyDescent="0.25">
      <c r="C1750" s="198"/>
      <c r="D1750" s="111"/>
      <c r="E1750" s="33"/>
      <c r="F1750" s="104"/>
      <c r="H1750" s="115"/>
      <c r="I1750" s="26"/>
      <c r="J1750" s="98"/>
      <c r="K1750" s="36"/>
      <c r="L1750" s="26"/>
      <c r="M1750" s="26"/>
      <c r="N1750" s="26"/>
      <c r="O1750" s="93"/>
      <c r="P1750" s="95"/>
      <c r="Q1750" s="196"/>
    </row>
    <row r="1751" spans="3:17" x14ac:dyDescent="0.25">
      <c r="C1751" s="198"/>
      <c r="D1751" s="111"/>
      <c r="E1751" s="33"/>
      <c r="F1751" s="104"/>
      <c r="H1751" s="115"/>
      <c r="I1751" s="26"/>
      <c r="J1751" s="98"/>
      <c r="K1751" s="36"/>
      <c r="L1751" s="26"/>
      <c r="M1751" s="26"/>
      <c r="N1751" s="26"/>
      <c r="O1751" s="93"/>
      <c r="P1751" s="95"/>
      <c r="Q1751" s="196"/>
    </row>
    <row r="1752" spans="3:17" x14ac:dyDescent="0.25">
      <c r="C1752" s="198"/>
      <c r="D1752" s="111"/>
      <c r="E1752" s="33"/>
      <c r="F1752" s="104"/>
      <c r="H1752" s="115"/>
      <c r="I1752" s="26"/>
      <c r="J1752" s="98"/>
      <c r="K1752" s="36"/>
      <c r="L1752" s="26"/>
      <c r="M1752" s="26"/>
      <c r="N1752" s="26"/>
      <c r="O1752" s="93"/>
      <c r="P1752" s="95"/>
      <c r="Q1752" s="196"/>
    </row>
    <row r="1753" spans="3:17" x14ac:dyDescent="0.25">
      <c r="C1753" s="198"/>
      <c r="D1753" s="111"/>
      <c r="E1753" s="33"/>
      <c r="F1753" s="104"/>
      <c r="H1753" s="115"/>
      <c r="I1753" s="26"/>
      <c r="J1753" s="98"/>
      <c r="K1753" s="36"/>
      <c r="L1753" s="26"/>
      <c r="M1753" s="26"/>
      <c r="N1753" s="26"/>
      <c r="O1753" s="93"/>
      <c r="P1753" s="95"/>
      <c r="Q1753" s="196"/>
    </row>
    <row r="1754" spans="3:17" x14ac:dyDescent="0.25">
      <c r="C1754" s="198"/>
      <c r="D1754" s="111"/>
      <c r="E1754" s="33"/>
      <c r="F1754" s="104"/>
      <c r="H1754" s="115"/>
      <c r="I1754" s="26"/>
      <c r="J1754" s="98"/>
      <c r="K1754" s="36"/>
      <c r="L1754" s="26"/>
      <c r="M1754" s="26"/>
      <c r="N1754" s="26"/>
      <c r="O1754" s="93"/>
      <c r="P1754" s="95"/>
      <c r="Q1754" s="196"/>
    </row>
    <row r="1755" spans="3:17" x14ac:dyDescent="0.25">
      <c r="C1755" s="198"/>
      <c r="D1755" s="111"/>
      <c r="E1755" s="33"/>
      <c r="F1755" s="104"/>
      <c r="H1755" s="115"/>
      <c r="I1755" s="26"/>
      <c r="J1755" s="98"/>
      <c r="K1755" s="36"/>
      <c r="L1755" s="26"/>
      <c r="M1755" s="26"/>
      <c r="N1755" s="26"/>
      <c r="O1755" s="93"/>
      <c r="P1755" s="95"/>
      <c r="Q1755" s="196"/>
    </row>
    <row r="1756" spans="3:17" x14ac:dyDescent="0.25">
      <c r="C1756" s="198"/>
      <c r="D1756" s="111"/>
      <c r="E1756" s="33"/>
      <c r="F1756" s="104"/>
      <c r="H1756" s="115"/>
      <c r="I1756" s="26"/>
      <c r="J1756" s="98"/>
      <c r="K1756" s="36"/>
      <c r="L1756" s="26"/>
      <c r="M1756" s="26"/>
      <c r="N1756" s="26"/>
      <c r="O1756" s="93"/>
      <c r="P1756" s="95"/>
      <c r="Q1756" s="196"/>
    </row>
    <row r="1757" spans="3:17" x14ac:dyDescent="0.25">
      <c r="C1757" s="198"/>
      <c r="D1757" s="111"/>
      <c r="E1757" s="33"/>
      <c r="F1757" s="104"/>
      <c r="H1757" s="115"/>
      <c r="I1757" s="26"/>
      <c r="J1757" s="98"/>
      <c r="K1757" s="36"/>
      <c r="L1757" s="26"/>
      <c r="M1757" s="26"/>
      <c r="N1757" s="26"/>
      <c r="O1757" s="93"/>
      <c r="P1757" s="95"/>
      <c r="Q1757" s="196"/>
    </row>
    <row r="1758" spans="3:17" x14ac:dyDescent="0.25">
      <c r="C1758" s="198"/>
      <c r="D1758" s="111"/>
      <c r="E1758" s="33"/>
      <c r="F1758" s="104"/>
      <c r="H1758" s="115"/>
      <c r="I1758" s="26"/>
      <c r="J1758" s="98"/>
      <c r="K1758" s="36"/>
      <c r="L1758" s="26"/>
      <c r="M1758" s="26"/>
      <c r="N1758" s="26"/>
      <c r="O1758" s="93"/>
      <c r="P1758" s="95"/>
      <c r="Q1758" s="196"/>
    </row>
    <row r="1759" spans="3:17" x14ac:dyDescent="0.25">
      <c r="C1759" s="198"/>
      <c r="D1759" s="111"/>
      <c r="E1759" s="33"/>
      <c r="F1759" s="104"/>
      <c r="H1759" s="115"/>
      <c r="I1759" s="26"/>
      <c r="J1759" s="98"/>
      <c r="K1759" s="36"/>
      <c r="L1759" s="26"/>
      <c r="M1759" s="26"/>
      <c r="N1759" s="26"/>
      <c r="O1759" s="93"/>
      <c r="P1759" s="95"/>
      <c r="Q1759" s="196"/>
    </row>
    <row r="1760" spans="3:17" x14ac:dyDescent="0.25">
      <c r="C1760" s="198"/>
      <c r="D1760" s="111"/>
      <c r="E1760" s="33"/>
      <c r="F1760" s="104"/>
      <c r="H1760" s="115"/>
      <c r="I1760" s="26"/>
      <c r="J1760" s="98"/>
      <c r="K1760" s="36"/>
      <c r="L1760" s="26"/>
      <c r="M1760" s="26"/>
      <c r="N1760" s="26"/>
      <c r="O1760" s="93"/>
      <c r="P1760" s="95"/>
      <c r="Q1760" s="196"/>
    </row>
    <row r="1761" spans="3:17" x14ac:dyDescent="0.25">
      <c r="C1761" s="198"/>
      <c r="D1761" s="111"/>
      <c r="E1761" s="33"/>
      <c r="F1761" s="104"/>
      <c r="H1761" s="115"/>
      <c r="I1761" s="26"/>
      <c r="J1761" s="98"/>
      <c r="K1761" s="36"/>
      <c r="L1761" s="26"/>
      <c r="M1761" s="26"/>
      <c r="N1761" s="26"/>
      <c r="O1761" s="93"/>
      <c r="P1761" s="95"/>
      <c r="Q1761" s="196"/>
    </row>
    <row r="1762" spans="3:17" x14ac:dyDescent="0.25">
      <c r="C1762" s="198"/>
      <c r="D1762" s="111"/>
      <c r="E1762" s="33"/>
      <c r="F1762" s="104"/>
      <c r="H1762" s="115"/>
      <c r="I1762" s="26"/>
      <c r="J1762" s="98"/>
      <c r="K1762" s="36"/>
      <c r="L1762" s="26"/>
      <c r="M1762" s="26"/>
      <c r="N1762" s="26"/>
      <c r="O1762" s="93"/>
      <c r="P1762" s="95"/>
      <c r="Q1762" s="196"/>
    </row>
    <row r="1763" spans="3:17" x14ac:dyDescent="0.25">
      <c r="C1763" s="198"/>
      <c r="D1763" s="111"/>
      <c r="E1763" s="33"/>
      <c r="F1763" s="104"/>
      <c r="H1763" s="115"/>
      <c r="I1763" s="26"/>
      <c r="J1763" s="98"/>
      <c r="K1763" s="36"/>
      <c r="L1763" s="26"/>
      <c r="M1763" s="26"/>
      <c r="N1763" s="26"/>
      <c r="O1763" s="93"/>
      <c r="P1763" s="95"/>
      <c r="Q1763" s="196"/>
    </row>
    <row r="1764" spans="3:17" x14ac:dyDescent="0.25">
      <c r="C1764" s="198"/>
      <c r="D1764" s="111"/>
      <c r="E1764" s="33"/>
      <c r="F1764" s="104"/>
      <c r="H1764" s="115"/>
      <c r="I1764" s="26"/>
      <c r="J1764" s="98"/>
      <c r="K1764" s="36"/>
      <c r="L1764" s="26"/>
      <c r="M1764" s="26"/>
      <c r="N1764" s="26"/>
      <c r="O1764" s="93"/>
      <c r="P1764" s="95"/>
      <c r="Q1764" s="196"/>
    </row>
    <row r="1765" spans="3:17" x14ac:dyDescent="0.25">
      <c r="C1765" s="198"/>
      <c r="D1765" s="111"/>
      <c r="E1765" s="33"/>
      <c r="F1765" s="104"/>
      <c r="H1765" s="115"/>
      <c r="I1765" s="26"/>
      <c r="J1765" s="98"/>
      <c r="K1765" s="36"/>
      <c r="L1765" s="26"/>
      <c r="M1765" s="26"/>
      <c r="N1765" s="26"/>
      <c r="O1765" s="93"/>
      <c r="P1765" s="95"/>
      <c r="Q1765" s="196"/>
    </row>
    <row r="1766" spans="3:17" x14ac:dyDescent="0.25">
      <c r="C1766" s="198"/>
      <c r="D1766" s="111"/>
      <c r="E1766" s="33"/>
      <c r="F1766" s="104"/>
      <c r="H1766" s="115"/>
      <c r="I1766" s="26"/>
      <c r="J1766" s="98"/>
      <c r="K1766" s="36"/>
      <c r="L1766" s="26"/>
      <c r="M1766" s="26"/>
      <c r="N1766" s="26"/>
      <c r="O1766" s="93"/>
      <c r="P1766" s="95"/>
      <c r="Q1766" s="196"/>
    </row>
    <row r="1767" spans="3:17" x14ac:dyDescent="0.25">
      <c r="C1767" s="198"/>
      <c r="D1767" s="111"/>
      <c r="E1767" s="33"/>
      <c r="F1767" s="104"/>
      <c r="H1767" s="115"/>
      <c r="I1767" s="26"/>
      <c r="J1767" s="98"/>
      <c r="K1767" s="36"/>
      <c r="L1767" s="26"/>
      <c r="M1767" s="26"/>
      <c r="N1767" s="26"/>
      <c r="O1767" s="93"/>
      <c r="P1767" s="95"/>
      <c r="Q1767" s="196"/>
    </row>
    <row r="1768" spans="3:17" x14ac:dyDescent="0.25">
      <c r="C1768" s="198"/>
      <c r="D1768" s="111"/>
      <c r="E1768" s="33"/>
      <c r="F1768" s="104"/>
      <c r="H1768" s="115"/>
      <c r="I1768" s="26"/>
      <c r="J1768" s="98"/>
      <c r="K1768" s="36"/>
      <c r="L1768" s="26"/>
      <c r="M1768" s="26"/>
      <c r="N1768" s="26"/>
      <c r="O1768" s="93"/>
      <c r="P1768" s="95"/>
      <c r="Q1768" s="196"/>
    </row>
    <row r="1769" spans="3:17" x14ac:dyDescent="0.25">
      <c r="C1769" s="198"/>
      <c r="D1769" s="111"/>
      <c r="E1769" s="33"/>
      <c r="F1769" s="104"/>
      <c r="H1769" s="115"/>
      <c r="I1769" s="26"/>
      <c r="J1769" s="98"/>
      <c r="K1769" s="36"/>
      <c r="L1769" s="26"/>
      <c r="M1769" s="26"/>
      <c r="N1769" s="26"/>
      <c r="O1769" s="93"/>
      <c r="P1769" s="95"/>
      <c r="Q1769" s="196"/>
    </row>
    <row r="1770" spans="3:17" x14ac:dyDescent="0.25">
      <c r="C1770" s="198"/>
      <c r="D1770" s="111"/>
      <c r="E1770" s="33"/>
      <c r="F1770" s="104"/>
      <c r="H1770" s="115"/>
      <c r="I1770" s="26"/>
      <c r="J1770" s="98"/>
      <c r="K1770" s="36"/>
      <c r="L1770" s="26"/>
      <c r="M1770" s="26"/>
      <c r="N1770" s="26"/>
      <c r="O1770" s="93"/>
      <c r="P1770" s="95"/>
      <c r="Q1770" s="196"/>
    </row>
    <row r="1771" spans="3:17" x14ac:dyDescent="0.25">
      <c r="C1771" s="198"/>
      <c r="D1771" s="111"/>
      <c r="E1771" s="33"/>
      <c r="F1771" s="104"/>
      <c r="H1771" s="115"/>
      <c r="I1771" s="26"/>
      <c r="J1771" s="98"/>
      <c r="K1771" s="36"/>
      <c r="L1771" s="26"/>
      <c r="M1771" s="26"/>
      <c r="N1771" s="26"/>
      <c r="O1771" s="93"/>
      <c r="P1771" s="95"/>
      <c r="Q1771" s="196"/>
    </row>
    <row r="1772" spans="3:17" x14ac:dyDescent="0.25">
      <c r="C1772" s="198"/>
      <c r="D1772" s="111"/>
      <c r="E1772" s="33"/>
      <c r="F1772" s="104"/>
      <c r="H1772" s="115"/>
      <c r="I1772" s="26"/>
      <c r="J1772" s="98"/>
      <c r="K1772" s="36"/>
      <c r="L1772" s="26"/>
      <c r="M1772" s="26"/>
      <c r="N1772" s="26"/>
      <c r="O1772" s="93"/>
      <c r="P1772" s="95"/>
      <c r="Q1772" s="196"/>
    </row>
    <row r="1773" spans="3:17" x14ac:dyDescent="0.25">
      <c r="C1773" s="198"/>
      <c r="D1773" s="111"/>
      <c r="E1773" s="33"/>
      <c r="F1773" s="104"/>
      <c r="H1773" s="115"/>
      <c r="I1773" s="26"/>
      <c r="J1773" s="98"/>
      <c r="K1773" s="36"/>
      <c r="L1773" s="26"/>
      <c r="M1773" s="26"/>
      <c r="N1773" s="26"/>
      <c r="O1773" s="93"/>
      <c r="P1773" s="95"/>
      <c r="Q1773" s="196"/>
    </row>
    <row r="1774" spans="3:17" x14ac:dyDescent="0.25">
      <c r="C1774" s="198"/>
      <c r="D1774" s="111"/>
      <c r="E1774" s="33"/>
      <c r="F1774" s="104"/>
      <c r="H1774" s="115"/>
      <c r="I1774" s="26"/>
      <c r="J1774" s="98"/>
      <c r="K1774" s="36"/>
      <c r="L1774" s="26"/>
      <c r="M1774" s="26"/>
      <c r="N1774" s="26"/>
      <c r="O1774" s="93"/>
      <c r="P1774" s="95"/>
      <c r="Q1774" s="196"/>
    </row>
    <row r="1775" spans="3:17" x14ac:dyDescent="0.25">
      <c r="C1775" s="198"/>
      <c r="D1775" s="111"/>
      <c r="E1775" s="33"/>
      <c r="F1775" s="104"/>
      <c r="H1775" s="115"/>
      <c r="I1775" s="26"/>
      <c r="J1775" s="98"/>
      <c r="K1775" s="36"/>
      <c r="L1775" s="26"/>
      <c r="M1775" s="26"/>
      <c r="N1775" s="26"/>
      <c r="O1775" s="93"/>
      <c r="P1775" s="95"/>
      <c r="Q1775" s="196"/>
    </row>
    <row r="1776" spans="3:17" x14ac:dyDescent="0.25">
      <c r="C1776" s="198"/>
      <c r="D1776" s="111"/>
      <c r="E1776" s="33"/>
      <c r="F1776" s="104"/>
      <c r="H1776" s="115"/>
      <c r="I1776" s="26"/>
      <c r="J1776" s="98"/>
      <c r="K1776" s="36"/>
      <c r="L1776" s="26"/>
      <c r="M1776" s="26"/>
      <c r="N1776" s="26"/>
      <c r="O1776" s="93"/>
      <c r="P1776" s="95"/>
      <c r="Q1776" s="196"/>
    </row>
    <row r="1777" spans="3:17" x14ac:dyDescent="0.25">
      <c r="C1777" s="198"/>
      <c r="D1777" s="111"/>
      <c r="E1777" s="33"/>
      <c r="F1777" s="104"/>
      <c r="H1777" s="115"/>
      <c r="I1777" s="26"/>
      <c r="J1777" s="98"/>
      <c r="K1777" s="36"/>
      <c r="L1777" s="26"/>
      <c r="M1777" s="26"/>
      <c r="N1777" s="26"/>
      <c r="O1777" s="93"/>
      <c r="P1777" s="95"/>
      <c r="Q1777" s="196"/>
    </row>
    <row r="1778" spans="3:17" x14ac:dyDescent="0.25">
      <c r="C1778" s="198"/>
      <c r="D1778" s="111"/>
      <c r="E1778" s="33"/>
      <c r="F1778" s="104"/>
      <c r="H1778" s="115"/>
      <c r="I1778" s="26"/>
      <c r="J1778" s="98"/>
      <c r="K1778" s="36"/>
      <c r="L1778" s="26"/>
      <c r="M1778" s="26"/>
      <c r="N1778" s="26"/>
      <c r="O1778" s="93"/>
      <c r="P1778" s="95"/>
      <c r="Q1778" s="196"/>
    </row>
    <row r="1779" spans="3:17" x14ac:dyDescent="0.25">
      <c r="C1779" s="198"/>
      <c r="D1779" s="111"/>
      <c r="E1779" s="33"/>
      <c r="F1779" s="104"/>
      <c r="H1779" s="115"/>
      <c r="I1779" s="26"/>
      <c r="J1779" s="98"/>
      <c r="K1779" s="36"/>
      <c r="L1779" s="26"/>
      <c r="M1779" s="26"/>
      <c r="N1779" s="26"/>
      <c r="O1779" s="93"/>
      <c r="P1779" s="95"/>
      <c r="Q1779" s="196"/>
    </row>
    <row r="1780" spans="3:17" x14ac:dyDescent="0.25">
      <c r="C1780" s="198"/>
      <c r="D1780" s="111"/>
      <c r="E1780" s="33"/>
      <c r="F1780" s="104"/>
      <c r="H1780" s="115"/>
      <c r="I1780" s="26"/>
      <c r="J1780" s="98"/>
      <c r="K1780" s="36"/>
      <c r="L1780" s="26"/>
      <c r="M1780" s="26"/>
      <c r="N1780" s="26"/>
      <c r="O1780" s="93"/>
      <c r="P1780" s="95"/>
      <c r="Q1780" s="196"/>
    </row>
    <row r="1781" spans="3:17" x14ac:dyDescent="0.25">
      <c r="C1781" s="198"/>
      <c r="D1781" s="111"/>
      <c r="E1781" s="33"/>
      <c r="F1781" s="104"/>
      <c r="H1781" s="115"/>
      <c r="I1781" s="26"/>
      <c r="J1781" s="98"/>
      <c r="K1781" s="36"/>
      <c r="L1781" s="26"/>
      <c r="M1781" s="26"/>
      <c r="N1781" s="26"/>
      <c r="O1781" s="93"/>
      <c r="P1781" s="95"/>
      <c r="Q1781" s="196"/>
    </row>
    <row r="1782" spans="3:17" x14ac:dyDescent="0.25">
      <c r="C1782" s="198"/>
      <c r="D1782" s="111"/>
      <c r="E1782" s="33"/>
      <c r="F1782" s="104"/>
      <c r="H1782" s="115"/>
      <c r="I1782" s="26"/>
      <c r="J1782" s="98"/>
      <c r="K1782" s="36"/>
      <c r="L1782" s="26"/>
      <c r="M1782" s="26"/>
      <c r="N1782" s="26"/>
      <c r="O1782" s="93"/>
      <c r="P1782" s="95"/>
      <c r="Q1782" s="196"/>
    </row>
    <row r="1783" spans="3:17" x14ac:dyDescent="0.25">
      <c r="C1783" s="198"/>
      <c r="D1783" s="111"/>
      <c r="E1783" s="33"/>
      <c r="F1783" s="104"/>
      <c r="H1783" s="115"/>
      <c r="I1783" s="26"/>
      <c r="J1783" s="98"/>
      <c r="K1783" s="36"/>
      <c r="L1783" s="26"/>
      <c r="M1783" s="26"/>
      <c r="N1783" s="26"/>
      <c r="O1783" s="93"/>
      <c r="P1783" s="95"/>
      <c r="Q1783" s="196"/>
    </row>
    <row r="1784" spans="3:17" x14ac:dyDescent="0.25">
      <c r="C1784" s="198"/>
      <c r="D1784" s="111"/>
      <c r="E1784" s="33"/>
      <c r="F1784" s="104"/>
      <c r="H1784" s="115"/>
      <c r="I1784" s="26"/>
      <c r="J1784" s="98"/>
      <c r="K1784" s="36"/>
      <c r="L1784" s="26"/>
      <c r="M1784" s="26"/>
      <c r="N1784" s="26"/>
      <c r="O1784" s="93"/>
      <c r="P1784" s="95"/>
      <c r="Q1784" s="196"/>
    </row>
    <row r="1785" spans="3:17" x14ac:dyDescent="0.25">
      <c r="C1785" s="198"/>
      <c r="D1785" s="111"/>
      <c r="E1785" s="33"/>
      <c r="F1785" s="104"/>
      <c r="H1785" s="115"/>
      <c r="I1785" s="26"/>
      <c r="J1785" s="98"/>
      <c r="K1785" s="36"/>
      <c r="L1785" s="26"/>
      <c r="M1785" s="26"/>
      <c r="N1785" s="26"/>
      <c r="O1785" s="93"/>
      <c r="P1785" s="95"/>
      <c r="Q1785" s="196"/>
    </row>
    <row r="1786" spans="3:17" x14ac:dyDescent="0.25">
      <c r="C1786" s="198"/>
      <c r="D1786" s="111"/>
      <c r="E1786" s="33"/>
      <c r="F1786" s="104"/>
      <c r="H1786" s="115"/>
      <c r="I1786" s="26"/>
      <c r="J1786" s="98"/>
      <c r="K1786" s="36"/>
      <c r="L1786" s="26"/>
      <c r="M1786" s="26"/>
      <c r="N1786" s="26"/>
      <c r="O1786" s="93"/>
      <c r="P1786" s="95"/>
      <c r="Q1786" s="196"/>
    </row>
    <row r="1787" spans="3:17" x14ac:dyDescent="0.25">
      <c r="C1787" s="198"/>
      <c r="D1787" s="111"/>
      <c r="E1787" s="33"/>
      <c r="F1787" s="104"/>
      <c r="H1787" s="115"/>
      <c r="I1787" s="26"/>
      <c r="J1787" s="98"/>
      <c r="K1787" s="36"/>
      <c r="L1787" s="26"/>
      <c r="M1787" s="26"/>
      <c r="N1787" s="26"/>
      <c r="O1787" s="93"/>
      <c r="P1787" s="95"/>
      <c r="Q1787" s="196"/>
    </row>
    <row r="1788" spans="3:17" x14ac:dyDescent="0.25">
      <c r="C1788" s="198"/>
      <c r="D1788" s="111"/>
      <c r="E1788" s="33"/>
      <c r="F1788" s="104"/>
      <c r="H1788" s="115"/>
      <c r="I1788" s="26"/>
      <c r="J1788" s="98"/>
      <c r="K1788" s="36"/>
      <c r="L1788" s="26"/>
      <c r="M1788" s="26"/>
      <c r="N1788" s="26"/>
      <c r="O1788" s="93"/>
      <c r="P1788" s="95"/>
      <c r="Q1788" s="196"/>
    </row>
    <row r="1789" spans="3:17" x14ac:dyDescent="0.25">
      <c r="C1789" s="198"/>
      <c r="D1789" s="111"/>
      <c r="E1789" s="33"/>
      <c r="F1789" s="104"/>
      <c r="H1789" s="115"/>
      <c r="I1789" s="26"/>
      <c r="J1789" s="98"/>
      <c r="K1789" s="36"/>
      <c r="L1789" s="26"/>
      <c r="M1789" s="26"/>
      <c r="N1789" s="26"/>
      <c r="O1789" s="93"/>
      <c r="P1789" s="95"/>
      <c r="Q1789" s="196"/>
    </row>
    <row r="1790" spans="3:17" x14ac:dyDescent="0.25">
      <c r="C1790" s="198"/>
      <c r="D1790" s="111"/>
      <c r="E1790" s="33"/>
      <c r="F1790" s="104"/>
      <c r="H1790" s="115"/>
      <c r="I1790" s="26"/>
      <c r="J1790" s="98"/>
      <c r="K1790" s="36"/>
      <c r="L1790" s="26"/>
      <c r="M1790" s="26"/>
      <c r="N1790" s="26"/>
      <c r="O1790" s="93"/>
      <c r="P1790" s="95"/>
      <c r="Q1790" s="196"/>
    </row>
    <row r="1791" spans="3:17" x14ac:dyDescent="0.25">
      <c r="C1791" s="198"/>
      <c r="D1791" s="111"/>
      <c r="E1791" s="33"/>
      <c r="F1791" s="104"/>
      <c r="H1791" s="115"/>
      <c r="I1791" s="26"/>
      <c r="J1791" s="98"/>
      <c r="K1791" s="36"/>
      <c r="L1791" s="26"/>
      <c r="M1791" s="26"/>
      <c r="N1791" s="26"/>
      <c r="O1791" s="93"/>
      <c r="P1791" s="95"/>
      <c r="Q1791" s="196"/>
    </row>
    <row r="1792" spans="3:17" x14ac:dyDescent="0.25">
      <c r="C1792" s="198"/>
      <c r="D1792" s="111"/>
      <c r="E1792" s="33"/>
      <c r="F1792" s="104"/>
      <c r="H1792" s="115"/>
      <c r="I1792" s="26"/>
      <c r="J1792" s="98"/>
      <c r="K1792" s="36"/>
      <c r="L1792" s="26"/>
      <c r="M1792" s="26"/>
      <c r="N1792" s="26"/>
      <c r="O1792" s="93"/>
      <c r="P1792" s="95"/>
      <c r="Q1792" s="196"/>
    </row>
    <row r="1793" spans="3:17" x14ac:dyDescent="0.25">
      <c r="C1793" s="198"/>
      <c r="D1793" s="111"/>
      <c r="E1793" s="33"/>
      <c r="F1793" s="104"/>
      <c r="H1793" s="115"/>
      <c r="I1793" s="26"/>
      <c r="J1793" s="98"/>
      <c r="K1793" s="36"/>
      <c r="L1793" s="26"/>
      <c r="M1793" s="26"/>
      <c r="N1793" s="26"/>
      <c r="O1793" s="93"/>
      <c r="P1793" s="95"/>
      <c r="Q1793" s="196"/>
    </row>
    <row r="1794" spans="3:17" x14ac:dyDescent="0.25">
      <c r="C1794" s="198"/>
      <c r="D1794" s="111"/>
      <c r="E1794" s="33"/>
      <c r="F1794" s="104"/>
      <c r="H1794" s="115"/>
      <c r="I1794" s="26"/>
      <c r="J1794" s="98"/>
      <c r="K1794" s="36"/>
      <c r="L1794" s="26"/>
      <c r="M1794" s="26"/>
      <c r="N1794" s="26"/>
      <c r="O1794" s="93"/>
      <c r="P1794" s="95"/>
      <c r="Q1794" s="196"/>
    </row>
    <row r="1795" spans="3:17" x14ac:dyDescent="0.25">
      <c r="C1795" s="198"/>
      <c r="D1795" s="111"/>
      <c r="E1795" s="33"/>
      <c r="F1795" s="104"/>
      <c r="H1795" s="115"/>
      <c r="I1795" s="26"/>
      <c r="J1795" s="98"/>
      <c r="K1795" s="36"/>
      <c r="L1795" s="26"/>
      <c r="M1795" s="26"/>
      <c r="N1795" s="26"/>
      <c r="O1795" s="93"/>
      <c r="P1795" s="95"/>
      <c r="Q1795" s="196"/>
    </row>
    <row r="1796" spans="3:17" x14ac:dyDescent="0.25">
      <c r="C1796" s="198"/>
      <c r="D1796" s="111"/>
      <c r="E1796" s="33"/>
      <c r="F1796" s="104"/>
      <c r="H1796" s="115"/>
      <c r="I1796" s="26"/>
      <c r="J1796" s="98"/>
      <c r="K1796" s="36"/>
      <c r="L1796" s="26"/>
      <c r="M1796" s="26"/>
      <c r="N1796" s="26"/>
      <c r="O1796" s="93"/>
      <c r="P1796" s="95"/>
      <c r="Q1796" s="196"/>
    </row>
    <row r="1797" spans="3:17" x14ac:dyDescent="0.25">
      <c r="C1797" s="198"/>
      <c r="D1797" s="111"/>
      <c r="E1797" s="33"/>
      <c r="F1797" s="104"/>
      <c r="H1797" s="115"/>
      <c r="I1797" s="26"/>
      <c r="J1797" s="98"/>
      <c r="K1797" s="36"/>
      <c r="L1797" s="26"/>
      <c r="M1797" s="26"/>
      <c r="N1797" s="26"/>
      <c r="O1797" s="93"/>
      <c r="P1797" s="95"/>
      <c r="Q1797" s="196"/>
    </row>
    <row r="1798" spans="3:17" x14ac:dyDescent="0.25">
      <c r="C1798" s="198"/>
      <c r="D1798" s="111"/>
      <c r="E1798" s="33"/>
      <c r="F1798" s="104"/>
      <c r="H1798" s="115"/>
      <c r="I1798" s="26"/>
      <c r="J1798" s="98"/>
      <c r="K1798" s="36"/>
      <c r="L1798" s="26"/>
      <c r="M1798" s="26"/>
      <c r="N1798" s="26"/>
      <c r="O1798" s="93"/>
      <c r="P1798" s="95"/>
      <c r="Q1798" s="196"/>
    </row>
    <row r="1799" spans="3:17" x14ac:dyDescent="0.25">
      <c r="C1799" s="198"/>
      <c r="D1799" s="111"/>
      <c r="E1799" s="33"/>
      <c r="F1799" s="104"/>
      <c r="H1799" s="115"/>
      <c r="I1799" s="26"/>
      <c r="J1799" s="98"/>
      <c r="K1799" s="36"/>
      <c r="L1799" s="26"/>
      <c r="M1799" s="26"/>
      <c r="N1799" s="26"/>
      <c r="O1799" s="93"/>
      <c r="P1799" s="95"/>
      <c r="Q1799" s="196"/>
    </row>
    <row r="1800" spans="3:17" x14ac:dyDescent="0.25">
      <c r="C1800" s="198"/>
      <c r="D1800" s="111"/>
      <c r="E1800" s="33"/>
      <c r="F1800" s="104"/>
      <c r="H1800" s="115"/>
      <c r="I1800" s="26"/>
      <c r="J1800" s="98"/>
      <c r="K1800" s="36"/>
      <c r="L1800" s="26"/>
      <c r="M1800" s="26"/>
      <c r="N1800" s="26"/>
      <c r="O1800" s="93"/>
      <c r="P1800" s="95"/>
      <c r="Q1800" s="196"/>
    </row>
    <row r="1801" spans="3:17" x14ac:dyDescent="0.25">
      <c r="C1801" s="198"/>
      <c r="D1801" s="111"/>
      <c r="E1801" s="33"/>
      <c r="F1801" s="104"/>
      <c r="H1801" s="115"/>
      <c r="I1801" s="26"/>
      <c r="J1801" s="98"/>
      <c r="K1801" s="36"/>
      <c r="L1801" s="26"/>
      <c r="M1801" s="26"/>
      <c r="N1801" s="26"/>
      <c r="O1801" s="93"/>
      <c r="P1801" s="95"/>
      <c r="Q1801" s="196"/>
    </row>
    <row r="1802" spans="3:17" x14ac:dyDescent="0.25">
      <c r="C1802" s="198"/>
      <c r="D1802" s="111"/>
      <c r="E1802" s="33"/>
      <c r="F1802" s="104"/>
      <c r="H1802" s="115"/>
      <c r="I1802" s="26"/>
      <c r="J1802" s="98"/>
      <c r="K1802" s="36"/>
      <c r="L1802" s="26"/>
      <c r="M1802" s="26"/>
      <c r="N1802" s="26"/>
      <c r="O1802" s="93"/>
      <c r="P1802" s="95"/>
      <c r="Q1802" s="196"/>
    </row>
    <row r="1803" spans="3:17" x14ac:dyDescent="0.25">
      <c r="C1803" s="198"/>
      <c r="D1803" s="111"/>
      <c r="E1803" s="33"/>
      <c r="F1803" s="104"/>
      <c r="H1803" s="115"/>
      <c r="I1803" s="26"/>
      <c r="J1803" s="98"/>
      <c r="K1803" s="36"/>
      <c r="L1803" s="26"/>
      <c r="M1803" s="26"/>
      <c r="N1803" s="26"/>
      <c r="O1803" s="93"/>
      <c r="P1803" s="95"/>
      <c r="Q1803" s="196"/>
    </row>
    <row r="1804" spans="3:17" x14ac:dyDescent="0.25">
      <c r="C1804" s="198"/>
      <c r="D1804" s="111"/>
      <c r="E1804" s="33"/>
      <c r="F1804" s="104"/>
      <c r="H1804" s="115"/>
      <c r="I1804" s="26"/>
      <c r="J1804" s="98"/>
      <c r="K1804" s="36"/>
      <c r="L1804" s="26"/>
      <c r="M1804" s="26"/>
      <c r="N1804" s="26"/>
      <c r="O1804" s="93"/>
      <c r="P1804" s="95"/>
      <c r="Q1804" s="196"/>
    </row>
    <row r="1805" spans="3:17" x14ac:dyDescent="0.25">
      <c r="C1805" s="198"/>
      <c r="D1805" s="111"/>
      <c r="E1805" s="33"/>
      <c r="F1805" s="104"/>
      <c r="H1805" s="115"/>
      <c r="I1805" s="26"/>
      <c r="J1805" s="98"/>
      <c r="K1805" s="36"/>
      <c r="L1805" s="26"/>
      <c r="M1805" s="26"/>
      <c r="N1805" s="26"/>
      <c r="O1805" s="93"/>
      <c r="P1805" s="95"/>
      <c r="Q1805" s="196"/>
    </row>
    <row r="1806" spans="3:17" x14ac:dyDescent="0.25">
      <c r="C1806" s="198"/>
      <c r="D1806" s="111"/>
      <c r="E1806" s="33"/>
      <c r="F1806" s="104"/>
      <c r="H1806" s="115"/>
      <c r="I1806" s="26"/>
      <c r="J1806" s="98"/>
      <c r="K1806" s="36"/>
      <c r="L1806" s="26"/>
      <c r="M1806" s="26"/>
      <c r="N1806" s="26"/>
      <c r="O1806" s="93"/>
      <c r="P1806" s="95"/>
      <c r="Q1806" s="196"/>
    </row>
    <row r="1807" spans="3:17" x14ac:dyDescent="0.25">
      <c r="C1807" s="198"/>
      <c r="D1807" s="111"/>
      <c r="E1807" s="33"/>
      <c r="F1807" s="104"/>
      <c r="H1807" s="115"/>
      <c r="I1807" s="26"/>
      <c r="J1807" s="98"/>
      <c r="K1807" s="36"/>
      <c r="L1807" s="26"/>
      <c r="M1807" s="26"/>
      <c r="N1807" s="26"/>
      <c r="O1807" s="93"/>
      <c r="P1807" s="95"/>
      <c r="Q1807" s="196"/>
    </row>
    <row r="1808" spans="3:17" x14ac:dyDescent="0.25">
      <c r="C1808" s="198"/>
      <c r="D1808" s="111"/>
      <c r="E1808" s="33"/>
      <c r="F1808" s="104"/>
      <c r="H1808" s="115"/>
      <c r="I1808" s="26"/>
      <c r="J1808" s="98"/>
      <c r="K1808" s="36"/>
      <c r="L1808" s="26"/>
      <c r="M1808" s="26"/>
      <c r="N1808" s="26"/>
      <c r="O1808" s="93"/>
      <c r="P1808" s="95"/>
      <c r="Q1808" s="196"/>
    </row>
    <row r="1809" spans="3:17" x14ac:dyDescent="0.25">
      <c r="C1809" s="198"/>
      <c r="D1809" s="111"/>
      <c r="E1809" s="33"/>
      <c r="F1809" s="104"/>
      <c r="H1809" s="115"/>
      <c r="I1809" s="26"/>
      <c r="J1809" s="98"/>
      <c r="K1809" s="36"/>
      <c r="L1809" s="26"/>
      <c r="M1809" s="26"/>
      <c r="N1809" s="26"/>
      <c r="O1809" s="93"/>
      <c r="P1809" s="95"/>
      <c r="Q1809" s="196"/>
    </row>
    <row r="1810" spans="3:17" x14ac:dyDescent="0.25">
      <c r="C1810" s="198"/>
      <c r="D1810" s="111"/>
      <c r="E1810" s="33"/>
      <c r="F1810" s="104"/>
      <c r="H1810" s="115"/>
      <c r="I1810" s="26"/>
      <c r="J1810" s="98"/>
      <c r="K1810" s="36"/>
      <c r="L1810" s="26"/>
      <c r="M1810" s="26"/>
      <c r="N1810" s="26"/>
      <c r="O1810" s="93"/>
      <c r="P1810" s="95"/>
      <c r="Q1810" s="196"/>
    </row>
    <row r="1811" spans="3:17" x14ac:dyDescent="0.25">
      <c r="C1811" s="198"/>
      <c r="D1811" s="111"/>
      <c r="E1811" s="33"/>
      <c r="F1811" s="104"/>
      <c r="H1811" s="115"/>
      <c r="I1811" s="26"/>
      <c r="J1811" s="98"/>
      <c r="K1811" s="36"/>
      <c r="L1811" s="26"/>
      <c r="M1811" s="26"/>
      <c r="N1811" s="26"/>
      <c r="O1811" s="93"/>
      <c r="P1811" s="95"/>
      <c r="Q1811" s="196"/>
    </row>
    <row r="1812" spans="3:17" x14ac:dyDescent="0.25">
      <c r="C1812" s="198"/>
      <c r="D1812" s="111"/>
      <c r="E1812" s="33"/>
      <c r="F1812" s="104"/>
      <c r="H1812" s="115"/>
      <c r="I1812" s="26"/>
      <c r="J1812" s="98"/>
      <c r="K1812" s="36"/>
      <c r="L1812" s="26"/>
      <c r="M1812" s="26"/>
      <c r="N1812" s="26"/>
      <c r="O1812" s="93"/>
      <c r="P1812" s="95"/>
      <c r="Q1812" s="196"/>
    </row>
    <row r="1813" spans="3:17" x14ac:dyDescent="0.25">
      <c r="C1813" s="198"/>
      <c r="D1813" s="111"/>
      <c r="E1813" s="33"/>
      <c r="F1813" s="104"/>
      <c r="H1813" s="115"/>
      <c r="I1813" s="26"/>
      <c r="J1813" s="98"/>
      <c r="K1813" s="36"/>
      <c r="L1813" s="26"/>
      <c r="M1813" s="26"/>
      <c r="N1813" s="26"/>
      <c r="O1813" s="93"/>
      <c r="P1813" s="95"/>
      <c r="Q1813" s="196"/>
    </row>
    <row r="1814" spans="3:17" x14ac:dyDescent="0.25">
      <c r="C1814" s="198"/>
      <c r="D1814" s="111"/>
      <c r="E1814" s="33"/>
      <c r="F1814" s="104"/>
      <c r="H1814" s="115"/>
      <c r="I1814" s="26"/>
      <c r="J1814" s="98"/>
      <c r="K1814" s="36"/>
      <c r="L1814" s="26"/>
      <c r="M1814" s="26"/>
      <c r="N1814" s="26"/>
      <c r="O1814" s="93"/>
      <c r="P1814" s="95"/>
      <c r="Q1814" s="196"/>
    </row>
    <row r="1815" spans="3:17" x14ac:dyDescent="0.25">
      <c r="C1815" s="198"/>
      <c r="D1815" s="111"/>
      <c r="E1815" s="33"/>
      <c r="F1815" s="104"/>
      <c r="H1815" s="115"/>
      <c r="I1815" s="26"/>
      <c r="J1815" s="98"/>
      <c r="K1815" s="36"/>
      <c r="L1815" s="26"/>
      <c r="M1815" s="26"/>
      <c r="N1815" s="26"/>
      <c r="O1815" s="93"/>
      <c r="P1815" s="95"/>
      <c r="Q1815" s="196"/>
    </row>
    <row r="1816" spans="3:17" x14ac:dyDescent="0.25">
      <c r="C1816" s="198"/>
      <c r="D1816" s="111"/>
      <c r="E1816" s="33"/>
      <c r="F1816" s="104"/>
      <c r="H1816" s="115"/>
      <c r="I1816" s="26"/>
      <c r="J1816" s="98"/>
      <c r="K1816" s="36"/>
      <c r="L1816" s="26"/>
      <c r="M1816" s="26"/>
      <c r="N1816" s="26"/>
      <c r="O1816" s="93"/>
      <c r="P1816" s="95"/>
      <c r="Q1816" s="196"/>
    </row>
    <row r="1817" spans="3:17" x14ac:dyDescent="0.25">
      <c r="C1817" s="198"/>
      <c r="D1817" s="111"/>
      <c r="E1817" s="33"/>
      <c r="F1817" s="104"/>
      <c r="H1817" s="115"/>
      <c r="I1817" s="26"/>
      <c r="J1817" s="98"/>
      <c r="K1817" s="36"/>
      <c r="L1817" s="26"/>
      <c r="M1817" s="26"/>
      <c r="N1817" s="26"/>
      <c r="O1817" s="93"/>
      <c r="P1817" s="95"/>
      <c r="Q1817" s="196"/>
    </row>
    <row r="1818" spans="3:17" x14ac:dyDescent="0.25">
      <c r="C1818" s="198"/>
      <c r="D1818" s="111"/>
      <c r="E1818" s="33"/>
      <c r="F1818" s="104"/>
      <c r="H1818" s="115"/>
      <c r="I1818" s="26"/>
      <c r="J1818" s="98"/>
      <c r="K1818" s="36"/>
      <c r="L1818" s="26"/>
      <c r="M1818" s="26"/>
      <c r="N1818" s="26"/>
      <c r="O1818" s="93"/>
      <c r="P1818" s="95"/>
      <c r="Q1818" s="196"/>
    </row>
    <row r="1819" spans="3:17" x14ac:dyDescent="0.25">
      <c r="C1819" s="198"/>
      <c r="D1819" s="111"/>
      <c r="E1819" s="33"/>
      <c r="F1819" s="104"/>
      <c r="H1819" s="115"/>
      <c r="I1819" s="26"/>
      <c r="J1819" s="98"/>
      <c r="K1819" s="36"/>
      <c r="L1819" s="26"/>
      <c r="M1819" s="26"/>
      <c r="N1819" s="26"/>
      <c r="O1819" s="93"/>
      <c r="P1819" s="95"/>
      <c r="Q1819" s="196"/>
    </row>
    <row r="1820" spans="3:17" x14ac:dyDescent="0.25">
      <c r="C1820" s="198"/>
      <c r="D1820" s="111"/>
      <c r="E1820" s="33"/>
      <c r="F1820" s="104"/>
      <c r="H1820" s="115"/>
      <c r="I1820" s="26"/>
      <c r="J1820" s="98"/>
      <c r="K1820" s="36"/>
      <c r="L1820" s="26"/>
      <c r="M1820" s="26"/>
      <c r="N1820" s="26"/>
      <c r="O1820" s="93"/>
      <c r="P1820" s="95"/>
      <c r="Q1820" s="196"/>
    </row>
    <row r="1821" spans="3:17" x14ac:dyDescent="0.25">
      <c r="C1821" s="198"/>
      <c r="D1821" s="111"/>
      <c r="E1821" s="33"/>
      <c r="F1821" s="104"/>
      <c r="H1821" s="115"/>
      <c r="I1821" s="26"/>
      <c r="J1821" s="98"/>
      <c r="K1821" s="36"/>
      <c r="L1821" s="26"/>
      <c r="M1821" s="26"/>
      <c r="N1821" s="26"/>
      <c r="O1821" s="93"/>
      <c r="P1821" s="95"/>
      <c r="Q1821" s="196"/>
    </row>
    <row r="1822" spans="3:17" x14ac:dyDescent="0.25">
      <c r="C1822" s="198"/>
      <c r="D1822" s="111"/>
      <c r="E1822" s="33"/>
      <c r="F1822" s="104"/>
      <c r="H1822" s="115"/>
      <c r="I1822" s="26"/>
      <c r="J1822" s="98"/>
      <c r="K1822" s="36"/>
      <c r="L1822" s="26"/>
      <c r="M1822" s="26"/>
      <c r="N1822" s="26"/>
      <c r="O1822" s="93"/>
      <c r="P1822" s="95"/>
      <c r="Q1822" s="196"/>
    </row>
    <row r="1823" spans="3:17" x14ac:dyDescent="0.25">
      <c r="C1823" s="198"/>
      <c r="D1823" s="111"/>
      <c r="E1823" s="33"/>
      <c r="F1823" s="104"/>
      <c r="H1823" s="115"/>
      <c r="I1823" s="26"/>
      <c r="J1823" s="98"/>
      <c r="K1823" s="36"/>
      <c r="L1823" s="26"/>
      <c r="M1823" s="26"/>
      <c r="N1823" s="26"/>
      <c r="O1823" s="93"/>
      <c r="P1823" s="95"/>
      <c r="Q1823" s="196"/>
    </row>
    <row r="1824" spans="3:17" x14ac:dyDescent="0.25">
      <c r="C1824" s="198"/>
      <c r="D1824" s="111"/>
      <c r="E1824" s="33"/>
      <c r="F1824" s="104"/>
      <c r="H1824" s="115"/>
      <c r="I1824" s="26"/>
      <c r="J1824" s="98"/>
      <c r="K1824" s="36"/>
      <c r="L1824" s="26"/>
      <c r="M1824" s="26"/>
      <c r="N1824" s="26"/>
      <c r="O1824" s="93"/>
      <c r="P1824" s="95"/>
      <c r="Q1824" s="196"/>
    </row>
    <row r="1825" spans="3:17" x14ac:dyDescent="0.25">
      <c r="C1825" s="198"/>
      <c r="D1825" s="111"/>
      <c r="E1825" s="33"/>
      <c r="F1825" s="104"/>
      <c r="H1825" s="115"/>
      <c r="I1825" s="26"/>
      <c r="J1825" s="98"/>
      <c r="K1825" s="36"/>
      <c r="L1825" s="26"/>
      <c r="M1825" s="26"/>
      <c r="N1825" s="26"/>
      <c r="O1825" s="93"/>
      <c r="P1825" s="95"/>
      <c r="Q1825" s="196"/>
    </row>
    <row r="1826" spans="3:17" x14ac:dyDescent="0.25">
      <c r="C1826" s="198"/>
      <c r="D1826" s="111"/>
      <c r="E1826" s="33"/>
      <c r="F1826" s="104"/>
      <c r="H1826" s="115"/>
      <c r="I1826" s="26"/>
      <c r="J1826" s="98"/>
      <c r="K1826" s="36"/>
      <c r="L1826" s="26"/>
      <c r="M1826" s="26"/>
      <c r="N1826" s="26"/>
      <c r="O1826" s="93"/>
      <c r="P1826" s="95"/>
      <c r="Q1826" s="196"/>
    </row>
    <row r="1827" spans="3:17" x14ac:dyDescent="0.25">
      <c r="C1827" s="198"/>
      <c r="D1827" s="111"/>
      <c r="E1827" s="33"/>
      <c r="F1827" s="104"/>
      <c r="H1827" s="115"/>
      <c r="I1827" s="26"/>
      <c r="J1827" s="98"/>
      <c r="K1827" s="36"/>
      <c r="L1827" s="26"/>
      <c r="M1827" s="26"/>
      <c r="N1827" s="26"/>
      <c r="O1827" s="93"/>
      <c r="P1827" s="95"/>
      <c r="Q1827" s="196"/>
    </row>
    <row r="1828" spans="3:17" x14ac:dyDescent="0.25">
      <c r="C1828" s="198"/>
      <c r="D1828" s="111"/>
      <c r="E1828" s="33"/>
      <c r="F1828" s="104"/>
      <c r="H1828" s="115"/>
      <c r="I1828" s="26"/>
      <c r="J1828" s="98"/>
      <c r="K1828" s="36"/>
      <c r="L1828" s="26"/>
      <c r="M1828" s="26"/>
      <c r="N1828" s="26"/>
      <c r="O1828" s="93"/>
      <c r="P1828" s="95"/>
      <c r="Q1828" s="196"/>
    </row>
    <row r="1829" spans="3:17" x14ac:dyDescent="0.25">
      <c r="C1829" s="198"/>
      <c r="D1829" s="111"/>
      <c r="E1829" s="33"/>
      <c r="F1829" s="104"/>
      <c r="H1829" s="115"/>
      <c r="I1829" s="26"/>
      <c r="J1829" s="98"/>
      <c r="K1829" s="36"/>
      <c r="L1829" s="26"/>
      <c r="M1829" s="26"/>
      <c r="N1829" s="26"/>
      <c r="O1829" s="93"/>
      <c r="P1829" s="95"/>
      <c r="Q1829" s="196"/>
    </row>
    <row r="1830" spans="3:17" x14ac:dyDescent="0.25">
      <c r="C1830" s="198"/>
      <c r="D1830" s="111"/>
      <c r="E1830" s="33"/>
      <c r="F1830" s="104"/>
      <c r="H1830" s="115"/>
      <c r="I1830" s="26"/>
      <c r="J1830" s="98"/>
      <c r="K1830" s="36"/>
      <c r="L1830" s="26"/>
      <c r="M1830" s="26"/>
      <c r="N1830" s="26"/>
      <c r="O1830" s="93"/>
      <c r="P1830" s="95"/>
      <c r="Q1830" s="196"/>
    </row>
    <row r="1831" spans="3:17" x14ac:dyDescent="0.25">
      <c r="C1831" s="198"/>
      <c r="D1831" s="111"/>
      <c r="E1831" s="33"/>
      <c r="F1831" s="104"/>
      <c r="H1831" s="115"/>
      <c r="I1831" s="26"/>
      <c r="J1831" s="98"/>
      <c r="K1831" s="36"/>
      <c r="L1831" s="26"/>
      <c r="M1831" s="26"/>
      <c r="N1831" s="26"/>
      <c r="O1831" s="93"/>
      <c r="P1831" s="95"/>
      <c r="Q1831" s="196"/>
    </row>
    <row r="1832" spans="3:17" x14ac:dyDescent="0.25">
      <c r="C1832" s="198"/>
      <c r="D1832" s="111"/>
      <c r="E1832" s="33"/>
      <c r="F1832" s="104"/>
      <c r="H1832" s="115"/>
      <c r="I1832" s="26"/>
      <c r="J1832" s="98"/>
      <c r="K1832" s="36"/>
      <c r="L1832" s="26"/>
      <c r="M1832" s="26"/>
      <c r="N1832" s="26"/>
      <c r="O1832" s="93"/>
      <c r="P1832" s="95"/>
      <c r="Q1832" s="196"/>
    </row>
    <row r="1833" spans="3:17" x14ac:dyDescent="0.25">
      <c r="C1833" s="198"/>
      <c r="D1833" s="111"/>
      <c r="E1833" s="33"/>
      <c r="F1833" s="104"/>
      <c r="H1833" s="115"/>
      <c r="I1833" s="26"/>
      <c r="J1833" s="98"/>
      <c r="K1833" s="36"/>
      <c r="L1833" s="26"/>
      <c r="M1833" s="26"/>
      <c r="N1833" s="26"/>
      <c r="O1833" s="93"/>
      <c r="P1833" s="95"/>
      <c r="Q1833" s="196"/>
    </row>
    <row r="1834" spans="3:17" x14ac:dyDescent="0.25">
      <c r="C1834" s="198"/>
      <c r="D1834" s="111"/>
      <c r="E1834" s="33"/>
      <c r="F1834" s="104"/>
      <c r="H1834" s="115"/>
      <c r="I1834" s="26"/>
      <c r="J1834" s="98"/>
      <c r="K1834" s="36"/>
      <c r="L1834" s="26"/>
      <c r="M1834" s="26"/>
      <c r="N1834" s="26"/>
      <c r="O1834" s="93"/>
      <c r="P1834" s="95"/>
      <c r="Q1834" s="196"/>
    </row>
    <row r="1835" spans="3:17" x14ac:dyDescent="0.25">
      <c r="C1835" s="198"/>
      <c r="D1835" s="111"/>
      <c r="E1835" s="33"/>
      <c r="F1835" s="104"/>
      <c r="H1835" s="115"/>
      <c r="I1835" s="26"/>
      <c r="J1835" s="98"/>
      <c r="K1835" s="36"/>
      <c r="L1835" s="26"/>
      <c r="M1835" s="26"/>
      <c r="N1835" s="26"/>
      <c r="O1835" s="93"/>
      <c r="P1835" s="95"/>
      <c r="Q1835" s="196"/>
    </row>
    <row r="1836" spans="3:17" x14ac:dyDescent="0.25">
      <c r="C1836" s="198"/>
      <c r="D1836" s="111"/>
      <c r="E1836" s="33"/>
      <c r="F1836" s="104"/>
      <c r="H1836" s="115"/>
      <c r="I1836" s="26"/>
      <c r="J1836" s="98"/>
      <c r="K1836" s="36"/>
      <c r="L1836" s="26"/>
      <c r="M1836" s="26"/>
      <c r="N1836" s="26"/>
      <c r="O1836" s="93"/>
      <c r="P1836" s="95"/>
      <c r="Q1836" s="196"/>
    </row>
    <row r="1837" spans="3:17" x14ac:dyDescent="0.25">
      <c r="C1837" s="198"/>
      <c r="D1837" s="111"/>
      <c r="E1837" s="33"/>
      <c r="F1837" s="104"/>
      <c r="H1837" s="115"/>
      <c r="I1837" s="26"/>
      <c r="J1837" s="98"/>
      <c r="K1837" s="36"/>
      <c r="L1837" s="26"/>
      <c r="M1837" s="26"/>
      <c r="N1837" s="26"/>
      <c r="O1837" s="93"/>
      <c r="P1837" s="95"/>
      <c r="Q1837" s="196"/>
    </row>
    <row r="1838" spans="3:17" x14ac:dyDescent="0.25">
      <c r="C1838" s="198"/>
      <c r="D1838" s="111"/>
      <c r="E1838" s="33"/>
      <c r="F1838" s="104"/>
      <c r="H1838" s="115"/>
      <c r="I1838" s="26"/>
      <c r="J1838" s="98"/>
      <c r="K1838" s="36"/>
      <c r="L1838" s="26"/>
      <c r="M1838" s="26"/>
      <c r="N1838" s="26"/>
      <c r="O1838" s="93"/>
      <c r="P1838" s="95"/>
      <c r="Q1838" s="196"/>
    </row>
    <row r="1839" spans="3:17" x14ac:dyDescent="0.25">
      <c r="C1839" s="198"/>
      <c r="D1839" s="111"/>
      <c r="E1839" s="33"/>
      <c r="F1839" s="104"/>
      <c r="H1839" s="115"/>
      <c r="I1839" s="26"/>
      <c r="J1839" s="98"/>
      <c r="K1839" s="36"/>
      <c r="L1839" s="26"/>
      <c r="M1839" s="26"/>
      <c r="N1839" s="26"/>
      <c r="O1839" s="93"/>
      <c r="P1839" s="95"/>
      <c r="Q1839" s="196"/>
    </row>
    <row r="1840" spans="3:17" x14ac:dyDescent="0.25">
      <c r="C1840" s="198"/>
      <c r="D1840" s="111"/>
      <c r="E1840" s="33"/>
      <c r="F1840" s="104"/>
      <c r="H1840" s="115"/>
      <c r="I1840" s="26"/>
      <c r="J1840" s="98"/>
      <c r="K1840" s="36"/>
      <c r="L1840" s="26"/>
      <c r="M1840" s="26"/>
      <c r="N1840" s="26"/>
      <c r="O1840" s="93"/>
      <c r="P1840" s="95"/>
      <c r="Q1840" s="196"/>
    </row>
    <row r="1841" spans="3:17" x14ac:dyDescent="0.25">
      <c r="C1841" s="198"/>
      <c r="D1841" s="111"/>
      <c r="E1841" s="33"/>
      <c r="F1841" s="104"/>
      <c r="H1841" s="115"/>
      <c r="I1841" s="26"/>
      <c r="J1841" s="98"/>
      <c r="K1841" s="36"/>
      <c r="L1841" s="26"/>
      <c r="M1841" s="26"/>
      <c r="N1841" s="26"/>
      <c r="O1841" s="93"/>
      <c r="P1841" s="95"/>
      <c r="Q1841" s="196"/>
    </row>
    <row r="1842" spans="3:17" x14ac:dyDescent="0.25">
      <c r="C1842" s="198"/>
      <c r="D1842" s="111"/>
      <c r="E1842" s="33"/>
      <c r="F1842" s="104"/>
      <c r="H1842" s="115"/>
      <c r="I1842" s="26"/>
      <c r="J1842" s="98"/>
      <c r="K1842" s="36"/>
      <c r="L1842" s="26"/>
      <c r="M1842" s="26"/>
      <c r="N1842" s="26"/>
      <c r="O1842" s="93"/>
      <c r="P1842" s="95"/>
      <c r="Q1842" s="196"/>
    </row>
    <row r="1843" spans="3:17" x14ac:dyDescent="0.25">
      <c r="C1843" s="198"/>
      <c r="D1843" s="111"/>
      <c r="E1843" s="33"/>
      <c r="F1843" s="104"/>
      <c r="H1843" s="115"/>
      <c r="I1843" s="26"/>
      <c r="J1843" s="98"/>
      <c r="K1843" s="36"/>
      <c r="L1843" s="26"/>
      <c r="M1843" s="26"/>
      <c r="N1843" s="26"/>
      <c r="O1843" s="93"/>
      <c r="P1843" s="95"/>
      <c r="Q1843" s="196"/>
    </row>
    <row r="1844" spans="3:17" x14ac:dyDescent="0.25">
      <c r="C1844" s="198"/>
      <c r="D1844" s="111"/>
      <c r="E1844" s="33"/>
      <c r="F1844" s="104"/>
      <c r="H1844" s="115"/>
      <c r="I1844" s="26"/>
      <c r="J1844" s="98"/>
      <c r="K1844" s="36"/>
      <c r="L1844" s="26"/>
      <c r="M1844" s="26"/>
      <c r="N1844" s="26"/>
      <c r="O1844" s="93"/>
      <c r="P1844" s="95"/>
      <c r="Q1844" s="196"/>
    </row>
    <row r="1845" spans="3:17" x14ac:dyDescent="0.25">
      <c r="C1845" s="198"/>
      <c r="D1845" s="111"/>
      <c r="E1845" s="33"/>
      <c r="F1845" s="104"/>
      <c r="H1845" s="115"/>
      <c r="I1845" s="26"/>
      <c r="J1845" s="98"/>
      <c r="K1845" s="36"/>
      <c r="L1845" s="26"/>
      <c r="M1845" s="26"/>
      <c r="N1845" s="26"/>
      <c r="O1845" s="93"/>
      <c r="P1845" s="95"/>
      <c r="Q1845" s="196"/>
    </row>
    <row r="1846" spans="3:17" x14ac:dyDescent="0.25">
      <c r="C1846" s="198"/>
      <c r="D1846" s="111"/>
      <c r="E1846" s="33"/>
      <c r="F1846" s="104"/>
      <c r="H1846" s="115"/>
      <c r="I1846" s="26"/>
      <c r="J1846" s="98"/>
      <c r="K1846" s="36"/>
      <c r="L1846" s="26"/>
      <c r="M1846" s="26"/>
      <c r="N1846" s="26"/>
      <c r="O1846" s="93"/>
      <c r="P1846" s="95"/>
      <c r="Q1846" s="196"/>
    </row>
    <row r="1847" spans="3:17" x14ac:dyDescent="0.25">
      <c r="C1847" s="198"/>
      <c r="D1847" s="111"/>
      <c r="E1847" s="33"/>
      <c r="F1847" s="104"/>
      <c r="H1847" s="115"/>
      <c r="I1847" s="26"/>
      <c r="J1847" s="98"/>
      <c r="K1847" s="36"/>
      <c r="L1847" s="26"/>
      <c r="M1847" s="26"/>
      <c r="N1847" s="26"/>
      <c r="O1847" s="93"/>
      <c r="P1847" s="95"/>
      <c r="Q1847" s="196"/>
    </row>
    <row r="1848" spans="3:17" x14ac:dyDescent="0.25">
      <c r="C1848" s="198"/>
      <c r="D1848" s="111"/>
      <c r="E1848" s="33"/>
      <c r="F1848" s="104"/>
      <c r="H1848" s="115"/>
      <c r="I1848" s="26"/>
      <c r="J1848" s="98"/>
      <c r="K1848" s="36"/>
      <c r="L1848" s="26"/>
      <c r="M1848" s="26"/>
      <c r="N1848" s="26"/>
      <c r="O1848" s="93"/>
      <c r="P1848" s="95"/>
      <c r="Q1848" s="196"/>
    </row>
    <row r="1849" spans="3:17" x14ac:dyDescent="0.25">
      <c r="C1849" s="198"/>
      <c r="D1849" s="111"/>
      <c r="E1849" s="33"/>
      <c r="F1849" s="104"/>
      <c r="H1849" s="115"/>
      <c r="I1849" s="26"/>
      <c r="J1849" s="98"/>
      <c r="K1849" s="36"/>
      <c r="L1849" s="26"/>
      <c r="M1849" s="26"/>
      <c r="N1849" s="26"/>
      <c r="O1849" s="93"/>
      <c r="P1849" s="95"/>
      <c r="Q1849" s="196"/>
    </row>
    <row r="1850" spans="3:17" x14ac:dyDescent="0.25">
      <c r="C1850" s="198"/>
      <c r="D1850" s="111"/>
      <c r="E1850" s="33"/>
      <c r="F1850" s="104"/>
      <c r="H1850" s="115"/>
      <c r="I1850" s="26"/>
      <c r="J1850" s="98"/>
      <c r="K1850" s="36"/>
      <c r="L1850" s="26"/>
      <c r="M1850" s="26"/>
      <c r="N1850" s="26"/>
      <c r="O1850" s="93"/>
      <c r="P1850" s="95"/>
      <c r="Q1850" s="196"/>
    </row>
    <row r="1851" spans="3:17" x14ac:dyDescent="0.25">
      <c r="C1851" s="198"/>
      <c r="D1851" s="111"/>
      <c r="E1851" s="33"/>
      <c r="F1851" s="104"/>
      <c r="H1851" s="115"/>
      <c r="I1851" s="26"/>
      <c r="J1851" s="98"/>
      <c r="K1851" s="36"/>
      <c r="L1851" s="26"/>
      <c r="M1851" s="26"/>
      <c r="N1851" s="26"/>
      <c r="O1851" s="93"/>
      <c r="P1851" s="95"/>
      <c r="Q1851" s="196"/>
    </row>
    <row r="1852" spans="3:17" x14ac:dyDescent="0.25">
      <c r="C1852" s="198"/>
      <c r="D1852" s="111"/>
      <c r="E1852" s="33"/>
      <c r="F1852" s="104"/>
      <c r="H1852" s="115"/>
      <c r="I1852" s="26"/>
      <c r="J1852" s="98"/>
      <c r="K1852" s="36"/>
      <c r="L1852" s="26"/>
      <c r="M1852" s="26"/>
      <c r="N1852" s="26"/>
      <c r="O1852" s="93"/>
      <c r="P1852" s="95"/>
      <c r="Q1852" s="196"/>
    </row>
    <row r="1853" spans="3:17" x14ac:dyDescent="0.25">
      <c r="C1853" s="198"/>
      <c r="D1853" s="111"/>
      <c r="E1853" s="33"/>
      <c r="F1853" s="104"/>
      <c r="H1853" s="115"/>
      <c r="I1853" s="26"/>
      <c r="J1853" s="98"/>
      <c r="K1853" s="36"/>
      <c r="L1853" s="26"/>
      <c r="M1853" s="26"/>
      <c r="N1853" s="26"/>
      <c r="O1853" s="93"/>
      <c r="P1853" s="95"/>
      <c r="Q1853" s="196"/>
    </row>
    <row r="1854" spans="3:17" x14ac:dyDescent="0.25">
      <c r="C1854" s="198"/>
      <c r="D1854" s="111"/>
      <c r="E1854" s="33"/>
      <c r="F1854" s="104"/>
      <c r="H1854" s="115"/>
      <c r="I1854" s="26"/>
      <c r="J1854" s="98"/>
      <c r="K1854" s="36"/>
      <c r="L1854" s="26"/>
      <c r="M1854" s="26"/>
      <c r="N1854" s="26"/>
      <c r="O1854" s="93"/>
      <c r="P1854" s="95"/>
      <c r="Q1854" s="196"/>
    </row>
    <row r="1855" spans="3:17" x14ac:dyDescent="0.25">
      <c r="C1855" s="198"/>
      <c r="D1855" s="111"/>
      <c r="E1855" s="33"/>
      <c r="F1855" s="104"/>
      <c r="H1855" s="115"/>
      <c r="I1855" s="26"/>
      <c r="J1855" s="98"/>
      <c r="K1855" s="36"/>
      <c r="L1855" s="26"/>
      <c r="M1855" s="26"/>
      <c r="N1855" s="26"/>
      <c r="O1855" s="93"/>
      <c r="P1855" s="95"/>
      <c r="Q1855" s="196"/>
    </row>
    <row r="1856" spans="3:17" x14ac:dyDescent="0.25">
      <c r="C1856" s="198"/>
      <c r="D1856" s="111"/>
      <c r="E1856" s="33"/>
      <c r="F1856" s="104"/>
      <c r="H1856" s="115"/>
      <c r="I1856" s="26"/>
      <c r="J1856" s="98"/>
      <c r="K1856" s="36"/>
      <c r="L1856" s="26"/>
      <c r="M1856" s="26"/>
      <c r="N1856" s="26"/>
      <c r="O1856" s="93"/>
      <c r="P1856" s="95"/>
      <c r="Q1856" s="196"/>
    </row>
    <row r="1857" spans="3:17" x14ac:dyDescent="0.25">
      <c r="C1857" s="198"/>
      <c r="D1857" s="111"/>
      <c r="E1857" s="33"/>
      <c r="F1857" s="104"/>
      <c r="H1857" s="115"/>
      <c r="I1857" s="26"/>
      <c r="J1857" s="98"/>
      <c r="K1857" s="36"/>
      <c r="L1857" s="26"/>
      <c r="M1857" s="26"/>
      <c r="N1857" s="26"/>
      <c r="O1857" s="93"/>
      <c r="P1857" s="95"/>
      <c r="Q1857" s="196"/>
    </row>
    <row r="1858" spans="3:17" x14ac:dyDescent="0.25">
      <c r="C1858" s="198"/>
      <c r="D1858" s="111"/>
      <c r="E1858" s="33"/>
      <c r="F1858" s="104"/>
      <c r="H1858" s="115"/>
      <c r="I1858" s="26"/>
      <c r="J1858" s="98"/>
      <c r="K1858" s="36"/>
      <c r="L1858" s="26"/>
      <c r="M1858" s="26"/>
      <c r="N1858" s="26"/>
      <c r="O1858" s="93"/>
      <c r="P1858" s="95"/>
      <c r="Q1858" s="196"/>
    </row>
    <row r="1859" spans="3:17" x14ac:dyDescent="0.25">
      <c r="C1859" s="198"/>
      <c r="D1859" s="111"/>
      <c r="E1859" s="33"/>
      <c r="F1859" s="104"/>
      <c r="H1859" s="115"/>
      <c r="I1859" s="26"/>
      <c r="J1859" s="98"/>
      <c r="K1859" s="36"/>
      <c r="L1859" s="26"/>
      <c r="M1859" s="26"/>
      <c r="N1859" s="26"/>
      <c r="O1859" s="93"/>
      <c r="P1859" s="95"/>
      <c r="Q1859" s="196"/>
    </row>
    <row r="1860" spans="3:17" x14ac:dyDescent="0.25">
      <c r="C1860" s="198"/>
      <c r="D1860" s="111"/>
      <c r="E1860" s="33"/>
      <c r="F1860" s="104"/>
      <c r="H1860" s="115"/>
      <c r="I1860" s="26"/>
      <c r="J1860" s="98"/>
      <c r="K1860" s="36"/>
      <c r="L1860" s="26"/>
      <c r="M1860" s="26"/>
      <c r="N1860" s="26"/>
      <c r="O1860" s="93"/>
      <c r="P1860" s="95"/>
      <c r="Q1860" s="196"/>
    </row>
    <row r="1861" spans="3:17" x14ac:dyDescent="0.25">
      <c r="C1861" s="198"/>
      <c r="D1861" s="111"/>
      <c r="E1861" s="33"/>
      <c r="F1861" s="104"/>
      <c r="H1861" s="115"/>
      <c r="I1861" s="26"/>
      <c r="J1861" s="98"/>
      <c r="K1861" s="36"/>
      <c r="L1861" s="26"/>
      <c r="M1861" s="26"/>
      <c r="N1861" s="26"/>
      <c r="O1861" s="93"/>
      <c r="P1861" s="95"/>
      <c r="Q1861" s="196"/>
    </row>
    <row r="1862" spans="3:17" x14ac:dyDescent="0.25">
      <c r="C1862" s="198"/>
      <c r="D1862" s="111"/>
      <c r="E1862" s="33"/>
      <c r="F1862" s="104"/>
      <c r="H1862" s="115"/>
      <c r="I1862" s="26"/>
      <c r="J1862" s="98"/>
      <c r="K1862" s="36"/>
      <c r="L1862" s="26"/>
      <c r="M1862" s="26"/>
      <c r="N1862" s="26"/>
      <c r="O1862" s="93"/>
      <c r="P1862" s="95"/>
      <c r="Q1862" s="196"/>
    </row>
    <row r="1863" spans="3:17" x14ac:dyDescent="0.25">
      <c r="C1863" s="198"/>
      <c r="D1863" s="111"/>
      <c r="E1863" s="33"/>
      <c r="F1863" s="104"/>
      <c r="H1863" s="115"/>
      <c r="I1863" s="26"/>
      <c r="J1863" s="98"/>
      <c r="K1863" s="36"/>
      <c r="L1863" s="26"/>
      <c r="M1863" s="26"/>
      <c r="N1863" s="26"/>
      <c r="O1863" s="93"/>
      <c r="P1863" s="95"/>
      <c r="Q1863" s="196"/>
    </row>
    <row r="1864" spans="3:17" x14ac:dyDescent="0.25">
      <c r="C1864" s="198"/>
      <c r="D1864" s="111"/>
      <c r="E1864" s="33"/>
      <c r="F1864" s="104"/>
      <c r="H1864" s="115"/>
      <c r="I1864" s="26"/>
      <c r="J1864" s="98"/>
      <c r="K1864" s="36"/>
      <c r="L1864" s="26"/>
      <c r="M1864" s="26"/>
      <c r="N1864" s="26"/>
      <c r="O1864" s="93"/>
      <c r="P1864" s="95"/>
      <c r="Q1864" s="196"/>
    </row>
    <row r="1865" spans="3:17" x14ac:dyDescent="0.25">
      <c r="C1865" s="198"/>
      <c r="D1865" s="111"/>
      <c r="E1865" s="33"/>
      <c r="F1865" s="104"/>
      <c r="H1865" s="115"/>
      <c r="I1865" s="26"/>
      <c r="J1865" s="98"/>
      <c r="K1865" s="36"/>
      <c r="L1865" s="26"/>
      <c r="M1865" s="26"/>
      <c r="N1865" s="26"/>
      <c r="O1865" s="93"/>
      <c r="P1865" s="95"/>
      <c r="Q1865" s="196"/>
    </row>
    <row r="1866" spans="3:17" x14ac:dyDescent="0.25">
      <c r="C1866" s="198"/>
      <c r="D1866" s="111"/>
      <c r="E1866" s="33"/>
      <c r="F1866" s="104"/>
      <c r="H1866" s="115"/>
      <c r="I1866" s="26"/>
      <c r="J1866" s="98"/>
      <c r="K1866" s="36"/>
      <c r="L1866" s="26"/>
      <c r="M1866" s="26"/>
      <c r="N1866" s="26"/>
      <c r="O1866" s="93"/>
      <c r="P1866" s="95"/>
      <c r="Q1866" s="196"/>
    </row>
    <row r="1867" spans="3:17" x14ac:dyDescent="0.25">
      <c r="C1867" s="198"/>
      <c r="D1867" s="111"/>
      <c r="E1867" s="33"/>
      <c r="F1867" s="104"/>
      <c r="H1867" s="115"/>
      <c r="I1867" s="26"/>
      <c r="J1867" s="98"/>
      <c r="K1867" s="36"/>
      <c r="L1867" s="26"/>
      <c r="M1867" s="26"/>
      <c r="N1867" s="26"/>
      <c r="O1867" s="93"/>
      <c r="P1867" s="95"/>
      <c r="Q1867" s="196"/>
    </row>
    <row r="1868" spans="3:17" x14ac:dyDescent="0.25">
      <c r="C1868" s="198"/>
      <c r="D1868" s="111"/>
      <c r="E1868" s="33"/>
      <c r="F1868" s="104"/>
      <c r="H1868" s="115"/>
      <c r="I1868" s="26"/>
      <c r="J1868" s="98"/>
      <c r="K1868" s="36"/>
      <c r="L1868" s="26"/>
      <c r="M1868" s="26"/>
      <c r="N1868" s="26"/>
      <c r="O1868" s="93"/>
      <c r="P1868" s="95"/>
      <c r="Q1868" s="196"/>
    </row>
    <row r="1869" spans="3:17" x14ac:dyDescent="0.25">
      <c r="C1869" s="198"/>
      <c r="D1869" s="111"/>
      <c r="E1869" s="33"/>
      <c r="F1869" s="104"/>
      <c r="H1869" s="115"/>
      <c r="I1869" s="26"/>
      <c r="J1869" s="98"/>
      <c r="K1869" s="36"/>
      <c r="L1869" s="26"/>
      <c r="M1869" s="26"/>
      <c r="N1869" s="26"/>
      <c r="O1869" s="93"/>
      <c r="P1869" s="95"/>
      <c r="Q1869" s="196"/>
    </row>
    <row r="1870" spans="3:17" x14ac:dyDescent="0.25">
      <c r="C1870" s="198"/>
      <c r="D1870" s="111"/>
      <c r="E1870" s="33"/>
      <c r="F1870" s="104"/>
      <c r="H1870" s="115"/>
      <c r="I1870" s="26"/>
      <c r="J1870" s="98"/>
      <c r="K1870" s="36"/>
      <c r="L1870" s="26"/>
      <c r="M1870" s="26"/>
      <c r="N1870" s="26"/>
      <c r="O1870" s="93"/>
      <c r="P1870" s="95"/>
      <c r="Q1870" s="196"/>
    </row>
    <row r="1871" spans="3:17" x14ac:dyDescent="0.25">
      <c r="C1871" s="198"/>
      <c r="D1871" s="111"/>
      <c r="E1871" s="33"/>
      <c r="F1871" s="104"/>
      <c r="H1871" s="115"/>
      <c r="I1871" s="26"/>
      <c r="J1871" s="98"/>
      <c r="K1871" s="36"/>
      <c r="L1871" s="26"/>
      <c r="M1871" s="26"/>
      <c r="N1871" s="26"/>
      <c r="O1871" s="93"/>
      <c r="P1871" s="95"/>
      <c r="Q1871" s="196"/>
    </row>
    <row r="1872" spans="3:17" x14ac:dyDescent="0.25">
      <c r="C1872" s="198"/>
      <c r="D1872" s="111"/>
      <c r="E1872" s="33"/>
      <c r="F1872" s="104"/>
      <c r="H1872" s="115"/>
      <c r="I1872" s="26"/>
      <c r="J1872" s="98"/>
      <c r="K1872" s="36"/>
      <c r="L1872" s="26"/>
      <c r="M1872" s="26"/>
      <c r="N1872" s="26"/>
      <c r="O1872" s="93"/>
      <c r="P1872" s="95"/>
      <c r="Q1872" s="196"/>
    </row>
    <row r="1873" spans="3:17" x14ac:dyDescent="0.25">
      <c r="C1873" s="198"/>
      <c r="D1873" s="111"/>
      <c r="E1873" s="33"/>
      <c r="F1873" s="104"/>
      <c r="H1873" s="115"/>
      <c r="I1873" s="26"/>
      <c r="J1873" s="98"/>
      <c r="K1873" s="36"/>
      <c r="L1873" s="26"/>
      <c r="M1873" s="26"/>
      <c r="N1873" s="26"/>
      <c r="O1873" s="93"/>
      <c r="P1873" s="95"/>
      <c r="Q1873" s="196"/>
    </row>
    <row r="1874" spans="3:17" x14ac:dyDescent="0.25">
      <c r="C1874" s="198"/>
      <c r="D1874" s="111"/>
      <c r="E1874" s="33"/>
      <c r="F1874" s="104"/>
      <c r="H1874" s="115"/>
      <c r="I1874" s="26"/>
      <c r="J1874" s="98"/>
      <c r="K1874" s="36"/>
      <c r="L1874" s="26"/>
      <c r="M1874" s="26"/>
      <c r="N1874" s="26"/>
      <c r="O1874" s="93"/>
      <c r="P1874" s="95"/>
      <c r="Q1874" s="196"/>
    </row>
    <row r="1875" spans="3:17" x14ac:dyDescent="0.25">
      <c r="C1875" s="198"/>
      <c r="D1875" s="111"/>
      <c r="E1875" s="33"/>
      <c r="F1875" s="104"/>
      <c r="H1875" s="115"/>
      <c r="I1875" s="26"/>
      <c r="J1875" s="98"/>
      <c r="K1875" s="36"/>
      <c r="L1875" s="26"/>
      <c r="M1875" s="26"/>
      <c r="N1875" s="26"/>
      <c r="O1875" s="93"/>
      <c r="P1875" s="95"/>
      <c r="Q1875" s="196"/>
    </row>
    <row r="1876" spans="3:17" x14ac:dyDescent="0.25">
      <c r="C1876" s="198"/>
      <c r="D1876" s="111"/>
      <c r="E1876" s="33"/>
      <c r="F1876" s="104"/>
      <c r="H1876" s="115"/>
      <c r="I1876" s="26"/>
      <c r="J1876" s="98"/>
      <c r="K1876" s="36"/>
      <c r="L1876" s="26"/>
      <c r="M1876" s="26"/>
      <c r="N1876" s="26"/>
      <c r="O1876" s="93"/>
      <c r="P1876" s="95"/>
      <c r="Q1876" s="196"/>
    </row>
    <row r="1877" spans="3:17" x14ac:dyDescent="0.25">
      <c r="C1877" s="198"/>
      <c r="D1877" s="111"/>
      <c r="E1877" s="33"/>
      <c r="F1877" s="104"/>
      <c r="H1877" s="115"/>
      <c r="I1877" s="26"/>
      <c r="J1877" s="98"/>
      <c r="K1877" s="36"/>
      <c r="L1877" s="26"/>
      <c r="M1877" s="26"/>
      <c r="N1877" s="26"/>
      <c r="O1877" s="93"/>
      <c r="P1877" s="95"/>
      <c r="Q1877" s="196"/>
    </row>
    <row r="1878" spans="3:17" x14ac:dyDescent="0.25">
      <c r="C1878" s="198"/>
      <c r="D1878" s="111"/>
      <c r="E1878" s="33"/>
      <c r="F1878" s="104"/>
      <c r="H1878" s="115"/>
      <c r="I1878" s="26"/>
      <c r="J1878" s="98"/>
      <c r="K1878" s="36"/>
      <c r="L1878" s="26"/>
      <c r="M1878" s="26"/>
      <c r="N1878" s="26"/>
      <c r="O1878" s="93"/>
      <c r="P1878" s="95"/>
      <c r="Q1878" s="196"/>
    </row>
    <row r="1879" spans="3:17" x14ac:dyDescent="0.25">
      <c r="C1879" s="198"/>
      <c r="D1879" s="111"/>
      <c r="E1879" s="33"/>
      <c r="F1879" s="104"/>
      <c r="H1879" s="115"/>
      <c r="I1879" s="26"/>
      <c r="J1879" s="98"/>
      <c r="K1879" s="36"/>
      <c r="L1879" s="26"/>
      <c r="M1879" s="26"/>
      <c r="N1879" s="26"/>
      <c r="O1879" s="93"/>
      <c r="P1879" s="95"/>
      <c r="Q1879" s="196"/>
    </row>
    <row r="1880" spans="3:17" x14ac:dyDescent="0.25">
      <c r="C1880" s="198"/>
      <c r="D1880" s="111"/>
      <c r="E1880" s="33"/>
      <c r="F1880" s="104"/>
      <c r="H1880" s="115"/>
      <c r="I1880" s="26"/>
      <c r="J1880" s="98"/>
      <c r="K1880" s="36"/>
      <c r="L1880" s="26"/>
      <c r="M1880" s="26"/>
      <c r="N1880" s="26"/>
      <c r="O1880" s="93"/>
      <c r="P1880" s="95"/>
      <c r="Q1880" s="196"/>
    </row>
    <row r="1881" spans="3:17" x14ac:dyDescent="0.25">
      <c r="C1881" s="198"/>
      <c r="D1881" s="111"/>
      <c r="E1881" s="33"/>
      <c r="F1881" s="104"/>
      <c r="H1881" s="115"/>
      <c r="I1881" s="26"/>
      <c r="J1881" s="98"/>
      <c r="K1881" s="36"/>
      <c r="L1881" s="26"/>
      <c r="M1881" s="26"/>
      <c r="N1881" s="26"/>
      <c r="O1881" s="93"/>
      <c r="P1881" s="95"/>
      <c r="Q1881" s="196"/>
    </row>
    <row r="1882" spans="3:17" x14ac:dyDescent="0.25">
      <c r="C1882" s="198"/>
      <c r="D1882" s="111"/>
      <c r="E1882" s="33"/>
      <c r="F1882" s="104"/>
      <c r="H1882" s="115"/>
      <c r="I1882" s="26"/>
      <c r="J1882" s="98"/>
      <c r="K1882" s="36"/>
      <c r="L1882" s="26"/>
      <c r="M1882" s="26"/>
      <c r="N1882" s="26"/>
      <c r="O1882" s="93"/>
      <c r="P1882" s="95"/>
      <c r="Q1882" s="196"/>
    </row>
    <row r="1883" spans="3:17" x14ac:dyDescent="0.25">
      <c r="C1883" s="198"/>
      <c r="D1883" s="111"/>
      <c r="E1883" s="33"/>
      <c r="F1883" s="104"/>
      <c r="H1883" s="115"/>
      <c r="I1883" s="26"/>
      <c r="J1883" s="98"/>
      <c r="K1883" s="36"/>
      <c r="L1883" s="26"/>
      <c r="M1883" s="26"/>
      <c r="N1883" s="26"/>
      <c r="O1883" s="93"/>
      <c r="P1883" s="95"/>
      <c r="Q1883" s="196"/>
    </row>
    <row r="1884" spans="3:17" x14ac:dyDescent="0.25">
      <c r="C1884" s="198"/>
      <c r="D1884" s="111"/>
      <c r="E1884" s="33"/>
      <c r="F1884" s="104"/>
      <c r="H1884" s="115"/>
      <c r="I1884" s="26"/>
      <c r="J1884" s="98"/>
      <c r="K1884" s="36"/>
      <c r="L1884" s="26"/>
      <c r="M1884" s="26"/>
      <c r="N1884" s="26"/>
      <c r="O1884" s="93"/>
      <c r="P1884" s="95"/>
      <c r="Q1884" s="196"/>
    </row>
    <row r="1885" spans="3:17" x14ac:dyDescent="0.25">
      <c r="C1885" s="198"/>
      <c r="D1885" s="111"/>
      <c r="E1885" s="33"/>
      <c r="F1885" s="104"/>
      <c r="H1885" s="115"/>
      <c r="I1885" s="26"/>
      <c r="J1885" s="98"/>
      <c r="K1885" s="36"/>
      <c r="L1885" s="26"/>
      <c r="M1885" s="26"/>
      <c r="N1885" s="26"/>
      <c r="O1885" s="93"/>
      <c r="P1885" s="95"/>
      <c r="Q1885" s="196"/>
    </row>
    <row r="1886" spans="3:17" x14ac:dyDescent="0.25">
      <c r="C1886" s="198"/>
      <c r="D1886" s="111"/>
      <c r="E1886" s="33"/>
      <c r="F1886" s="104"/>
      <c r="H1886" s="115"/>
      <c r="I1886" s="26"/>
      <c r="J1886" s="98"/>
      <c r="K1886" s="36"/>
      <c r="L1886" s="26"/>
      <c r="M1886" s="26"/>
      <c r="N1886" s="26"/>
      <c r="O1886" s="93"/>
      <c r="P1886" s="95"/>
      <c r="Q1886" s="196"/>
    </row>
    <row r="1887" spans="3:17" x14ac:dyDescent="0.25">
      <c r="C1887" s="198"/>
      <c r="D1887" s="111"/>
      <c r="E1887" s="33"/>
      <c r="F1887" s="104"/>
      <c r="H1887" s="115"/>
      <c r="I1887" s="26"/>
      <c r="J1887" s="98"/>
      <c r="K1887" s="36"/>
      <c r="L1887" s="26"/>
      <c r="M1887" s="26"/>
      <c r="N1887" s="26"/>
      <c r="O1887" s="93"/>
      <c r="P1887" s="95"/>
      <c r="Q1887" s="196"/>
    </row>
    <row r="1888" spans="3:17" x14ac:dyDescent="0.25">
      <c r="C1888" s="198"/>
      <c r="D1888" s="111"/>
      <c r="E1888" s="33"/>
      <c r="F1888" s="104"/>
      <c r="H1888" s="115"/>
      <c r="I1888" s="26"/>
      <c r="J1888" s="98"/>
      <c r="K1888" s="36"/>
      <c r="L1888" s="26"/>
      <c r="M1888" s="26"/>
      <c r="N1888" s="26"/>
      <c r="O1888" s="93"/>
      <c r="P1888" s="95"/>
      <c r="Q1888" s="196"/>
    </row>
    <row r="1889" spans="3:17" x14ac:dyDescent="0.25">
      <c r="C1889" s="198"/>
      <c r="D1889" s="111"/>
      <c r="E1889" s="33"/>
      <c r="F1889" s="104"/>
      <c r="H1889" s="115"/>
      <c r="I1889" s="26"/>
      <c r="J1889" s="98"/>
      <c r="K1889" s="36"/>
      <c r="L1889" s="26"/>
      <c r="M1889" s="26"/>
      <c r="N1889" s="26"/>
      <c r="O1889" s="93"/>
      <c r="P1889" s="95"/>
      <c r="Q1889" s="196"/>
    </row>
    <row r="1890" spans="3:17" x14ac:dyDescent="0.25">
      <c r="C1890" s="198"/>
      <c r="D1890" s="111"/>
      <c r="E1890" s="33"/>
      <c r="F1890" s="104"/>
      <c r="H1890" s="115"/>
      <c r="I1890" s="26"/>
      <c r="J1890" s="98"/>
      <c r="K1890" s="36"/>
      <c r="L1890" s="26"/>
      <c r="M1890" s="26"/>
      <c r="N1890" s="26"/>
      <c r="O1890" s="93"/>
      <c r="P1890" s="95"/>
      <c r="Q1890" s="196"/>
    </row>
    <row r="1891" spans="3:17" x14ac:dyDescent="0.25">
      <c r="C1891" s="198"/>
      <c r="D1891" s="111"/>
      <c r="E1891" s="33"/>
      <c r="F1891" s="104"/>
      <c r="H1891" s="115"/>
      <c r="I1891" s="26"/>
      <c r="J1891" s="98"/>
      <c r="K1891" s="36"/>
      <c r="L1891" s="26"/>
      <c r="M1891" s="26"/>
      <c r="N1891" s="26"/>
      <c r="O1891" s="93"/>
      <c r="P1891" s="95"/>
      <c r="Q1891" s="196"/>
    </row>
    <row r="1892" spans="3:17" x14ac:dyDescent="0.25">
      <c r="C1892" s="198"/>
      <c r="D1892" s="111"/>
      <c r="E1892" s="33"/>
      <c r="F1892" s="104"/>
      <c r="H1892" s="115"/>
      <c r="I1892" s="26"/>
      <c r="J1892" s="98"/>
      <c r="K1892" s="36"/>
      <c r="L1892" s="26"/>
      <c r="M1892" s="26"/>
      <c r="N1892" s="26"/>
      <c r="O1892" s="93"/>
      <c r="P1892" s="95"/>
      <c r="Q1892" s="196"/>
    </row>
    <row r="1893" spans="3:17" x14ac:dyDescent="0.25">
      <c r="C1893" s="198"/>
      <c r="D1893" s="111"/>
      <c r="E1893" s="33"/>
      <c r="F1893" s="104"/>
      <c r="H1893" s="115"/>
      <c r="I1893" s="26"/>
      <c r="J1893" s="98"/>
      <c r="K1893" s="36"/>
      <c r="L1893" s="26"/>
      <c r="M1893" s="26"/>
      <c r="N1893" s="26"/>
      <c r="O1893" s="93"/>
      <c r="P1893" s="95"/>
      <c r="Q1893" s="196"/>
    </row>
    <row r="1894" spans="3:17" x14ac:dyDescent="0.25">
      <c r="C1894" s="198"/>
      <c r="D1894" s="111"/>
      <c r="E1894" s="33"/>
      <c r="F1894" s="104"/>
      <c r="H1894" s="115"/>
      <c r="I1894" s="26"/>
      <c r="J1894" s="98"/>
      <c r="K1894" s="36"/>
      <c r="L1894" s="26"/>
      <c r="M1894" s="26"/>
      <c r="N1894" s="26"/>
      <c r="O1894" s="93"/>
      <c r="P1894" s="95"/>
      <c r="Q1894" s="196"/>
    </row>
    <row r="1895" spans="3:17" x14ac:dyDescent="0.25">
      <c r="C1895" s="198"/>
      <c r="D1895" s="111"/>
      <c r="E1895" s="33"/>
      <c r="F1895" s="104"/>
      <c r="H1895" s="115"/>
      <c r="I1895" s="26"/>
      <c r="J1895" s="98"/>
      <c r="K1895" s="36"/>
      <c r="L1895" s="26"/>
      <c r="M1895" s="26"/>
      <c r="N1895" s="26"/>
      <c r="O1895" s="93"/>
      <c r="P1895" s="95"/>
      <c r="Q1895" s="196"/>
    </row>
    <row r="1896" spans="3:17" x14ac:dyDescent="0.25">
      <c r="C1896" s="198"/>
      <c r="D1896" s="111"/>
      <c r="E1896" s="33"/>
      <c r="F1896" s="104"/>
      <c r="H1896" s="115"/>
      <c r="I1896" s="26"/>
      <c r="J1896" s="98"/>
      <c r="K1896" s="36"/>
      <c r="L1896" s="26"/>
      <c r="M1896" s="26"/>
      <c r="N1896" s="26"/>
      <c r="O1896" s="93"/>
      <c r="P1896" s="95"/>
      <c r="Q1896" s="196"/>
    </row>
    <row r="1897" spans="3:17" x14ac:dyDescent="0.25">
      <c r="C1897" s="198"/>
      <c r="D1897" s="111"/>
      <c r="E1897" s="33"/>
      <c r="F1897" s="104"/>
      <c r="H1897" s="115"/>
      <c r="I1897" s="26"/>
      <c r="J1897" s="98"/>
      <c r="K1897" s="36"/>
      <c r="L1897" s="26"/>
      <c r="M1897" s="26"/>
      <c r="N1897" s="26"/>
      <c r="O1897" s="93"/>
      <c r="P1897" s="95"/>
      <c r="Q1897" s="196"/>
    </row>
    <row r="1898" spans="3:17" x14ac:dyDescent="0.25">
      <c r="C1898" s="198"/>
      <c r="D1898" s="111"/>
      <c r="E1898" s="33"/>
      <c r="F1898" s="104"/>
      <c r="H1898" s="115"/>
      <c r="I1898" s="26"/>
      <c r="J1898" s="98"/>
      <c r="K1898" s="36"/>
      <c r="L1898" s="26"/>
      <c r="M1898" s="26"/>
      <c r="N1898" s="26"/>
      <c r="O1898" s="93"/>
      <c r="P1898" s="95"/>
      <c r="Q1898" s="196"/>
    </row>
    <row r="1899" spans="3:17" x14ac:dyDescent="0.25">
      <c r="C1899" s="198"/>
      <c r="D1899" s="111"/>
      <c r="E1899" s="33"/>
      <c r="F1899" s="104"/>
      <c r="H1899" s="115"/>
      <c r="I1899" s="26"/>
      <c r="J1899" s="98"/>
      <c r="K1899" s="36"/>
      <c r="L1899" s="26"/>
      <c r="M1899" s="26"/>
      <c r="N1899" s="26"/>
      <c r="O1899" s="93"/>
      <c r="P1899" s="95"/>
      <c r="Q1899" s="196"/>
    </row>
    <row r="1900" spans="3:17" x14ac:dyDescent="0.25">
      <c r="C1900" s="198"/>
      <c r="D1900" s="111"/>
      <c r="E1900" s="33"/>
      <c r="F1900" s="104"/>
      <c r="H1900" s="115"/>
      <c r="I1900" s="26"/>
      <c r="J1900" s="98"/>
      <c r="K1900" s="36"/>
      <c r="L1900" s="26"/>
      <c r="M1900" s="26"/>
      <c r="N1900" s="26"/>
      <c r="O1900" s="93"/>
      <c r="P1900" s="95"/>
      <c r="Q1900" s="196"/>
    </row>
    <row r="1901" spans="3:17" x14ac:dyDescent="0.25">
      <c r="C1901" s="198"/>
      <c r="D1901" s="111"/>
      <c r="E1901" s="33"/>
      <c r="F1901" s="104"/>
      <c r="H1901" s="115"/>
      <c r="I1901" s="26"/>
      <c r="J1901" s="98"/>
      <c r="K1901" s="36"/>
      <c r="L1901" s="26"/>
      <c r="M1901" s="26"/>
      <c r="N1901" s="26"/>
      <c r="O1901" s="93"/>
      <c r="P1901" s="95"/>
      <c r="Q1901" s="196"/>
    </row>
    <row r="1902" spans="3:17" x14ac:dyDescent="0.25">
      <c r="C1902" s="198"/>
      <c r="D1902" s="111"/>
      <c r="E1902" s="33"/>
      <c r="F1902" s="104"/>
      <c r="H1902" s="115"/>
      <c r="I1902" s="26"/>
      <c r="J1902" s="98"/>
      <c r="K1902" s="36"/>
      <c r="L1902" s="26"/>
      <c r="M1902" s="26"/>
      <c r="N1902" s="26"/>
      <c r="O1902" s="93"/>
      <c r="P1902" s="95"/>
      <c r="Q1902" s="196"/>
    </row>
    <row r="1903" spans="3:17" x14ac:dyDescent="0.25">
      <c r="C1903" s="198"/>
      <c r="D1903" s="111"/>
      <c r="E1903" s="33"/>
      <c r="F1903" s="104"/>
      <c r="H1903" s="115"/>
      <c r="I1903" s="26"/>
      <c r="J1903" s="98"/>
      <c r="K1903" s="36"/>
      <c r="L1903" s="26"/>
      <c r="M1903" s="26"/>
      <c r="N1903" s="26"/>
      <c r="O1903" s="93"/>
      <c r="P1903" s="95"/>
      <c r="Q1903" s="196"/>
    </row>
    <row r="1904" spans="3:17" x14ac:dyDescent="0.25">
      <c r="C1904" s="198"/>
      <c r="D1904" s="111"/>
      <c r="E1904" s="33"/>
      <c r="F1904" s="104"/>
      <c r="H1904" s="115"/>
      <c r="I1904" s="26"/>
      <c r="J1904" s="98"/>
      <c r="K1904" s="36"/>
      <c r="L1904" s="26"/>
      <c r="M1904" s="26"/>
      <c r="N1904" s="26"/>
      <c r="O1904" s="93"/>
      <c r="P1904" s="95"/>
      <c r="Q1904" s="196"/>
    </row>
    <row r="1905" spans="3:17" x14ac:dyDescent="0.25">
      <c r="C1905" s="198"/>
      <c r="D1905" s="111"/>
      <c r="E1905" s="33"/>
      <c r="F1905" s="104"/>
      <c r="H1905" s="115"/>
      <c r="I1905" s="26"/>
      <c r="J1905" s="98"/>
      <c r="K1905" s="36"/>
      <c r="L1905" s="26"/>
      <c r="M1905" s="26"/>
      <c r="N1905" s="26"/>
      <c r="O1905" s="93"/>
      <c r="P1905" s="95"/>
      <c r="Q1905" s="196"/>
    </row>
    <row r="1906" spans="3:17" x14ac:dyDescent="0.25">
      <c r="C1906" s="198"/>
      <c r="D1906" s="111"/>
      <c r="E1906" s="33"/>
      <c r="F1906" s="104"/>
      <c r="H1906" s="115"/>
      <c r="I1906" s="26"/>
      <c r="J1906" s="98"/>
      <c r="K1906" s="36"/>
      <c r="L1906" s="26"/>
      <c r="M1906" s="26"/>
      <c r="N1906" s="26"/>
      <c r="O1906" s="93"/>
      <c r="P1906" s="95"/>
      <c r="Q1906" s="196"/>
    </row>
    <row r="1907" spans="3:17" x14ac:dyDescent="0.25">
      <c r="C1907" s="198"/>
      <c r="D1907" s="111"/>
      <c r="E1907" s="33"/>
      <c r="F1907" s="104"/>
      <c r="H1907" s="115"/>
      <c r="I1907" s="26"/>
      <c r="J1907" s="98"/>
      <c r="K1907" s="36"/>
      <c r="L1907" s="26"/>
      <c r="M1907" s="26"/>
      <c r="N1907" s="26"/>
      <c r="O1907" s="93"/>
      <c r="P1907" s="95"/>
      <c r="Q1907" s="196"/>
    </row>
    <row r="1908" spans="3:17" x14ac:dyDescent="0.25">
      <c r="C1908" s="198"/>
      <c r="D1908" s="111"/>
      <c r="E1908" s="33"/>
      <c r="F1908" s="104"/>
      <c r="H1908" s="115"/>
      <c r="I1908" s="26"/>
      <c r="J1908" s="98"/>
      <c r="K1908" s="36"/>
      <c r="L1908" s="26"/>
      <c r="M1908" s="26"/>
      <c r="N1908" s="26"/>
      <c r="O1908" s="93"/>
      <c r="P1908" s="95"/>
      <c r="Q1908" s="196"/>
    </row>
    <row r="1909" spans="3:17" x14ac:dyDescent="0.25">
      <c r="C1909" s="198"/>
      <c r="D1909" s="111"/>
      <c r="E1909" s="33"/>
      <c r="F1909" s="104"/>
      <c r="H1909" s="115"/>
      <c r="I1909" s="26"/>
      <c r="J1909" s="98"/>
      <c r="K1909" s="36"/>
      <c r="L1909" s="26"/>
      <c r="M1909" s="26"/>
      <c r="N1909" s="26"/>
      <c r="O1909" s="93"/>
      <c r="P1909" s="95"/>
      <c r="Q1909" s="196"/>
    </row>
    <row r="1910" spans="3:17" x14ac:dyDescent="0.25">
      <c r="C1910" s="198"/>
      <c r="D1910" s="111"/>
      <c r="E1910" s="33"/>
      <c r="F1910" s="104"/>
      <c r="H1910" s="115"/>
      <c r="I1910" s="26"/>
      <c r="J1910" s="98"/>
      <c r="K1910" s="36"/>
      <c r="L1910" s="26"/>
      <c r="M1910" s="26"/>
      <c r="N1910" s="26"/>
      <c r="O1910" s="93"/>
      <c r="P1910" s="95"/>
      <c r="Q1910" s="196"/>
    </row>
    <row r="1911" spans="3:17" x14ac:dyDescent="0.25">
      <c r="C1911" s="198"/>
      <c r="D1911" s="111"/>
      <c r="E1911" s="33"/>
      <c r="F1911" s="104"/>
      <c r="H1911" s="115"/>
      <c r="I1911" s="26"/>
      <c r="J1911" s="98"/>
      <c r="K1911" s="36"/>
      <c r="L1911" s="26"/>
      <c r="M1911" s="26"/>
      <c r="N1911" s="26"/>
      <c r="O1911" s="93"/>
      <c r="P1911" s="95"/>
      <c r="Q1911" s="196"/>
    </row>
    <row r="1912" spans="3:17" x14ac:dyDescent="0.25">
      <c r="C1912" s="198"/>
      <c r="D1912" s="111"/>
      <c r="E1912" s="33"/>
      <c r="F1912" s="104"/>
      <c r="H1912" s="115"/>
      <c r="I1912" s="26"/>
      <c r="J1912" s="98"/>
      <c r="K1912" s="36"/>
      <c r="L1912" s="26"/>
      <c r="M1912" s="26"/>
      <c r="N1912" s="26"/>
      <c r="O1912" s="93"/>
      <c r="P1912" s="95"/>
      <c r="Q1912" s="196"/>
    </row>
    <row r="1913" spans="3:17" x14ac:dyDescent="0.25">
      <c r="C1913" s="198"/>
      <c r="D1913" s="111"/>
      <c r="E1913" s="33"/>
      <c r="F1913" s="104"/>
      <c r="H1913" s="115"/>
      <c r="I1913" s="26"/>
      <c r="J1913" s="98"/>
      <c r="K1913" s="36"/>
      <c r="L1913" s="26"/>
      <c r="M1913" s="26"/>
      <c r="N1913" s="26"/>
      <c r="O1913" s="93"/>
      <c r="P1913" s="95"/>
      <c r="Q1913" s="196"/>
    </row>
    <row r="1914" spans="3:17" x14ac:dyDescent="0.25">
      <c r="C1914" s="198"/>
      <c r="D1914" s="111"/>
      <c r="E1914" s="33"/>
      <c r="F1914" s="104"/>
      <c r="H1914" s="115"/>
      <c r="I1914" s="26"/>
      <c r="J1914" s="98"/>
      <c r="K1914" s="36"/>
      <c r="L1914" s="26"/>
      <c r="M1914" s="26"/>
      <c r="N1914" s="26"/>
      <c r="O1914" s="93"/>
      <c r="P1914" s="95"/>
      <c r="Q1914" s="196"/>
    </row>
    <row r="1915" spans="3:17" x14ac:dyDescent="0.25">
      <c r="C1915" s="198"/>
      <c r="D1915" s="111"/>
      <c r="E1915" s="33"/>
      <c r="F1915" s="104"/>
      <c r="H1915" s="115"/>
      <c r="I1915" s="26"/>
      <c r="J1915" s="98"/>
      <c r="K1915" s="36"/>
      <c r="L1915" s="26"/>
      <c r="M1915" s="26"/>
      <c r="N1915" s="26"/>
      <c r="O1915" s="93"/>
      <c r="P1915" s="95"/>
      <c r="Q1915" s="196"/>
    </row>
    <row r="1916" spans="3:17" x14ac:dyDescent="0.25">
      <c r="C1916" s="198"/>
      <c r="D1916" s="111"/>
      <c r="E1916" s="33"/>
      <c r="F1916" s="104"/>
      <c r="H1916" s="115"/>
      <c r="I1916" s="26"/>
      <c r="J1916" s="98"/>
      <c r="K1916" s="36"/>
      <c r="L1916" s="26"/>
      <c r="M1916" s="26"/>
      <c r="N1916" s="26"/>
      <c r="O1916" s="93"/>
      <c r="P1916" s="95"/>
      <c r="Q1916" s="196"/>
    </row>
    <row r="1917" spans="3:17" x14ac:dyDescent="0.25">
      <c r="C1917" s="198"/>
      <c r="D1917" s="111"/>
      <c r="E1917" s="33"/>
      <c r="F1917" s="104"/>
      <c r="H1917" s="115"/>
      <c r="I1917" s="26"/>
      <c r="J1917" s="98"/>
      <c r="K1917" s="36"/>
      <c r="L1917" s="26"/>
      <c r="M1917" s="26"/>
      <c r="N1917" s="26"/>
      <c r="O1917" s="93"/>
      <c r="P1917" s="95"/>
      <c r="Q1917" s="196"/>
    </row>
    <row r="1918" spans="3:17" x14ac:dyDescent="0.25">
      <c r="C1918" s="198"/>
      <c r="D1918" s="111"/>
      <c r="E1918" s="33"/>
      <c r="F1918" s="104"/>
      <c r="H1918" s="115"/>
      <c r="I1918" s="26"/>
      <c r="J1918" s="98"/>
      <c r="K1918" s="36"/>
      <c r="L1918" s="26"/>
      <c r="M1918" s="26"/>
      <c r="N1918" s="26"/>
      <c r="O1918" s="93"/>
      <c r="P1918" s="95"/>
      <c r="Q1918" s="196"/>
    </row>
    <row r="1919" spans="3:17" x14ac:dyDescent="0.25">
      <c r="C1919" s="198"/>
      <c r="D1919" s="111"/>
      <c r="E1919" s="33"/>
      <c r="F1919" s="104"/>
      <c r="H1919" s="115"/>
      <c r="I1919" s="26"/>
      <c r="J1919" s="98"/>
      <c r="K1919" s="36"/>
      <c r="L1919" s="26"/>
      <c r="M1919" s="26"/>
      <c r="N1919" s="26"/>
      <c r="O1919" s="93"/>
      <c r="P1919" s="95"/>
      <c r="Q1919" s="196"/>
    </row>
    <row r="1920" spans="3:17" x14ac:dyDescent="0.25">
      <c r="C1920" s="198"/>
      <c r="D1920" s="111"/>
      <c r="E1920" s="33"/>
      <c r="F1920" s="104"/>
      <c r="H1920" s="115"/>
      <c r="I1920" s="26"/>
      <c r="J1920" s="98"/>
      <c r="K1920" s="36"/>
      <c r="L1920" s="26"/>
      <c r="M1920" s="26"/>
      <c r="N1920" s="26"/>
      <c r="O1920" s="93"/>
      <c r="P1920" s="95"/>
      <c r="Q1920" s="196"/>
    </row>
    <row r="1921" spans="3:17" x14ac:dyDescent="0.25">
      <c r="C1921" s="198"/>
      <c r="D1921" s="111"/>
      <c r="E1921" s="33"/>
      <c r="F1921" s="104"/>
      <c r="H1921" s="115"/>
      <c r="I1921" s="26"/>
      <c r="J1921" s="98"/>
      <c r="K1921" s="36"/>
      <c r="L1921" s="26"/>
      <c r="M1921" s="26"/>
      <c r="N1921" s="26"/>
      <c r="O1921" s="93"/>
      <c r="P1921" s="95"/>
      <c r="Q1921" s="196"/>
    </row>
    <row r="1922" spans="3:17" x14ac:dyDescent="0.25">
      <c r="C1922" s="198"/>
      <c r="D1922" s="111"/>
      <c r="E1922" s="33"/>
      <c r="F1922" s="104"/>
      <c r="H1922" s="115"/>
      <c r="I1922" s="26"/>
      <c r="J1922" s="98"/>
      <c r="K1922" s="36"/>
      <c r="L1922" s="26"/>
      <c r="M1922" s="26"/>
      <c r="N1922" s="26"/>
      <c r="O1922" s="93"/>
      <c r="P1922" s="95"/>
      <c r="Q1922" s="196"/>
    </row>
    <row r="1923" spans="3:17" x14ac:dyDescent="0.25">
      <c r="C1923" s="198"/>
      <c r="D1923" s="111"/>
      <c r="E1923" s="33"/>
      <c r="F1923" s="104"/>
      <c r="H1923" s="115"/>
      <c r="I1923" s="26"/>
      <c r="J1923" s="98"/>
      <c r="K1923" s="36"/>
      <c r="L1923" s="26"/>
      <c r="M1923" s="26"/>
      <c r="N1923" s="26"/>
      <c r="O1923" s="93"/>
      <c r="P1923" s="95"/>
      <c r="Q1923" s="196"/>
    </row>
    <row r="1924" spans="3:17" x14ac:dyDescent="0.25">
      <c r="C1924" s="198"/>
      <c r="D1924" s="111"/>
      <c r="E1924" s="33"/>
      <c r="F1924" s="104"/>
      <c r="H1924" s="115"/>
      <c r="I1924" s="26"/>
      <c r="J1924" s="98"/>
      <c r="K1924" s="36"/>
      <c r="L1924" s="26"/>
      <c r="M1924" s="26"/>
      <c r="N1924" s="26"/>
      <c r="O1924" s="93"/>
      <c r="P1924" s="95"/>
      <c r="Q1924" s="196"/>
    </row>
    <row r="1925" spans="3:17" x14ac:dyDescent="0.25">
      <c r="C1925" s="198"/>
      <c r="D1925" s="111"/>
      <c r="E1925" s="33"/>
      <c r="F1925" s="104"/>
      <c r="H1925" s="115"/>
      <c r="I1925" s="26"/>
      <c r="J1925" s="98"/>
      <c r="K1925" s="36"/>
      <c r="L1925" s="26"/>
      <c r="M1925" s="26"/>
      <c r="N1925" s="26"/>
      <c r="O1925" s="93"/>
      <c r="P1925" s="95"/>
      <c r="Q1925" s="196"/>
    </row>
    <row r="1926" spans="3:17" x14ac:dyDescent="0.25">
      <c r="C1926" s="198"/>
      <c r="D1926" s="111"/>
      <c r="E1926" s="33"/>
      <c r="F1926" s="104"/>
      <c r="H1926" s="115"/>
      <c r="I1926" s="26"/>
      <c r="J1926" s="98"/>
      <c r="K1926" s="36"/>
      <c r="L1926" s="26"/>
      <c r="M1926" s="26"/>
      <c r="N1926" s="26"/>
      <c r="O1926" s="93"/>
      <c r="P1926" s="95"/>
      <c r="Q1926" s="196"/>
    </row>
    <row r="1927" spans="3:17" x14ac:dyDescent="0.25">
      <c r="C1927" s="198"/>
      <c r="D1927" s="111"/>
      <c r="E1927" s="33"/>
      <c r="F1927" s="104"/>
      <c r="H1927" s="115"/>
      <c r="I1927" s="26"/>
      <c r="J1927" s="98"/>
      <c r="K1927" s="36"/>
      <c r="L1927" s="26"/>
      <c r="M1927" s="26"/>
      <c r="N1927" s="26"/>
      <c r="O1927" s="93"/>
      <c r="P1927" s="95"/>
      <c r="Q1927" s="196"/>
    </row>
    <row r="1928" spans="3:17" x14ac:dyDescent="0.25">
      <c r="C1928" s="198"/>
      <c r="D1928" s="111"/>
      <c r="E1928" s="33"/>
      <c r="F1928" s="104"/>
      <c r="H1928" s="115"/>
      <c r="I1928" s="26"/>
      <c r="J1928" s="98"/>
      <c r="K1928" s="36"/>
      <c r="L1928" s="26"/>
      <c r="M1928" s="26"/>
      <c r="N1928" s="26"/>
      <c r="O1928" s="93"/>
      <c r="P1928" s="95"/>
      <c r="Q1928" s="196"/>
    </row>
    <row r="1929" spans="3:17" x14ac:dyDescent="0.25">
      <c r="C1929" s="198"/>
      <c r="D1929" s="111"/>
      <c r="E1929" s="33"/>
      <c r="F1929" s="104"/>
      <c r="H1929" s="115"/>
      <c r="I1929" s="26"/>
      <c r="J1929" s="98"/>
      <c r="K1929" s="36"/>
      <c r="L1929" s="26"/>
      <c r="M1929" s="26"/>
      <c r="N1929" s="26"/>
      <c r="O1929" s="93"/>
      <c r="P1929" s="95"/>
      <c r="Q1929" s="196"/>
    </row>
    <row r="1930" spans="3:17" x14ac:dyDescent="0.25">
      <c r="C1930" s="198"/>
      <c r="D1930" s="111"/>
      <c r="E1930" s="33"/>
      <c r="F1930" s="104"/>
      <c r="H1930" s="115"/>
      <c r="I1930" s="26"/>
      <c r="J1930" s="98"/>
      <c r="K1930" s="36"/>
      <c r="L1930" s="26"/>
      <c r="M1930" s="26"/>
      <c r="N1930" s="26"/>
      <c r="O1930" s="93"/>
      <c r="P1930" s="95"/>
      <c r="Q1930" s="196"/>
    </row>
    <row r="1931" spans="3:17" x14ac:dyDescent="0.25">
      <c r="C1931" s="198"/>
      <c r="D1931" s="111"/>
      <c r="E1931" s="33"/>
      <c r="F1931" s="104"/>
      <c r="H1931" s="115"/>
      <c r="I1931" s="26"/>
      <c r="J1931" s="98"/>
      <c r="K1931" s="36"/>
      <c r="L1931" s="26"/>
      <c r="M1931" s="26"/>
      <c r="N1931" s="26"/>
      <c r="O1931" s="93"/>
      <c r="P1931" s="95"/>
      <c r="Q1931" s="196"/>
    </row>
    <row r="1932" spans="3:17" x14ac:dyDescent="0.25">
      <c r="C1932" s="198"/>
      <c r="D1932" s="111"/>
      <c r="E1932" s="33"/>
      <c r="F1932" s="104"/>
      <c r="H1932" s="115"/>
      <c r="I1932" s="26"/>
      <c r="J1932" s="98"/>
      <c r="K1932" s="36"/>
      <c r="L1932" s="26"/>
      <c r="M1932" s="26"/>
      <c r="N1932" s="26"/>
      <c r="O1932" s="93"/>
      <c r="P1932" s="95"/>
      <c r="Q1932" s="196"/>
    </row>
    <row r="1933" spans="3:17" x14ac:dyDescent="0.25">
      <c r="C1933" s="198"/>
      <c r="D1933" s="111"/>
      <c r="E1933" s="33"/>
      <c r="F1933" s="104"/>
      <c r="H1933" s="115"/>
      <c r="I1933" s="26"/>
      <c r="J1933" s="98"/>
      <c r="K1933" s="36"/>
      <c r="L1933" s="26"/>
      <c r="M1933" s="26"/>
      <c r="N1933" s="26"/>
      <c r="O1933" s="93"/>
      <c r="P1933" s="95"/>
      <c r="Q1933" s="196"/>
    </row>
    <row r="1934" spans="3:17" x14ac:dyDescent="0.25">
      <c r="C1934" s="198"/>
      <c r="D1934" s="111"/>
      <c r="E1934" s="33"/>
      <c r="F1934" s="104"/>
      <c r="H1934" s="115"/>
      <c r="I1934" s="26"/>
      <c r="J1934" s="98"/>
      <c r="K1934" s="36"/>
      <c r="L1934" s="26"/>
      <c r="M1934" s="26"/>
      <c r="N1934" s="26"/>
      <c r="O1934" s="93"/>
      <c r="P1934" s="95"/>
      <c r="Q1934" s="196"/>
    </row>
    <row r="1935" spans="3:17" x14ac:dyDescent="0.25">
      <c r="C1935" s="198"/>
      <c r="D1935" s="111"/>
      <c r="E1935" s="33"/>
      <c r="F1935" s="104"/>
      <c r="H1935" s="115"/>
      <c r="I1935" s="26"/>
      <c r="J1935" s="98"/>
      <c r="K1935" s="36"/>
      <c r="L1935" s="26"/>
      <c r="M1935" s="26"/>
      <c r="N1935" s="26"/>
      <c r="O1935" s="93"/>
      <c r="P1935" s="95"/>
      <c r="Q1935" s="196"/>
    </row>
    <row r="1936" spans="3:17" x14ac:dyDescent="0.25">
      <c r="C1936" s="198"/>
      <c r="D1936" s="111"/>
      <c r="E1936" s="33"/>
      <c r="F1936" s="104"/>
      <c r="H1936" s="115"/>
      <c r="I1936" s="26"/>
      <c r="J1936" s="98"/>
      <c r="K1936" s="36"/>
      <c r="L1936" s="26"/>
      <c r="M1936" s="26"/>
      <c r="N1936" s="26"/>
      <c r="O1936" s="93"/>
      <c r="P1936" s="95"/>
      <c r="Q1936" s="196"/>
    </row>
    <row r="1937" spans="3:17" x14ac:dyDescent="0.25">
      <c r="C1937" s="198"/>
      <c r="D1937" s="111"/>
      <c r="E1937" s="33"/>
      <c r="F1937" s="104"/>
      <c r="H1937" s="115"/>
      <c r="I1937" s="26"/>
      <c r="J1937" s="98"/>
      <c r="K1937" s="36"/>
      <c r="L1937" s="26"/>
      <c r="M1937" s="26"/>
      <c r="N1937" s="26"/>
      <c r="O1937" s="93"/>
      <c r="P1937" s="95"/>
      <c r="Q1937" s="196"/>
    </row>
    <row r="1938" spans="3:17" x14ac:dyDescent="0.25">
      <c r="C1938" s="198"/>
      <c r="D1938" s="111"/>
      <c r="E1938" s="33"/>
      <c r="F1938" s="104"/>
      <c r="H1938" s="115"/>
      <c r="I1938" s="26"/>
      <c r="J1938" s="98"/>
      <c r="K1938" s="36"/>
      <c r="L1938" s="26"/>
      <c r="M1938" s="26"/>
      <c r="N1938" s="26"/>
      <c r="O1938" s="93"/>
      <c r="P1938" s="95"/>
      <c r="Q1938" s="196"/>
    </row>
    <row r="1939" spans="3:17" x14ac:dyDescent="0.25">
      <c r="C1939" s="198"/>
      <c r="D1939" s="111"/>
      <c r="E1939" s="33"/>
      <c r="F1939" s="104"/>
      <c r="H1939" s="115"/>
      <c r="I1939" s="26"/>
      <c r="J1939" s="98"/>
      <c r="K1939" s="36"/>
      <c r="L1939" s="26"/>
      <c r="M1939" s="26"/>
      <c r="N1939" s="26"/>
      <c r="O1939" s="93"/>
      <c r="P1939" s="95"/>
      <c r="Q1939" s="196"/>
    </row>
    <row r="1940" spans="3:17" x14ac:dyDescent="0.25">
      <c r="C1940" s="198"/>
      <c r="D1940" s="111"/>
      <c r="E1940" s="33"/>
      <c r="F1940" s="104"/>
      <c r="H1940" s="115"/>
      <c r="I1940" s="26"/>
      <c r="J1940" s="98"/>
      <c r="K1940" s="36"/>
      <c r="L1940" s="26"/>
      <c r="M1940" s="26"/>
      <c r="N1940" s="26"/>
      <c r="O1940" s="93"/>
      <c r="P1940" s="95"/>
      <c r="Q1940" s="196"/>
    </row>
    <row r="1941" spans="3:17" x14ac:dyDescent="0.25">
      <c r="C1941" s="198"/>
      <c r="D1941" s="111"/>
      <c r="E1941" s="33"/>
      <c r="F1941" s="104"/>
      <c r="H1941" s="115"/>
      <c r="I1941" s="26"/>
      <c r="J1941" s="98"/>
      <c r="K1941" s="36"/>
      <c r="L1941" s="26"/>
      <c r="M1941" s="26"/>
      <c r="N1941" s="26"/>
      <c r="O1941" s="93"/>
      <c r="P1941" s="95"/>
      <c r="Q1941" s="196"/>
    </row>
    <row r="1942" spans="3:17" x14ac:dyDescent="0.25">
      <c r="C1942" s="198"/>
      <c r="D1942" s="111"/>
      <c r="E1942" s="33"/>
      <c r="F1942" s="104"/>
      <c r="H1942" s="115"/>
      <c r="I1942" s="26"/>
      <c r="J1942" s="98"/>
      <c r="K1942" s="36"/>
      <c r="L1942" s="26"/>
      <c r="M1942" s="26"/>
      <c r="N1942" s="26"/>
      <c r="O1942" s="93"/>
      <c r="P1942" s="95"/>
      <c r="Q1942" s="196"/>
    </row>
    <row r="1943" spans="3:17" x14ac:dyDescent="0.25">
      <c r="C1943" s="198"/>
      <c r="D1943" s="111"/>
      <c r="E1943" s="33"/>
      <c r="F1943" s="104"/>
      <c r="H1943" s="115"/>
      <c r="I1943" s="26"/>
      <c r="J1943" s="98"/>
      <c r="K1943" s="36"/>
      <c r="L1943" s="26"/>
      <c r="M1943" s="26"/>
      <c r="N1943" s="26"/>
      <c r="O1943" s="93"/>
      <c r="P1943" s="95"/>
      <c r="Q1943" s="196"/>
    </row>
    <row r="1944" spans="3:17" x14ac:dyDescent="0.25">
      <c r="C1944" s="198"/>
      <c r="D1944" s="111"/>
      <c r="E1944" s="33"/>
      <c r="F1944" s="104"/>
      <c r="H1944" s="115"/>
      <c r="I1944" s="26"/>
      <c r="J1944" s="98"/>
      <c r="K1944" s="36"/>
      <c r="L1944" s="26"/>
      <c r="M1944" s="26"/>
      <c r="N1944" s="26"/>
      <c r="O1944" s="93"/>
      <c r="P1944" s="95"/>
      <c r="Q1944" s="196"/>
    </row>
    <row r="1945" spans="3:17" x14ac:dyDescent="0.25">
      <c r="C1945" s="198"/>
      <c r="D1945" s="111"/>
      <c r="E1945" s="33"/>
      <c r="F1945" s="104"/>
      <c r="H1945" s="115"/>
      <c r="I1945" s="26"/>
      <c r="J1945" s="98"/>
      <c r="K1945" s="36"/>
      <c r="L1945" s="26"/>
      <c r="M1945" s="26"/>
      <c r="N1945" s="26"/>
      <c r="O1945" s="93"/>
      <c r="P1945" s="95"/>
      <c r="Q1945" s="196"/>
    </row>
    <row r="1946" spans="3:17" x14ac:dyDescent="0.25">
      <c r="C1946" s="198"/>
      <c r="D1946" s="111"/>
      <c r="E1946" s="33"/>
      <c r="F1946" s="104"/>
      <c r="H1946" s="115"/>
      <c r="I1946" s="26"/>
      <c r="J1946" s="98"/>
      <c r="K1946" s="36"/>
      <c r="L1946" s="26"/>
      <c r="M1946" s="26"/>
      <c r="N1946" s="26"/>
      <c r="O1946" s="93"/>
      <c r="P1946" s="95"/>
      <c r="Q1946" s="196"/>
    </row>
    <row r="1947" spans="3:17" x14ac:dyDescent="0.25">
      <c r="C1947" s="198"/>
      <c r="D1947" s="111"/>
      <c r="E1947" s="33"/>
      <c r="F1947" s="104"/>
      <c r="H1947" s="115"/>
      <c r="I1947" s="26"/>
      <c r="J1947" s="98"/>
      <c r="K1947" s="36"/>
      <c r="L1947" s="26"/>
      <c r="M1947" s="26"/>
      <c r="N1947" s="26"/>
      <c r="O1947" s="93"/>
      <c r="P1947" s="95"/>
      <c r="Q1947" s="196"/>
    </row>
    <row r="1948" spans="3:17" x14ac:dyDescent="0.25">
      <c r="C1948" s="198"/>
      <c r="D1948" s="111"/>
      <c r="E1948" s="33"/>
      <c r="F1948" s="104"/>
      <c r="H1948" s="115"/>
      <c r="I1948" s="26"/>
      <c r="J1948" s="98"/>
      <c r="K1948" s="36"/>
      <c r="L1948" s="26"/>
      <c r="M1948" s="26"/>
      <c r="N1948" s="26"/>
      <c r="O1948" s="93"/>
      <c r="P1948" s="95"/>
      <c r="Q1948" s="196"/>
    </row>
    <row r="1949" spans="3:17" x14ac:dyDescent="0.25">
      <c r="C1949" s="198"/>
      <c r="D1949" s="111"/>
      <c r="E1949" s="33"/>
      <c r="F1949" s="104"/>
      <c r="H1949" s="115"/>
      <c r="I1949" s="26"/>
      <c r="J1949" s="98"/>
      <c r="K1949" s="36"/>
      <c r="L1949" s="26"/>
      <c r="M1949" s="26"/>
      <c r="N1949" s="26"/>
      <c r="O1949" s="93"/>
      <c r="P1949" s="95"/>
      <c r="Q1949" s="196"/>
    </row>
    <row r="1950" spans="3:17" x14ac:dyDescent="0.25">
      <c r="C1950" s="198"/>
      <c r="D1950" s="111"/>
      <c r="E1950" s="33"/>
      <c r="F1950" s="104"/>
      <c r="H1950" s="115"/>
      <c r="I1950" s="26"/>
      <c r="J1950" s="98"/>
      <c r="K1950" s="36"/>
      <c r="L1950" s="26"/>
      <c r="M1950" s="26"/>
      <c r="N1950" s="26"/>
      <c r="O1950" s="93"/>
      <c r="P1950" s="95"/>
      <c r="Q1950" s="196"/>
    </row>
    <row r="1951" spans="3:17" x14ac:dyDescent="0.25">
      <c r="C1951" s="198"/>
      <c r="D1951" s="111"/>
      <c r="E1951" s="33"/>
      <c r="F1951" s="104"/>
      <c r="H1951" s="115"/>
      <c r="I1951" s="26"/>
      <c r="J1951" s="98"/>
      <c r="K1951" s="36"/>
      <c r="L1951" s="26"/>
      <c r="M1951" s="26"/>
      <c r="N1951" s="26"/>
      <c r="O1951" s="93"/>
      <c r="P1951" s="95"/>
      <c r="Q1951" s="196"/>
    </row>
    <row r="1952" spans="3:17" x14ac:dyDescent="0.25">
      <c r="C1952" s="198"/>
      <c r="D1952" s="111"/>
      <c r="E1952" s="33"/>
      <c r="F1952" s="104"/>
      <c r="H1952" s="115"/>
      <c r="I1952" s="26"/>
      <c r="J1952" s="98"/>
      <c r="K1952" s="36"/>
      <c r="L1952" s="26"/>
      <c r="M1952" s="26"/>
      <c r="N1952" s="26"/>
      <c r="O1952" s="93"/>
      <c r="P1952" s="95"/>
      <c r="Q1952" s="196"/>
    </row>
    <row r="1953" spans="3:17" x14ac:dyDescent="0.25">
      <c r="C1953" s="198"/>
      <c r="D1953" s="111"/>
      <c r="E1953" s="33"/>
      <c r="F1953" s="104"/>
      <c r="H1953" s="115"/>
      <c r="I1953" s="26"/>
      <c r="J1953" s="98"/>
      <c r="K1953" s="36"/>
      <c r="L1953" s="26"/>
      <c r="M1953" s="26"/>
      <c r="N1953" s="26"/>
      <c r="O1953" s="93"/>
      <c r="P1953" s="95"/>
      <c r="Q1953" s="196"/>
    </row>
    <row r="1954" spans="3:17" x14ac:dyDescent="0.25">
      <c r="C1954" s="198"/>
      <c r="D1954" s="111"/>
      <c r="E1954" s="33"/>
      <c r="F1954" s="104"/>
      <c r="H1954" s="115"/>
      <c r="I1954" s="26"/>
      <c r="J1954" s="98"/>
      <c r="K1954" s="36"/>
      <c r="L1954" s="26"/>
      <c r="M1954" s="26"/>
      <c r="N1954" s="26"/>
      <c r="O1954" s="93"/>
      <c r="P1954" s="95"/>
      <c r="Q1954" s="196"/>
    </row>
    <row r="1955" spans="3:17" x14ac:dyDescent="0.25">
      <c r="C1955" s="198"/>
      <c r="D1955" s="111"/>
      <c r="E1955" s="33"/>
      <c r="F1955" s="104"/>
      <c r="H1955" s="115"/>
      <c r="I1955" s="26"/>
      <c r="J1955" s="98"/>
      <c r="K1955" s="36"/>
      <c r="L1955" s="26"/>
      <c r="M1955" s="26"/>
      <c r="N1955" s="26"/>
      <c r="O1955" s="93"/>
      <c r="P1955" s="95"/>
      <c r="Q1955" s="196"/>
    </row>
    <row r="1956" spans="3:17" x14ac:dyDescent="0.25">
      <c r="C1956" s="198"/>
      <c r="D1956" s="111"/>
      <c r="E1956" s="33"/>
      <c r="F1956" s="104"/>
      <c r="H1956" s="115"/>
      <c r="I1956" s="26"/>
      <c r="J1956" s="98"/>
      <c r="K1956" s="36"/>
      <c r="L1956" s="26"/>
      <c r="M1956" s="26"/>
      <c r="N1956" s="26"/>
      <c r="O1956" s="93"/>
      <c r="P1956" s="95"/>
      <c r="Q1956" s="196"/>
    </row>
    <row r="1957" spans="3:17" x14ac:dyDescent="0.25">
      <c r="C1957" s="198"/>
      <c r="D1957" s="111"/>
      <c r="E1957" s="33"/>
      <c r="F1957" s="104"/>
      <c r="H1957" s="115"/>
      <c r="I1957" s="26"/>
      <c r="J1957" s="98"/>
      <c r="K1957" s="36"/>
      <c r="L1957" s="26"/>
      <c r="M1957" s="26"/>
      <c r="N1957" s="26"/>
      <c r="O1957" s="93"/>
      <c r="P1957" s="95"/>
      <c r="Q1957" s="196"/>
    </row>
    <row r="1958" spans="3:17" x14ac:dyDescent="0.25">
      <c r="C1958" s="198"/>
      <c r="D1958" s="111"/>
      <c r="E1958" s="33"/>
      <c r="F1958" s="104"/>
      <c r="H1958" s="115"/>
      <c r="I1958" s="26"/>
      <c r="J1958" s="98"/>
      <c r="K1958" s="36"/>
      <c r="L1958" s="26"/>
      <c r="M1958" s="26"/>
      <c r="N1958" s="26"/>
      <c r="O1958" s="93"/>
      <c r="P1958" s="95"/>
      <c r="Q1958" s="196"/>
    </row>
    <row r="1959" spans="3:17" x14ac:dyDescent="0.25">
      <c r="C1959" s="198"/>
      <c r="D1959" s="111"/>
      <c r="E1959" s="33"/>
      <c r="F1959" s="104"/>
      <c r="H1959" s="115"/>
      <c r="I1959" s="26"/>
      <c r="J1959" s="98"/>
      <c r="K1959" s="36"/>
      <c r="L1959" s="26"/>
      <c r="M1959" s="26"/>
      <c r="N1959" s="26"/>
      <c r="O1959" s="93"/>
      <c r="P1959" s="95"/>
      <c r="Q1959" s="196"/>
    </row>
    <row r="1960" spans="3:17" x14ac:dyDescent="0.25">
      <c r="C1960" s="198"/>
      <c r="D1960" s="111"/>
      <c r="E1960" s="33"/>
      <c r="F1960" s="104"/>
      <c r="H1960" s="115"/>
      <c r="I1960" s="26"/>
      <c r="J1960" s="98"/>
      <c r="K1960" s="36"/>
      <c r="L1960" s="26"/>
      <c r="M1960" s="26"/>
      <c r="N1960" s="26"/>
      <c r="O1960" s="93"/>
      <c r="P1960" s="95"/>
      <c r="Q1960" s="196"/>
    </row>
    <row r="1961" spans="3:17" x14ac:dyDescent="0.25">
      <c r="C1961" s="198"/>
      <c r="D1961" s="111"/>
      <c r="E1961" s="33"/>
      <c r="F1961" s="104"/>
      <c r="H1961" s="115"/>
      <c r="I1961" s="26"/>
      <c r="J1961" s="98"/>
      <c r="K1961" s="36"/>
      <c r="L1961" s="26"/>
      <c r="M1961" s="26"/>
      <c r="N1961" s="26"/>
      <c r="O1961" s="93"/>
      <c r="P1961" s="95"/>
      <c r="Q1961" s="196"/>
    </row>
    <row r="1962" spans="3:17" x14ac:dyDescent="0.25">
      <c r="C1962" s="198"/>
      <c r="D1962" s="111"/>
      <c r="E1962" s="33"/>
      <c r="F1962" s="104"/>
      <c r="H1962" s="115"/>
      <c r="I1962" s="26"/>
      <c r="J1962" s="98"/>
      <c r="K1962" s="36"/>
      <c r="L1962" s="26"/>
      <c r="M1962" s="26"/>
      <c r="N1962" s="26"/>
      <c r="O1962" s="93"/>
      <c r="P1962" s="95"/>
      <c r="Q1962" s="196"/>
    </row>
    <row r="1963" spans="3:17" x14ac:dyDescent="0.25">
      <c r="C1963" s="198"/>
      <c r="D1963" s="111"/>
      <c r="E1963" s="33"/>
      <c r="F1963" s="104"/>
      <c r="H1963" s="115"/>
      <c r="I1963" s="26"/>
      <c r="J1963" s="98"/>
      <c r="K1963" s="36"/>
      <c r="L1963" s="26"/>
      <c r="M1963" s="26"/>
      <c r="N1963" s="26"/>
      <c r="O1963" s="93"/>
      <c r="P1963" s="95"/>
      <c r="Q1963" s="196"/>
    </row>
    <row r="1964" spans="3:17" x14ac:dyDescent="0.25">
      <c r="C1964" s="198"/>
      <c r="D1964" s="111"/>
      <c r="E1964" s="33"/>
      <c r="F1964" s="104"/>
      <c r="H1964" s="115"/>
      <c r="I1964" s="26"/>
      <c r="J1964" s="98"/>
      <c r="K1964" s="36"/>
      <c r="L1964" s="26"/>
      <c r="M1964" s="26"/>
      <c r="N1964" s="26"/>
      <c r="O1964" s="93"/>
      <c r="P1964" s="95"/>
      <c r="Q1964" s="196"/>
    </row>
    <row r="1965" spans="3:17" x14ac:dyDescent="0.25">
      <c r="C1965" s="198"/>
      <c r="D1965" s="111"/>
      <c r="E1965" s="33"/>
      <c r="F1965" s="104"/>
      <c r="H1965" s="115"/>
      <c r="I1965" s="26"/>
      <c r="J1965" s="98"/>
      <c r="K1965" s="36"/>
      <c r="L1965" s="26"/>
      <c r="M1965" s="26"/>
      <c r="N1965" s="26"/>
      <c r="O1965" s="93"/>
      <c r="P1965" s="95"/>
      <c r="Q1965" s="196"/>
    </row>
    <row r="1966" spans="3:17" x14ac:dyDescent="0.25">
      <c r="C1966" s="198"/>
      <c r="D1966" s="111"/>
      <c r="E1966" s="33"/>
      <c r="F1966" s="104"/>
      <c r="H1966" s="115"/>
      <c r="I1966" s="26"/>
      <c r="J1966" s="98"/>
      <c r="K1966" s="36"/>
      <c r="L1966" s="26"/>
      <c r="M1966" s="26"/>
      <c r="N1966" s="26"/>
      <c r="O1966" s="93"/>
      <c r="P1966" s="95"/>
      <c r="Q1966" s="196"/>
    </row>
    <row r="1967" spans="3:17" x14ac:dyDescent="0.25">
      <c r="C1967" s="198"/>
      <c r="D1967" s="111"/>
      <c r="E1967" s="33"/>
      <c r="F1967" s="104"/>
      <c r="H1967" s="115"/>
      <c r="I1967" s="26"/>
      <c r="J1967" s="98"/>
      <c r="K1967" s="36"/>
      <c r="L1967" s="26"/>
      <c r="M1967" s="26"/>
      <c r="N1967" s="26"/>
      <c r="O1967" s="93"/>
      <c r="P1967" s="95"/>
      <c r="Q1967" s="196"/>
    </row>
    <row r="1968" spans="3:17" x14ac:dyDescent="0.25">
      <c r="C1968" s="198"/>
      <c r="D1968" s="111"/>
      <c r="E1968" s="33"/>
      <c r="F1968" s="104"/>
      <c r="H1968" s="115"/>
      <c r="I1968" s="26"/>
      <c r="J1968" s="98"/>
      <c r="K1968" s="36"/>
      <c r="L1968" s="26"/>
      <c r="M1968" s="26"/>
      <c r="N1968" s="26"/>
      <c r="O1968" s="93"/>
      <c r="P1968" s="95"/>
      <c r="Q1968" s="196"/>
    </row>
    <row r="1969" spans="3:17" x14ac:dyDescent="0.25">
      <c r="C1969" s="198"/>
      <c r="D1969" s="111"/>
      <c r="E1969" s="33"/>
      <c r="F1969" s="104"/>
      <c r="H1969" s="115"/>
      <c r="I1969" s="26"/>
      <c r="J1969" s="98"/>
      <c r="K1969" s="36"/>
      <c r="L1969" s="26"/>
      <c r="M1969" s="26"/>
      <c r="N1969" s="26"/>
      <c r="O1969" s="93"/>
      <c r="P1969" s="95"/>
      <c r="Q1969" s="196"/>
    </row>
    <row r="1970" spans="3:17" x14ac:dyDescent="0.25">
      <c r="C1970" s="198"/>
      <c r="D1970" s="111"/>
      <c r="E1970" s="33"/>
      <c r="F1970" s="104"/>
      <c r="H1970" s="115"/>
      <c r="I1970" s="26"/>
      <c r="J1970" s="98"/>
      <c r="K1970" s="36"/>
      <c r="L1970" s="26"/>
      <c r="M1970" s="26"/>
      <c r="N1970" s="26"/>
      <c r="O1970" s="93"/>
      <c r="P1970" s="95"/>
      <c r="Q1970" s="196"/>
    </row>
    <row r="1971" spans="3:17" x14ac:dyDescent="0.25">
      <c r="C1971" s="198"/>
      <c r="D1971" s="111"/>
      <c r="E1971" s="33"/>
      <c r="F1971" s="104"/>
      <c r="H1971" s="115"/>
      <c r="I1971" s="26"/>
      <c r="J1971" s="98"/>
      <c r="K1971" s="36"/>
      <c r="L1971" s="26"/>
      <c r="M1971" s="26"/>
      <c r="N1971" s="26"/>
      <c r="O1971" s="93"/>
      <c r="P1971" s="95"/>
      <c r="Q1971" s="196"/>
    </row>
    <row r="1972" spans="3:17" x14ac:dyDescent="0.25">
      <c r="C1972" s="198"/>
      <c r="D1972" s="111"/>
      <c r="E1972" s="33"/>
      <c r="F1972" s="104"/>
      <c r="H1972" s="115"/>
      <c r="I1972" s="26"/>
      <c r="J1972" s="98"/>
      <c r="K1972" s="36"/>
      <c r="L1972" s="26"/>
      <c r="M1972" s="26"/>
      <c r="N1972" s="26"/>
      <c r="O1972" s="93"/>
      <c r="P1972" s="95"/>
      <c r="Q1972" s="196"/>
    </row>
    <row r="1973" spans="3:17" x14ac:dyDescent="0.25">
      <c r="C1973" s="198"/>
      <c r="D1973" s="111"/>
      <c r="E1973" s="33"/>
      <c r="F1973" s="104"/>
      <c r="H1973" s="115"/>
      <c r="I1973" s="26"/>
      <c r="J1973" s="98"/>
      <c r="K1973" s="36"/>
      <c r="L1973" s="26"/>
      <c r="M1973" s="26"/>
      <c r="N1973" s="26"/>
      <c r="O1973" s="93"/>
      <c r="P1973" s="95"/>
      <c r="Q1973" s="196"/>
    </row>
    <row r="1974" spans="3:17" x14ac:dyDescent="0.25">
      <c r="C1974" s="198"/>
      <c r="D1974" s="111"/>
      <c r="E1974" s="33"/>
      <c r="F1974" s="104"/>
      <c r="H1974" s="115"/>
      <c r="I1974" s="26"/>
      <c r="J1974" s="98"/>
      <c r="K1974" s="36"/>
      <c r="L1974" s="26"/>
      <c r="M1974" s="26"/>
      <c r="N1974" s="26"/>
      <c r="O1974" s="93"/>
      <c r="P1974" s="95"/>
      <c r="Q1974" s="196"/>
    </row>
    <row r="1975" spans="3:17" x14ac:dyDescent="0.25">
      <c r="C1975" s="198"/>
      <c r="D1975" s="111"/>
      <c r="E1975" s="33"/>
      <c r="F1975" s="104"/>
      <c r="H1975" s="115"/>
      <c r="I1975" s="26"/>
      <c r="J1975" s="98"/>
      <c r="K1975" s="36"/>
      <c r="L1975" s="26"/>
      <c r="M1975" s="26"/>
      <c r="N1975" s="26"/>
      <c r="O1975" s="93"/>
      <c r="P1975" s="95"/>
      <c r="Q1975" s="196"/>
    </row>
    <row r="1976" spans="3:17" x14ac:dyDescent="0.25">
      <c r="C1976" s="198"/>
      <c r="D1976" s="111"/>
      <c r="E1976" s="33"/>
      <c r="F1976" s="104"/>
      <c r="H1976" s="115"/>
      <c r="I1976" s="26"/>
      <c r="J1976" s="98"/>
      <c r="K1976" s="36"/>
      <c r="L1976" s="26"/>
      <c r="M1976" s="26"/>
      <c r="N1976" s="26"/>
      <c r="O1976" s="93"/>
      <c r="P1976" s="95"/>
      <c r="Q1976" s="196"/>
    </row>
    <row r="1977" spans="3:17" x14ac:dyDescent="0.25">
      <c r="C1977" s="198"/>
      <c r="D1977" s="111"/>
      <c r="E1977" s="33"/>
      <c r="F1977" s="104"/>
      <c r="H1977" s="115"/>
      <c r="I1977" s="26"/>
      <c r="J1977" s="98"/>
      <c r="K1977" s="36"/>
      <c r="L1977" s="26"/>
      <c r="M1977" s="26"/>
      <c r="N1977" s="26"/>
      <c r="O1977" s="93"/>
      <c r="P1977" s="95"/>
      <c r="Q1977" s="196"/>
    </row>
    <row r="1978" spans="3:17" x14ac:dyDescent="0.25">
      <c r="C1978" s="198"/>
      <c r="D1978" s="111"/>
      <c r="E1978" s="33"/>
      <c r="F1978" s="104"/>
      <c r="H1978" s="115"/>
      <c r="I1978" s="26"/>
      <c r="J1978" s="98"/>
      <c r="K1978" s="36"/>
      <c r="L1978" s="26"/>
      <c r="M1978" s="26"/>
      <c r="N1978" s="26"/>
      <c r="O1978" s="93"/>
      <c r="P1978" s="95"/>
      <c r="Q1978" s="196"/>
    </row>
    <row r="1979" spans="3:17" x14ac:dyDescent="0.25">
      <c r="C1979" s="198"/>
      <c r="D1979" s="111"/>
      <c r="E1979" s="33"/>
      <c r="F1979" s="104"/>
      <c r="H1979" s="115"/>
      <c r="I1979" s="26"/>
      <c r="J1979" s="98"/>
      <c r="K1979" s="36"/>
      <c r="L1979" s="26"/>
      <c r="M1979" s="26"/>
      <c r="N1979" s="26"/>
      <c r="O1979" s="93"/>
      <c r="P1979" s="95"/>
      <c r="Q1979" s="196"/>
    </row>
    <row r="1980" spans="3:17" x14ac:dyDescent="0.25">
      <c r="C1980" s="198"/>
      <c r="D1980" s="111"/>
      <c r="E1980" s="33"/>
      <c r="F1980" s="104"/>
      <c r="H1980" s="115"/>
      <c r="I1980" s="26"/>
      <c r="J1980" s="98"/>
      <c r="K1980" s="36"/>
      <c r="L1980" s="26"/>
      <c r="M1980" s="26"/>
      <c r="N1980" s="26"/>
      <c r="O1980" s="93"/>
      <c r="P1980" s="95"/>
      <c r="Q1980" s="196"/>
    </row>
    <row r="1981" spans="3:17" x14ac:dyDescent="0.25">
      <c r="C1981" s="198"/>
      <c r="D1981" s="111"/>
      <c r="E1981" s="33"/>
      <c r="F1981" s="104"/>
      <c r="H1981" s="115"/>
      <c r="I1981" s="26"/>
      <c r="J1981" s="98"/>
      <c r="K1981" s="36"/>
      <c r="L1981" s="26"/>
      <c r="M1981" s="26"/>
      <c r="N1981" s="26"/>
      <c r="O1981" s="93"/>
      <c r="P1981" s="95"/>
      <c r="Q1981" s="196"/>
    </row>
    <row r="1982" spans="3:17" x14ac:dyDescent="0.25">
      <c r="C1982" s="198"/>
      <c r="D1982" s="111"/>
      <c r="E1982" s="33"/>
      <c r="F1982" s="104"/>
      <c r="H1982" s="115"/>
      <c r="I1982" s="26"/>
      <c r="J1982" s="98"/>
      <c r="K1982" s="36"/>
      <c r="L1982" s="26"/>
      <c r="M1982" s="26"/>
      <c r="N1982" s="26"/>
      <c r="O1982" s="93"/>
      <c r="P1982" s="95"/>
      <c r="Q1982" s="196"/>
    </row>
    <row r="1983" spans="3:17" x14ac:dyDescent="0.25">
      <c r="C1983" s="198"/>
      <c r="D1983" s="111"/>
      <c r="E1983" s="33"/>
      <c r="F1983" s="104"/>
      <c r="H1983" s="115"/>
      <c r="I1983" s="26"/>
      <c r="J1983" s="98"/>
      <c r="K1983" s="36"/>
      <c r="L1983" s="26"/>
      <c r="M1983" s="26"/>
      <c r="N1983" s="26"/>
      <c r="O1983" s="93"/>
      <c r="P1983" s="95"/>
      <c r="Q1983" s="196"/>
    </row>
    <row r="1984" spans="3:17" x14ac:dyDescent="0.25">
      <c r="C1984" s="198"/>
      <c r="D1984" s="111"/>
      <c r="E1984" s="33"/>
      <c r="F1984" s="104"/>
      <c r="H1984" s="115"/>
      <c r="I1984" s="26"/>
      <c r="J1984" s="98"/>
      <c r="K1984" s="36"/>
      <c r="L1984" s="26"/>
      <c r="M1984" s="26"/>
      <c r="N1984" s="26"/>
      <c r="O1984" s="93"/>
      <c r="P1984" s="95"/>
      <c r="Q1984" s="196"/>
    </row>
    <row r="1985" spans="3:17" x14ac:dyDescent="0.25">
      <c r="C1985" s="198"/>
      <c r="D1985" s="111"/>
      <c r="E1985" s="33"/>
      <c r="F1985" s="104"/>
      <c r="H1985" s="115"/>
      <c r="I1985" s="26"/>
      <c r="J1985" s="98"/>
      <c r="K1985" s="36"/>
      <c r="L1985" s="26"/>
      <c r="M1985" s="26"/>
      <c r="N1985" s="26"/>
      <c r="O1985" s="93"/>
      <c r="P1985" s="95"/>
      <c r="Q1985" s="196"/>
    </row>
    <row r="1986" spans="3:17" x14ac:dyDescent="0.25">
      <c r="C1986" s="198"/>
      <c r="D1986" s="111"/>
      <c r="E1986" s="33"/>
      <c r="F1986" s="104"/>
      <c r="H1986" s="115"/>
      <c r="I1986" s="26"/>
      <c r="J1986" s="98"/>
      <c r="K1986" s="36"/>
      <c r="L1986" s="26"/>
      <c r="M1986" s="26"/>
      <c r="N1986" s="26"/>
      <c r="O1986" s="93"/>
      <c r="P1986" s="95"/>
      <c r="Q1986" s="196"/>
    </row>
    <row r="1987" spans="3:17" x14ac:dyDescent="0.25">
      <c r="C1987" s="198"/>
      <c r="D1987" s="111"/>
      <c r="E1987" s="33"/>
      <c r="F1987" s="104"/>
      <c r="H1987" s="115"/>
      <c r="I1987" s="26"/>
      <c r="J1987" s="98"/>
      <c r="K1987" s="36"/>
      <c r="L1987" s="26"/>
      <c r="M1987" s="26"/>
      <c r="N1987" s="26"/>
      <c r="O1987" s="93"/>
      <c r="P1987" s="95"/>
      <c r="Q1987" s="196"/>
    </row>
    <row r="1988" spans="3:17" x14ac:dyDescent="0.25">
      <c r="C1988" s="198"/>
      <c r="D1988" s="111"/>
      <c r="E1988" s="33"/>
      <c r="F1988" s="104"/>
      <c r="H1988" s="115"/>
      <c r="I1988" s="26"/>
      <c r="J1988" s="98"/>
      <c r="K1988" s="36"/>
      <c r="L1988" s="26"/>
      <c r="M1988" s="26"/>
      <c r="N1988" s="26"/>
      <c r="O1988" s="93"/>
      <c r="P1988" s="95"/>
      <c r="Q1988" s="196"/>
    </row>
    <row r="1989" spans="3:17" x14ac:dyDescent="0.25">
      <c r="C1989" s="198"/>
      <c r="D1989" s="111"/>
      <c r="E1989" s="33"/>
      <c r="F1989" s="104"/>
      <c r="H1989" s="115"/>
      <c r="I1989" s="26"/>
      <c r="J1989" s="98"/>
      <c r="K1989" s="36"/>
      <c r="L1989" s="26"/>
      <c r="M1989" s="26"/>
      <c r="N1989" s="26"/>
      <c r="O1989" s="93"/>
      <c r="P1989" s="95"/>
      <c r="Q1989" s="196"/>
    </row>
    <row r="1990" spans="3:17" x14ac:dyDescent="0.25">
      <c r="C1990" s="198"/>
      <c r="D1990" s="111"/>
      <c r="E1990" s="33"/>
      <c r="F1990" s="104"/>
      <c r="H1990" s="115"/>
      <c r="I1990" s="26"/>
      <c r="J1990" s="98"/>
      <c r="K1990" s="36"/>
      <c r="L1990" s="26"/>
      <c r="M1990" s="26"/>
      <c r="N1990" s="26"/>
      <c r="O1990" s="93"/>
      <c r="P1990" s="95"/>
      <c r="Q1990" s="196"/>
    </row>
    <row r="1991" spans="3:17" x14ac:dyDescent="0.25">
      <c r="C1991" s="198"/>
      <c r="D1991" s="111"/>
      <c r="E1991" s="33"/>
      <c r="F1991" s="104"/>
      <c r="H1991" s="115"/>
      <c r="I1991" s="26"/>
      <c r="J1991" s="98"/>
      <c r="K1991" s="36"/>
      <c r="L1991" s="26"/>
      <c r="M1991" s="26"/>
      <c r="N1991" s="26"/>
      <c r="O1991" s="93"/>
      <c r="P1991" s="95"/>
      <c r="Q1991" s="196"/>
    </row>
    <row r="1992" spans="3:17" x14ac:dyDescent="0.25">
      <c r="C1992" s="198"/>
      <c r="D1992" s="111"/>
      <c r="E1992" s="33"/>
      <c r="F1992" s="104"/>
      <c r="H1992" s="115"/>
      <c r="I1992" s="26"/>
      <c r="J1992" s="98"/>
      <c r="K1992" s="36"/>
      <c r="L1992" s="26"/>
      <c r="M1992" s="26"/>
      <c r="N1992" s="26"/>
      <c r="O1992" s="93"/>
      <c r="P1992" s="95"/>
      <c r="Q1992" s="196"/>
    </row>
    <row r="1993" spans="3:17" x14ac:dyDescent="0.25">
      <c r="C1993" s="198"/>
      <c r="D1993" s="111"/>
      <c r="E1993" s="33"/>
      <c r="F1993" s="104"/>
      <c r="H1993" s="115"/>
      <c r="I1993" s="26"/>
      <c r="J1993" s="98"/>
      <c r="K1993" s="36"/>
      <c r="L1993" s="26"/>
      <c r="M1993" s="26"/>
      <c r="N1993" s="26"/>
      <c r="O1993" s="93"/>
      <c r="P1993" s="95"/>
      <c r="Q1993" s="196"/>
    </row>
    <row r="1994" spans="3:17" x14ac:dyDescent="0.25">
      <c r="C1994" s="198"/>
      <c r="D1994" s="111"/>
      <c r="E1994" s="33"/>
      <c r="F1994" s="104"/>
      <c r="H1994" s="115"/>
      <c r="I1994" s="26"/>
      <c r="J1994" s="98"/>
      <c r="K1994" s="36"/>
      <c r="L1994" s="26"/>
      <c r="M1994" s="26"/>
      <c r="N1994" s="26"/>
      <c r="O1994" s="93"/>
      <c r="P1994" s="95"/>
      <c r="Q1994" s="196"/>
    </row>
    <row r="1995" spans="3:17" x14ac:dyDescent="0.25">
      <c r="C1995" s="198"/>
      <c r="D1995" s="111"/>
      <c r="E1995" s="33"/>
      <c r="F1995" s="104"/>
      <c r="H1995" s="115"/>
      <c r="I1995" s="26"/>
      <c r="J1995" s="98"/>
      <c r="K1995" s="36"/>
      <c r="L1995" s="26"/>
      <c r="M1995" s="26"/>
      <c r="N1995" s="26"/>
      <c r="O1995" s="93"/>
      <c r="P1995" s="95"/>
      <c r="Q1995" s="196"/>
    </row>
    <row r="1996" spans="3:17" x14ac:dyDescent="0.25">
      <c r="C1996" s="198"/>
      <c r="D1996" s="111"/>
      <c r="E1996" s="33"/>
      <c r="F1996" s="104"/>
      <c r="H1996" s="115"/>
      <c r="I1996" s="26"/>
      <c r="J1996" s="98"/>
      <c r="K1996" s="36"/>
      <c r="L1996" s="26"/>
      <c r="M1996" s="26"/>
      <c r="N1996" s="26"/>
      <c r="O1996" s="93"/>
      <c r="P1996" s="95"/>
      <c r="Q1996" s="196"/>
    </row>
    <row r="1997" spans="3:17" x14ac:dyDescent="0.25">
      <c r="C1997" s="198"/>
      <c r="D1997" s="111"/>
      <c r="E1997" s="33"/>
      <c r="F1997" s="104"/>
      <c r="H1997" s="115"/>
      <c r="I1997" s="26"/>
      <c r="J1997" s="98"/>
      <c r="K1997" s="36"/>
      <c r="L1997" s="26"/>
      <c r="M1997" s="26"/>
      <c r="N1997" s="26"/>
      <c r="O1997" s="93"/>
      <c r="P1997" s="95"/>
      <c r="Q1997" s="196"/>
    </row>
    <row r="1998" spans="3:17" x14ac:dyDescent="0.25">
      <c r="C1998" s="198"/>
      <c r="D1998" s="111"/>
      <c r="E1998" s="33"/>
      <c r="F1998" s="104"/>
      <c r="H1998" s="115"/>
      <c r="I1998" s="26"/>
      <c r="J1998" s="98"/>
      <c r="K1998" s="36"/>
      <c r="L1998" s="26"/>
      <c r="M1998" s="26"/>
      <c r="N1998" s="26"/>
      <c r="O1998" s="93"/>
      <c r="P1998" s="95"/>
      <c r="Q1998" s="196"/>
    </row>
    <row r="1999" spans="3:17" x14ac:dyDescent="0.25">
      <c r="C1999" s="198"/>
      <c r="D1999" s="111"/>
      <c r="E1999" s="33"/>
      <c r="F1999" s="104"/>
      <c r="H1999" s="115"/>
      <c r="I1999" s="26"/>
      <c r="J1999" s="98"/>
      <c r="K1999" s="36"/>
      <c r="L1999" s="26"/>
      <c r="M1999" s="26"/>
      <c r="N1999" s="26"/>
      <c r="O1999" s="93"/>
      <c r="P1999" s="95"/>
      <c r="Q1999" s="196"/>
    </row>
    <row r="2000" spans="3:17" x14ac:dyDescent="0.25">
      <c r="C2000" s="198"/>
      <c r="D2000" s="111"/>
      <c r="E2000" s="33"/>
      <c r="F2000" s="104"/>
      <c r="H2000" s="115"/>
      <c r="I2000" s="26"/>
      <c r="J2000" s="98"/>
      <c r="K2000" s="36"/>
      <c r="L2000" s="26"/>
      <c r="M2000" s="26"/>
      <c r="N2000" s="26"/>
      <c r="O2000" s="93"/>
      <c r="P2000" s="95"/>
      <c r="Q2000" s="196"/>
    </row>
    <row r="2001" spans="3:17" x14ac:dyDescent="0.25">
      <c r="C2001" s="198"/>
      <c r="D2001" s="111"/>
      <c r="E2001" s="33"/>
      <c r="F2001" s="104"/>
      <c r="H2001" s="115"/>
      <c r="I2001" s="26"/>
      <c r="J2001" s="98"/>
      <c r="K2001" s="36"/>
      <c r="L2001" s="26"/>
      <c r="M2001" s="26"/>
      <c r="N2001" s="26"/>
      <c r="O2001" s="93"/>
      <c r="P2001" s="95"/>
      <c r="Q2001" s="196"/>
    </row>
    <row r="2002" spans="3:17" x14ac:dyDescent="0.25">
      <c r="C2002" s="198"/>
      <c r="D2002" s="111"/>
      <c r="E2002" s="33"/>
      <c r="F2002" s="104"/>
      <c r="H2002" s="115"/>
      <c r="I2002" s="26"/>
      <c r="J2002" s="98"/>
      <c r="K2002" s="36"/>
      <c r="L2002" s="26"/>
      <c r="M2002" s="26"/>
      <c r="N2002" s="26"/>
      <c r="O2002" s="93"/>
      <c r="P2002" s="95"/>
      <c r="Q2002" s="196"/>
    </row>
    <row r="2003" spans="3:17" x14ac:dyDescent="0.25">
      <c r="C2003" s="198"/>
      <c r="D2003" s="111"/>
      <c r="E2003" s="33"/>
      <c r="F2003" s="104"/>
      <c r="H2003" s="115"/>
      <c r="I2003" s="26"/>
      <c r="J2003" s="98"/>
      <c r="K2003" s="36"/>
      <c r="L2003" s="26"/>
      <c r="M2003" s="26"/>
      <c r="N2003" s="26"/>
      <c r="O2003" s="93"/>
      <c r="P2003" s="95"/>
      <c r="Q2003" s="196"/>
    </row>
    <row r="2004" spans="3:17" x14ac:dyDescent="0.25">
      <c r="C2004" s="198"/>
      <c r="D2004" s="111"/>
      <c r="E2004" s="33"/>
      <c r="F2004" s="104"/>
      <c r="H2004" s="115"/>
      <c r="I2004" s="26"/>
      <c r="J2004" s="98"/>
      <c r="K2004" s="36"/>
      <c r="L2004" s="26"/>
      <c r="M2004" s="26"/>
      <c r="N2004" s="26"/>
      <c r="O2004" s="93"/>
      <c r="P2004" s="95"/>
      <c r="Q2004" s="196"/>
    </row>
    <row r="2005" spans="3:17" x14ac:dyDescent="0.25">
      <c r="C2005" s="198"/>
      <c r="D2005" s="111"/>
      <c r="E2005" s="33"/>
      <c r="F2005" s="104"/>
      <c r="H2005" s="115"/>
      <c r="I2005" s="26"/>
      <c r="J2005" s="98"/>
      <c r="K2005" s="36"/>
      <c r="L2005" s="26"/>
      <c r="M2005" s="26"/>
      <c r="N2005" s="26"/>
      <c r="O2005" s="93"/>
      <c r="P2005" s="95"/>
      <c r="Q2005" s="196"/>
    </row>
    <row r="2006" spans="3:17" x14ac:dyDescent="0.25">
      <c r="C2006" s="198"/>
      <c r="D2006" s="111"/>
      <c r="E2006" s="33"/>
      <c r="F2006" s="104"/>
      <c r="H2006" s="115"/>
      <c r="I2006" s="26"/>
      <c r="J2006" s="98"/>
      <c r="K2006" s="36"/>
      <c r="L2006" s="26"/>
      <c r="M2006" s="26"/>
      <c r="N2006" s="26"/>
      <c r="O2006" s="93"/>
      <c r="P2006" s="95"/>
      <c r="Q2006" s="196"/>
    </row>
    <row r="2007" spans="3:17" x14ac:dyDescent="0.25">
      <c r="C2007" s="198"/>
      <c r="D2007" s="111"/>
      <c r="E2007" s="33"/>
      <c r="F2007" s="104"/>
      <c r="H2007" s="115"/>
      <c r="I2007" s="26"/>
      <c r="J2007" s="98"/>
      <c r="K2007" s="36"/>
      <c r="L2007" s="26"/>
      <c r="M2007" s="26"/>
      <c r="N2007" s="26"/>
      <c r="O2007" s="93"/>
      <c r="P2007" s="95"/>
      <c r="Q2007" s="196"/>
    </row>
    <row r="2008" spans="3:17" x14ac:dyDescent="0.25">
      <c r="C2008" s="198"/>
      <c r="D2008" s="111"/>
      <c r="E2008" s="33"/>
      <c r="F2008" s="104"/>
      <c r="H2008" s="115"/>
      <c r="I2008" s="26"/>
      <c r="J2008" s="98"/>
      <c r="K2008" s="36"/>
      <c r="L2008" s="26"/>
      <c r="M2008" s="26"/>
      <c r="N2008" s="26"/>
      <c r="O2008" s="93"/>
      <c r="P2008" s="95"/>
      <c r="Q2008" s="196"/>
    </row>
    <row r="2009" spans="3:17" x14ac:dyDescent="0.25">
      <c r="C2009" s="198"/>
      <c r="D2009" s="111"/>
      <c r="E2009" s="33"/>
      <c r="F2009" s="104"/>
      <c r="H2009" s="115"/>
      <c r="I2009" s="26"/>
      <c r="J2009" s="98"/>
      <c r="K2009" s="36"/>
      <c r="L2009" s="26"/>
      <c r="M2009" s="26"/>
      <c r="N2009" s="26"/>
      <c r="O2009" s="93"/>
      <c r="P2009" s="95"/>
      <c r="Q2009" s="196"/>
    </row>
    <row r="2010" spans="3:17" x14ac:dyDescent="0.25">
      <c r="C2010" s="198"/>
      <c r="D2010" s="111"/>
      <c r="E2010" s="33"/>
      <c r="F2010" s="104"/>
      <c r="H2010" s="115"/>
      <c r="I2010" s="26"/>
      <c r="J2010" s="98"/>
      <c r="K2010" s="36"/>
      <c r="L2010" s="26"/>
      <c r="M2010" s="26"/>
      <c r="N2010" s="26"/>
      <c r="O2010" s="93" t="str">
        <f t="shared" ref="O2010:O2013" si="53">IF(N2010="","-",L2010*N2010)</f>
        <v>-</v>
      </c>
      <c r="P2010" s="95"/>
      <c r="Q2010" s="196"/>
    </row>
    <row r="2011" spans="3:17" x14ac:dyDescent="0.25">
      <c r="C2011" s="198"/>
      <c r="D2011" s="111"/>
      <c r="E2011" s="33"/>
      <c r="F2011" s="104"/>
      <c r="H2011" s="115"/>
      <c r="I2011" s="26"/>
      <c r="J2011" s="98"/>
      <c r="K2011" s="36"/>
      <c r="L2011" s="26"/>
      <c r="M2011" s="26"/>
      <c r="N2011" s="26"/>
      <c r="O2011" s="93" t="str">
        <f t="shared" si="53"/>
        <v>-</v>
      </c>
      <c r="P2011" s="95"/>
      <c r="Q2011" s="196"/>
    </row>
    <row r="2012" spans="3:17" x14ac:dyDescent="0.25">
      <c r="C2012" s="198"/>
      <c r="D2012" s="111"/>
      <c r="E2012" s="33"/>
      <c r="F2012" s="104"/>
      <c r="H2012" s="115"/>
      <c r="I2012" s="26"/>
      <c r="J2012" s="98"/>
      <c r="K2012" s="36"/>
      <c r="L2012" s="26"/>
      <c r="M2012" s="26"/>
      <c r="N2012" s="26"/>
      <c r="O2012" s="93" t="str">
        <f t="shared" si="53"/>
        <v>-</v>
      </c>
      <c r="P2012" s="95"/>
      <c r="Q2012" s="196"/>
    </row>
    <row r="2013" spans="3:17" x14ac:dyDescent="0.25">
      <c r="C2013" s="198"/>
      <c r="D2013" s="111"/>
      <c r="E2013" s="33"/>
      <c r="F2013" s="104"/>
      <c r="H2013" s="115"/>
      <c r="I2013" s="26"/>
      <c r="J2013" s="98"/>
      <c r="K2013" s="36"/>
      <c r="L2013" s="26"/>
      <c r="M2013" s="26"/>
      <c r="N2013" s="26"/>
      <c r="O2013" s="93" t="str">
        <f t="shared" si="53"/>
        <v>-</v>
      </c>
      <c r="P2013" s="95"/>
      <c r="Q2013" s="196"/>
    </row>
  </sheetData>
  <phoneticPr fontId="29" type="noConversion"/>
  <conditionalFormatting sqref="E284">
    <cfRule type="expression" dxfId="7" priority="12">
      <formula>$A284&gt;2004</formula>
    </cfRule>
  </conditionalFormatting>
  <conditionalFormatting sqref="E309:E2013">
    <cfRule type="expression" dxfId="6" priority="2">
      <formula>$A309&gt;2004</formula>
    </cfRule>
  </conditionalFormatting>
  <conditionalFormatting sqref="F22:F2013">
    <cfRule type="containsText" dxfId="5" priority="3" operator="containsText" text="ERROR">
      <formula>NOT(ISERROR(SEARCH("ERROR",F22)))</formula>
    </cfRule>
  </conditionalFormatting>
  <conditionalFormatting sqref="J22:J2013">
    <cfRule type="cellIs" dxfId="4" priority="1" operator="equal">
      <formula>1</formula>
    </cfRule>
  </conditionalFormatting>
  <hyperlinks>
    <hyperlink ref="E7" location="'Asset exclusions'!A1" display="'Asset exclusions'!A1" xr:uid="{00000000-0004-0000-0600-000000000000}"/>
  </hyperlinks>
  <pageMargins left="0.7" right="0.7" top="0.75" bottom="0.75" header="0.3" footer="0.3"/>
  <pageSetup paperSize="9" orientation="portrait" horizontalDpi="200" verticalDpi="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sheetPr>
  <dimension ref="A1:P196"/>
  <sheetViews>
    <sheetView showGridLines="0" zoomScale="70" zoomScaleNormal="70" workbookViewId="0">
      <pane ySplit="21" topLeftCell="A37" activePane="bottomLeft" state="frozen"/>
      <selection activeCell="J9" sqref="J9"/>
      <selection pane="bottomLeft" activeCell="L48" sqref="L48"/>
    </sheetView>
  </sheetViews>
  <sheetFormatPr defaultRowHeight="11.5" outlineLevelRow="1" x14ac:dyDescent="0.25"/>
  <cols>
    <col min="1" max="1" width="10.09765625" style="243" bestFit="1" customWidth="1"/>
    <col min="2" max="2" width="12" style="243" bestFit="1"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8" max="18" width="9.09765625" customWidth="1"/>
  </cols>
  <sheetData>
    <row r="1" spans="3:12" x14ac:dyDescent="0.25">
      <c r="E1" s="31"/>
    </row>
    <row r="2" spans="3:12" x14ac:dyDescent="0.25">
      <c r="E2" s="31"/>
      <c r="F2" s="31"/>
    </row>
    <row r="3" spans="3:12" ht="20" x14ac:dyDescent="0.4">
      <c r="C3" s="57" t="s">
        <v>726</v>
      </c>
    </row>
    <row r="4" spans="3:12" hidden="1" outlineLevel="1" x14ac:dyDescent="0.25"/>
    <row r="5" spans="3:12" hidden="1" outlineLevel="1" x14ac:dyDescent="0.25"/>
    <row r="6" spans="3:12" ht="12" hidden="1" customHeight="1" outlineLevel="1" x14ac:dyDescent="0.25">
      <c r="C6" s="105"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12" hidden="1" outlineLevel="1" x14ac:dyDescent="0.25">
      <c r="C7" s="127" t="str">
        <f ca="1">"Hyperlink to the '"&amp;MID(CELL("filename",'Asset exclusions'!A1),FIND("]",CELL("filename",'Asset exclusions'!A1))+1,255)&amp;"' worksheet:"</f>
        <v>Hyperlink to the 'Asset exclusions' worksheet:</v>
      </c>
      <c r="E7" s="156" t="s">
        <v>174</v>
      </c>
    </row>
    <row r="8" spans="3:12" hidden="1" outlineLevel="1" x14ac:dyDescent="0.25">
      <c r="C8" s="127"/>
      <c r="E8" s="156"/>
    </row>
    <row r="9" spans="3:12" hidden="1" outlineLevel="1" x14ac:dyDescent="0.25">
      <c r="C9" s="127" t="s">
        <v>175</v>
      </c>
      <c r="E9" s="156"/>
      <c r="J9">
        <v>97.559677397661673</v>
      </c>
    </row>
    <row r="10" spans="3:12" hidden="1" outlineLevel="1" x14ac:dyDescent="0.25">
      <c r="C10" s="127" t="s">
        <v>176</v>
      </c>
      <c r="E10" s="156"/>
    </row>
    <row r="11" spans="3:12" hidden="1" outlineLevel="1" x14ac:dyDescent="0.25">
      <c r="C11" s="127" t="s">
        <v>177</v>
      </c>
      <c r="E11" s="156"/>
    </row>
    <row r="12" spans="3:12" hidden="1" outlineLevel="1" x14ac:dyDescent="0.25">
      <c r="C12" s="127" t="s">
        <v>178</v>
      </c>
      <c r="E12" s="156"/>
    </row>
    <row r="13" spans="3:12" collapsed="1" x14ac:dyDescent="0.25"/>
    <row r="14" spans="3:12" x14ac:dyDescent="0.25">
      <c r="C14" s="6" t="s">
        <v>179</v>
      </c>
      <c r="J14" s="253"/>
      <c r="K14" s="253"/>
      <c r="L14" s="253"/>
    </row>
    <row r="15" spans="3:12" ht="12" x14ac:dyDescent="0.3">
      <c r="C15" s="63" t="s">
        <v>180</v>
      </c>
      <c r="E15" s="99">
        <f>'General inputs'!$H$18+1</f>
        <v>44378</v>
      </c>
      <c r="H15" s="199" t="s">
        <v>181</v>
      </c>
      <c r="J15" s="254"/>
      <c r="K15" s="253"/>
      <c r="L15" s="253"/>
    </row>
    <row r="16" spans="3:12" ht="12" x14ac:dyDescent="0.3">
      <c r="C16" s="63"/>
      <c r="H16" s="200" t="s">
        <v>727</v>
      </c>
      <c r="I16" s="201">
        <f>SUMIF($B$22:$B$88,H16,$P$22:$P$88)/$J$22</f>
        <v>2053542435.2429998</v>
      </c>
      <c r="J16" s="250"/>
      <c r="K16" s="253"/>
      <c r="L16" s="208"/>
    </row>
    <row r="17" spans="1:16" ht="12" x14ac:dyDescent="0.3">
      <c r="H17" s="202" t="s">
        <v>728</v>
      </c>
      <c r="I17" s="203">
        <f>SUMIF($B$22:$B$88,H17,$P$22:$P$88)/$J$22</f>
        <v>0</v>
      </c>
      <c r="J17" s="250"/>
      <c r="K17" s="253"/>
      <c r="L17" s="208"/>
    </row>
    <row r="18" spans="1:16" ht="15.5" x14ac:dyDescent="0.35">
      <c r="C18" s="2" t="s">
        <v>729</v>
      </c>
      <c r="H18" s="204" t="s">
        <v>186</v>
      </c>
      <c r="I18" s="205">
        <f>SUMIF($B$22:$B$88,H18,$P$22:$P$88)/$J$22</f>
        <v>278135972.69999999</v>
      </c>
      <c r="J18" s="250"/>
      <c r="K18" s="253"/>
      <c r="L18" s="208"/>
    </row>
    <row r="19" spans="1:16" ht="12" x14ac:dyDescent="0.3">
      <c r="H19" s="204" t="s">
        <v>554</v>
      </c>
      <c r="I19" s="205">
        <f>SUMIF($B$22:$B$88,H19,$P$22:$P$88)/J58</f>
        <v>263944083.60000002</v>
      </c>
      <c r="J19" s="250"/>
      <c r="K19" s="253"/>
      <c r="L19" s="208"/>
    </row>
    <row r="20" spans="1:16" x14ac:dyDescent="0.25">
      <c r="C20" s="6" t="s">
        <v>187</v>
      </c>
      <c r="H20" s="6" t="s">
        <v>188</v>
      </c>
      <c r="L20" s="6" t="s">
        <v>189</v>
      </c>
      <c r="M20" s="6"/>
    </row>
    <row r="21" spans="1:16" ht="46" x14ac:dyDescent="0.25">
      <c r="C21" s="24" t="s">
        <v>190</v>
      </c>
      <c r="D21" s="24" t="s">
        <v>191</v>
      </c>
      <c r="E21" s="24" t="s">
        <v>192</v>
      </c>
      <c r="F21" s="24" t="s">
        <v>555</v>
      </c>
      <c r="H21" s="24" t="s">
        <v>194</v>
      </c>
      <c r="I21" s="24" t="s">
        <v>195</v>
      </c>
      <c r="J21" s="24" t="s">
        <v>196</v>
      </c>
      <c r="L21" s="24" t="s">
        <v>197</v>
      </c>
      <c r="M21" s="24" t="s">
        <v>198</v>
      </c>
      <c r="N21" s="24" t="s">
        <v>199</v>
      </c>
      <c r="O21" s="24" t="s">
        <v>200</v>
      </c>
      <c r="P21" s="24" t="s">
        <v>201</v>
      </c>
    </row>
    <row r="22" spans="1:16" ht="28.25" customHeight="1" x14ac:dyDescent="0.25">
      <c r="A22" s="243">
        <v>2032</v>
      </c>
      <c r="B22" s="243" t="s">
        <v>727</v>
      </c>
      <c r="C22" s="197"/>
      <c r="D22" s="110" t="s">
        <v>730</v>
      </c>
      <c r="E22" s="32">
        <f>DATEVALUE("30 Jun "&amp;A22)</f>
        <v>48395</v>
      </c>
      <c r="F22" s="89" t="str">
        <f>IF(E22="","-",IF(E22&lt;$E$15,"ERROR - date outside of range",IF(MONTH(E22)&gt;=7,YEAR(E22)&amp;"-"&amp;RIGHT(YEAR(E22),2)+1,YEAR(E22)-1&amp;"-"&amp;RIGHT(YEAR(E22),2))))</f>
        <v>2031-32</v>
      </c>
      <c r="H22" s="114" t="s">
        <v>731</v>
      </c>
      <c r="I22" s="25"/>
      <c r="J22" s="97">
        <v>1</v>
      </c>
      <c r="K22" s="36"/>
      <c r="L22" s="25">
        <v>1</v>
      </c>
      <c r="M22" s="25" t="s">
        <v>732</v>
      </c>
      <c r="N22" s="25">
        <v>1882091415.2429998</v>
      </c>
      <c r="O22" s="92">
        <f>IF(N22="","-",L22*N22)</f>
        <v>1882091415.2429998</v>
      </c>
      <c r="P22" s="94">
        <f>IF(O22="-","-",IF(E22&lt;$E$15,0,O22*J22))</f>
        <v>1882091415.2429998</v>
      </c>
    </row>
    <row r="23" spans="1:16" x14ac:dyDescent="0.25">
      <c r="A23" s="243">
        <v>2026</v>
      </c>
      <c r="B23" s="243" t="s">
        <v>727</v>
      </c>
      <c r="C23" s="198"/>
      <c r="D23" s="111" t="s">
        <v>733</v>
      </c>
      <c r="E23" s="33">
        <f t="shared" ref="E23:E34" si="0">DATEVALUE("30 Jun "&amp;A23)</f>
        <v>46203</v>
      </c>
      <c r="F23" s="90" t="str">
        <f t="shared" ref="F23:F57" si="1">IF(E23="","-",IF(E23&lt;$E$15,"ERROR - date outside of range",IF(MONTH(E23)&gt;=7,YEAR(E23)&amp;"-"&amp;RIGHT(YEAR(E23),2)+1,YEAR(E23)-1&amp;"-"&amp;RIGHT(YEAR(E23),2))))</f>
        <v>2025-26</v>
      </c>
      <c r="H23" s="112"/>
      <c r="I23" s="26"/>
      <c r="J23" s="98">
        <f>J22</f>
        <v>1</v>
      </c>
      <c r="K23" s="36"/>
      <c r="L23" s="26">
        <v>1</v>
      </c>
      <c r="M23" s="26" t="s">
        <v>732</v>
      </c>
      <c r="N23" s="26">
        <v>1931020</v>
      </c>
      <c r="O23" s="93">
        <f t="shared" ref="O23:O37" si="2">IF(N23="","-",L23*N23)</f>
        <v>1931020</v>
      </c>
      <c r="P23" s="95">
        <f t="shared" ref="P23:P37" si="3">IF(O23="-","-",IF(E23&lt;$E$15,0,O23*J23))</f>
        <v>1931020</v>
      </c>
    </row>
    <row r="24" spans="1:16" x14ac:dyDescent="0.25">
      <c r="A24" s="243">
        <v>2026</v>
      </c>
      <c r="B24" s="243" t="s">
        <v>727</v>
      </c>
      <c r="C24" s="198"/>
      <c r="D24" s="111" t="s">
        <v>734</v>
      </c>
      <c r="E24" s="33">
        <f t="shared" si="0"/>
        <v>46203</v>
      </c>
      <c r="F24" s="90" t="str">
        <f t="shared" si="1"/>
        <v>2025-26</v>
      </c>
      <c r="H24" s="112"/>
      <c r="I24" s="26"/>
      <c r="J24" s="98">
        <f t="shared" ref="J24:J54" si="4">J23</f>
        <v>1</v>
      </c>
      <c r="K24" s="36"/>
      <c r="L24" s="26">
        <v>1</v>
      </c>
      <c r="M24" s="26" t="s">
        <v>732</v>
      </c>
      <c r="N24" s="26">
        <v>3640000</v>
      </c>
      <c r="O24" s="93">
        <f t="shared" si="2"/>
        <v>3640000</v>
      </c>
      <c r="P24" s="95">
        <f t="shared" si="3"/>
        <v>3640000</v>
      </c>
    </row>
    <row r="25" spans="1:16" x14ac:dyDescent="0.25">
      <c r="A25" s="243">
        <v>2026</v>
      </c>
      <c r="B25" s="243" t="s">
        <v>727</v>
      </c>
      <c r="C25" s="198"/>
      <c r="D25" s="111" t="s">
        <v>735</v>
      </c>
      <c r="E25" s="33">
        <f t="shared" si="0"/>
        <v>46203</v>
      </c>
      <c r="F25" s="90" t="str">
        <f t="shared" si="1"/>
        <v>2025-26</v>
      </c>
      <c r="H25" s="112"/>
      <c r="I25" s="26"/>
      <c r="J25" s="98">
        <f t="shared" si="4"/>
        <v>1</v>
      </c>
      <c r="K25" s="36"/>
      <c r="L25" s="26">
        <v>1</v>
      </c>
      <c r="M25" s="26" t="s">
        <v>732</v>
      </c>
      <c r="N25" s="26">
        <v>4240000</v>
      </c>
      <c r="O25" s="93">
        <f t="shared" si="2"/>
        <v>4240000</v>
      </c>
      <c r="P25" s="95">
        <f t="shared" si="3"/>
        <v>4240000</v>
      </c>
    </row>
    <row r="26" spans="1:16" x14ac:dyDescent="0.25">
      <c r="A26" s="243">
        <v>2026</v>
      </c>
      <c r="B26" s="243" t="s">
        <v>727</v>
      </c>
      <c r="C26" s="198"/>
      <c r="D26" s="111" t="s">
        <v>736</v>
      </c>
      <c r="E26" s="33">
        <f t="shared" si="0"/>
        <v>46203</v>
      </c>
      <c r="F26" s="90" t="str">
        <f t="shared" si="1"/>
        <v>2025-26</v>
      </c>
      <c r="H26" s="112"/>
      <c r="I26" s="26"/>
      <c r="J26" s="98">
        <f>J25</f>
        <v>1</v>
      </c>
      <c r="K26" s="36"/>
      <c r="L26" s="26">
        <v>1</v>
      </c>
      <c r="M26" s="26" t="s">
        <v>732</v>
      </c>
      <c r="N26" s="26">
        <v>360000</v>
      </c>
      <c r="O26" s="93">
        <f t="shared" si="2"/>
        <v>360000</v>
      </c>
      <c r="P26" s="95">
        <f t="shared" si="3"/>
        <v>360000</v>
      </c>
    </row>
    <row r="27" spans="1:16" x14ac:dyDescent="0.25">
      <c r="A27" s="243">
        <v>2026</v>
      </c>
      <c r="B27" s="243" t="s">
        <v>727</v>
      </c>
      <c r="C27" s="198"/>
      <c r="D27" s="111" t="s">
        <v>737</v>
      </c>
      <c r="E27" s="33">
        <f t="shared" si="0"/>
        <v>46203</v>
      </c>
      <c r="F27" s="90" t="str">
        <f t="shared" si="1"/>
        <v>2025-26</v>
      </c>
      <c r="H27" s="112"/>
      <c r="I27" s="26"/>
      <c r="J27" s="98">
        <f t="shared" si="4"/>
        <v>1</v>
      </c>
      <c r="K27" s="36"/>
      <c r="L27" s="26">
        <v>1</v>
      </c>
      <c r="M27" s="26" t="s">
        <v>732</v>
      </c>
      <c r="N27" s="26">
        <v>3210000</v>
      </c>
      <c r="O27" s="93">
        <f t="shared" si="2"/>
        <v>3210000</v>
      </c>
      <c r="P27" s="95">
        <f t="shared" si="3"/>
        <v>3210000</v>
      </c>
    </row>
    <row r="28" spans="1:16" ht="23" x14ac:dyDescent="0.25">
      <c r="A28" s="243">
        <v>2026</v>
      </c>
      <c r="B28" s="243" t="s">
        <v>727</v>
      </c>
      <c r="C28" s="198"/>
      <c r="D28" s="111" t="s">
        <v>738</v>
      </c>
      <c r="E28" s="33">
        <f t="shared" si="0"/>
        <v>46203</v>
      </c>
      <c r="F28" s="90" t="str">
        <f t="shared" si="1"/>
        <v>2025-26</v>
      </c>
      <c r="H28" s="112"/>
      <c r="I28" s="26"/>
      <c r="J28" s="98">
        <f t="shared" si="4"/>
        <v>1</v>
      </c>
      <c r="K28" s="36"/>
      <c r="L28" s="26">
        <v>1</v>
      </c>
      <c r="M28" s="26" t="s">
        <v>732</v>
      </c>
      <c r="N28" s="26">
        <v>3630000</v>
      </c>
      <c r="O28" s="93">
        <f t="shared" si="2"/>
        <v>3630000</v>
      </c>
      <c r="P28" s="95">
        <f t="shared" si="3"/>
        <v>3630000</v>
      </c>
    </row>
    <row r="29" spans="1:16" ht="23" x14ac:dyDescent="0.25">
      <c r="A29" s="243">
        <v>2026</v>
      </c>
      <c r="B29" s="243" t="s">
        <v>727</v>
      </c>
      <c r="C29" s="198"/>
      <c r="D29" s="111" t="s">
        <v>739</v>
      </c>
      <c r="E29" s="33">
        <f t="shared" si="0"/>
        <v>46203</v>
      </c>
      <c r="F29" s="90" t="str">
        <f t="shared" si="1"/>
        <v>2025-26</v>
      </c>
      <c r="H29" s="112"/>
      <c r="I29" s="26"/>
      <c r="J29" s="98">
        <f t="shared" si="4"/>
        <v>1</v>
      </c>
      <c r="K29" s="36"/>
      <c r="L29" s="26">
        <v>1</v>
      </c>
      <c r="M29" s="26" t="s">
        <v>732</v>
      </c>
      <c r="N29" s="26">
        <v>340000</v>
      </c>
      <c r="O29" s="93">
        <f t="shared" si="2"/>
        <v>340000</v>
      </c>
      <c r="P29" s="95">
        <f t="shared" si="3"/>
        <v>340000</v>
      </c>
    </row>
    <row r="30" spans="1:16" ht="23" x14ac:dyDescent="0.25">
      <c r="A30" s="243">
        <v>2026</v>
      </c>
      <c r="B30" s="243" t="s">
        <v>727</v>
      </c>
      <c r="C30" s="198"/>
      <c r="D30" s="111" t="s">
        <v>740</v>
      </c>
      <c r="E30" s="33">
        <f t="shared" si="0"/>
        <v>46203</v>
      </c>
      <c r="F30" s="90" t="str">
        <f t="shared" si="1"/>
        <v>2025-26</v>
      </c>
      <c r="H30" s="112"/>
      <c r="I30" s="26"/>
      <c r="J30" s="98">
        <f t="shared" si="4"/>
        <v>1</v>
      </c>
      <c r="K30" s="36"/>
      <c r="L30" s="26">
        <v>1</v>
      </c>
      <c r="M30" s="26" t="s">
        <v>732</v>
      </c>
      <c r="N30" s="26">
        <v>1000000</v>
      </c>
      <c r="O30" s="93">
        <f t="shared" si="2"/>
        <v>1000000</v>
      </c>
      <c r="P30" s="95">
        <f t="shared" si="3"/>
        <v>1000000</v>
      </c>
    </row>
    <row r="31" spans="1:16" ht="23" x14ac:dyDescent="0.25">
      <c r="A31" s="243">
        <v>2026</v>
      </c>
      <c r="B31" s="243" t="s">
        <v>727</v>
      </c>
      <c r="C31" s="198"/>
      <c r="D31" s="111" t="s">
        <v>741</v>
      </c>
      <c r="E31" s="33">
        <f t="shared" si="0"/>
        <v>46203</v>
      </c>
      <c r="F31" s="90" t="str">
        <f t="shared" si="1"/>
        <v>2025-26</v>
      </c>
      <c r="H31" s="112"/>
      <c r="I31" s="26"/>
      <c r="J31" s="98">
        <f t="shared" si="4"/>
        <v>1</v>
      </c>
      <c r="K31" s="36"/>
      <c r="L31" s="26">
        <v>1</v>
      </c>
      <c r="M31" s="26" t="s">
        <v>732</v>
      </c>
      <c r="N31" s="26">
        <v>9800000</v>
      </c>
      <c r="O31" s="93">
        <f t="shared" si="2"/>
        <v>9800000</v>
      </c>
      <c r="P31" s="95">
        <f t="shared" si="3"/>
        <v>9800000</v>
      </c>
    </row>
    <row r="32" spans="1:16" ht="46" x14ac:dyDescent="0.25">
      <c r="A32" s="243">
        <v>2026</v>
      </c>
      <c r="B32" s="243" t="s">
        <v>727</v>
      </c>
      <c r="C32" s="198"/>
      <c r="D32" s="111" t="s">
        <v>742</v>
      </c>
      <c r="E32" s="33">
        <f t="shared" si="0"/>
        <v>46203</v>
      </c>
      <c r="F32" s="90" t="str">
        <f t="shared" si="1"/>
        <v>2025-26</v>
      </c>
      <c r="H32" s="112"/>
      <c r="I32" s="26"/>
      <c r="J32" s="98">
        <f t="shared" si="4"/>
        <v>1</v>
      </c>
      <c r="K32" s="36"/>
      <c r="L32" s="26">
        <v>1</v>
      </c>
      <c r="M32" s="26" t="s">
        <v>732</v>
      </c>
      <c r="N32" s="26">
        <v>3400000</v>
      </c>
      <c r="O32" s="93">
        <f t="shared" si="2"/>
        <v>3400000</v>
      </c>
      <c r="P32" s="95">
        <f t="shared" si="3"/>
        <v>3400000</v>
      </c>
    </row>
    <row r="33" spans="1:16" ht="23" x14ac:dyDescent="0.25">
      <c r="A33" s="243">
        <v>2026</v>
      </c>
      <c r="B33" s="243" t="s">
        <v>727</v>
      </c>
      <c r="C33" s="198"/>
      <c r="D33" s="111" t="s">
        <v>743</v>
      </c>
      <c r="E33" s="33">
        <f t="shared" si="0"/>
        <v>46203</v>
      </c>
      <c r="F33" s="90" t="str">
        <f t="shared" si="1"/>
        <v>2025-26</v>
      </c>
      <c r="H33" s="112"/>
      <c r="I33" s="26"/>
      <c r="J33" s="98">
        <f t="shared" si="4"/>
        <v>1</v>
      </c>
      <c r="K33" s="36"/>
      <c r="L33" s="26">
        <v>1</v>
      </c>
      <c r="M33" s="26" t="s">
        <v>732</v>
      </c>
      <c r="N33" s="26">
        <v>1800000</v>
      </c>
      <c r="O33" s="93">
        <f t="shared" si="2"/>
        <v>1800000</v>
      </c>
      <c r="P33" s="95">
        <f t="shared" si="3"/>
        <v>1800000</v>
      </c>
    </row>
    <row r="34" spans="1:16" ht="23" x14ac:dyDescent="0.25">
      <c r="A34" s="243">
        <v>2031</v>
      </c>
      <c r="B34" s="243" t="s">
        <v>727</v>
      </c>
      <c r="C34" s="198"/>
      <c r="D34" s="111" t="s">
        <v>744</v>
      </c>
      <c r="E34" s="33">
        <f t="shared" si="0"/>
        <v>48029</v>
      </c>
      <c r="F34" s="90" t="str">
        <f t="shared" si="1"/>
        <v>2030-31</v>
      </c>
      <c r="H34" s="112"/>
      <c r="I34" s="26"/>
      <c r="J34" s="98">
        <f t="shared" si="4"/>
        <v>1</v>
      </c>
      <c r="K34" s="36"/>
      <c r="L34" s="26">
        <v>1</v>
      </c>
      <c r="M34" s="26" t="s">
        <v>732</v>
      </c>
      <c r="N34" s="26">
        <v>12300000</v>
      </c>
      <c r="O34" s="93">
        <f t="shared" si="2"/>
        <v>12300000</v>
      </c>
      <c r="P34" s="95">
        <f t="shared" si="3"/>
        <v>12300000</v>
      </c>
    </row>
    <row r="35" spans="1:16" x14ac:dyDescent="0.25">
      <c r="C35" s="198"/>
      <c r="D35" s="111"/>
      <c r="E35" s="33"/>
      <c r="F35" s="90" t="str">
        <f t="shared" si="1"/>
        <v>-</v>
      </c>
      <c r="H35" s="112"/>
      <c r="I35" s="26"/>
      <c r="J35" s="98">
        <f t="shared" si="4"/>
        <v>1</v>
      </c>
      <c r="K35" s="36"/>
      <c r="L35" s="26"/>
      <c r="M35" s="26"/>
      <c r="N35" s="26"/>
      <c r="O35" s="93" t="str">
        <f t="shared" si="2"/>
        <v>-</v>
      </c>
      <c r="P35" s="95" t="str">
        <f t="shared" si="3"/>
        <v>-</v>
      </c>
    </row>
    <row r="36" spans="1:16" x14ac:dyDescent="0.25">
      <c r="C36" s="198"/>
      <c r="D36" s="111"/>
      <c r="E36" s="33"/>
      <c r="F36" s="90" t="str">
        <f t="shared" si="1"/>
        <v>-</v>
      </c>
      <c r="H36" s="112"/>
      <c r="I36" s="26"/>
      <c r="J36" s="98">
        <f t="shared" si="4"/>
        <v>1</v>
      </c>
      <c r="K36" s="36"/>
      <c r="L36" s="26"/>
      <c r="M36" s="26"/>
      <c r="N36" s="26"/>
      <c r="O36" s="93" t="str">
        <f t="shared" si="2"/>
        <v>-</v>
      </c>
      <c r="P36" s="95" t="str">
        <f t="shared" si="3"/>
        <v>-</v>
      </c>
    </row>
    <row r="37" spans="1:16" x14ac:dyDescent="0.25">
      <c r="C37" s="198"/>
      <c r="D37" s="111"/>
      <c r="E37" s="33"/>
      <c r="F37" s="90" t="str">
        <f t="shared" si="1"/>
        <v>-</v>
      </c>
      <c r="H37" s="112"/>
      <c r="I37" s="26"/>
      <c r="J37" s="98">
        <f t="shared" si="4"/>
        <v>1</v>
      </c>
      <c r="K37" s="36"/>
      <c r="L37" s="26"/>
      <c r="M37" s="26"/>
      <c r="N37" s="26"/>
      <c r="O37" s="93" t="str">
        <f t="shared" si="2"/>
        <v>-</v>
      </c>
      <c r="P37" s="95" t="str">
        <f t="shared" si="3"/>
        <v>-</v>
      </c>
    </row>
    <row r="38" spans="1:16" x14ac:dyDescent="0.25">
      <c r="C38" s="198"/>
      <c r="D38" s="111"/>
      <c r="E38" s="33"/>
      <c r="F38" s="90" t="str">
        <f t="shared" ref="F38:F44" si="5">IF(E38="","-",IF(E38&lt;$E$15,"ERROR - date outside of range",IF(MONTH(E38)&gt;=7,YEAR(E38)&amp;"-"&amp;RIGHT(YEAR(E38),2)+1,YEAR(E38)-1&amp;"-"&amp;RIGHT(YEAR(E38),2))))</f>
        <v>-</v>
      </c>
      <c r="H38" s="112"/>
      <c r="I38" s="26"/>
      <c r="J38" s="98">
        <f t="shared" si="4"/>
        <v>1</v>
      </c>
      <c r="K38" s="36"/>
      <c r="L38" s="26"/>
      <c r="M38" s="26"/>
      <c r="N38" s="26"/>
      <c r="O38" s="93" t="str">
        <f t="shared" ref="O38:O44" si="6">IF(N38="","-",L38*N38)</f>
        <v>-</v>
      </c>
      <c r="P38" s="95" t="str">
        <f t="shared" ref="P38:P44" si="7">IF(O38="-","-",IF(E38&lt;$E$15,0,O38*J38))</f>
        <v>-</v>
      </c>
    </row>
    <row r="39" spans="1:16" x14ac:dyDescent="0.25">
      <c r="C39" s="198"/>
      <c r="D39" s="111"/>
      <c r="E39" s="33"/>
      <c r="F39" s="90" t="str">
        <f t="shared" si="5"/>
        <v>-</v>
      </c>
      <c r="H39" s="112"/>
      <c r="I39" s="26"/>
      <c r="J39" s="98">
        <f t="shared" si="4"/>
        <v>1</v>
      </c>
      <c r="K39" s="36"/>
      <c r="L39" s="26"/>
      <c r="M39" s="26"/>
      <c r="N39" s="26"/>
      <c r="O39" s="93" t="str">
        <f t="shared" si="6"/>
        <v>-</v>
      </c>
      <c r="P39" s="95" t="str">
        <f t="shared" si="7"/>
        <v>-</v>
      </c>
    </row>
    <row r="40" spans="1:16" ht="23" x14ac:dyDescent="0.25">
      <c r="A40" s="243">
        <v>2026</v>
      </c>
      <c r="B40" s="243" t="s">
        <v>727</v>
      </c>
      <c r="C40" s="198"/>
      <c r="D40" s="111" t="s">
        <v>745</v>
      </c>
      <c r="E40" s="33">
        <f t="shared" ref="E40:E44" si="8">DATEVALUE("30 Jun "&amp;A40)</f>
        <v>46203</v>
      </c>
      <c r="F40" s="90" t="str">
        <f t="shared" si="5"/>
        <v>2025-26</v>
      </c>
      <c r="H40" s="112"/>
      <c r="I40" s="26"/>
      <c r="J40" s="98">
        <f t="shared" si="4"/>
        <v>1</v>
      </c>
      <c r="K40" s="36"/>
      <c r="L40" s="26">
        <v>1</v>
      </c>
      <c r="M40" s="26" t="s">
        <v>732</v>
      </c>
      <c r="N40" s="26">
        <v>72400000</v>
      </c>
      <c r="O40" s="93">
        <f t="shared" si="6"/>
        <v>72400000</v>
      </c>
      <c r="P40" s="95">
        <f t="shared" si="7"/>
        <v>72400000</v>
      </c>
    </row>
    <row r="41" spans="1:16" ht="23" x14ac:dyDescent="0.25">
      <c r="A41" s="243">
        <v>2031</v>
      </c>
      <c r="B41" s="243" t="s">
        <v>727</v>
      </c>
      <c r="C41" s="198"/>
      <c r="D41" s="111" t="s">
        <v>746</v>
      </c>
      <c r="E41" s="33">
        <f t="shared" si="8"/>
        <v>48029</v>
      </c>
      <c r="F41" s="90" t="str">
        <f t="shared" si="5"/>
        <v>2030-31</v>
      </c>
      <c r="H41" s="112"/>
      <c r="I41" s="26"/>
      <c r="J41" s="98">
        <f t="shared" si="4"/>
        <v>1</v>
      </c>
      <c r="K41" s="36"/>
      <c r="L41" s="26">
        <v>1</v>
      </c>
      <c r="M41" s="26" t="s">
        <v>732</v>
      </c>
      <c r="N41" s="26">
        <v>1400000</v>
      </c>
      <c r="O41" s="93">
        <f t="shared" si="6"/>
        <v>1400000</v>
      </c>
      <c r="P41" s="95">
        <f t="shared" si="7"/>
        <v>1400000</v>
      </c>
    </row>
    <row r="42" spans="1:16" x14ac:dyDescent="0.25">
      <c r="C42" s="198"/>
      <c r="D42" s="111"/>
      <c r="E42" s="33"/>
      <c r="F42" s="90" t="str">
        <f t="shared" si="5"/>
        <v>-</v>
      </c>
      <c r="H42" s="112"/>
      <c r="I42" s="26"/>
      <c r="J42" s="98">
        <f t="shared" si="4"/>
        <v>1</v>
      </c>
      <c r="K42" s="36"/>
      <c r="L42" s="26"/>
      <c r="M42" s="26"/>
      <c r="N42" s="26"/>
      <c r="O42" s="93" t="str">
        <f t="shared" si="6"/>
        <v>-</v>
      </c>
      <c r="P42" s="95" t="str">
        <f t="shared" si="7"/>
        <v>-</v>
      </c>
    </row>
    <row r="43" spans="1:16" x14ac:dyDescent="0.25">
      <c r="C43" s="198"/>
      <c r="D43" s="111"/>
      <c r="E43" s="33"/>
      <c r="F43" s="90" t="str">
        <f t="shared" si="5"/>
        <v>-</v>
      </c>
      <c r="H43" s="112"/>
      <c r="I43" s="26"/>
      <c r="J43" s="98">
        <f t="shared" si="4"/>
        <v>1</v>
      </c>
      <c r="K43" s="36"/>
      <c r="L43" s="26"/>
      <c r="M43" s="26"/>
      <c r="N43" s="26"/>
      <c r="O43" s="93" t="str">
        <f t="shared" si="6"/>
        <v>-</v>
      </c>
      <c r="P43" s="95" t="str">
        <f t="shared" si="7"/>
        <v>-</v>
      </c>
    </row>
    <row r="44" spans="1:16" x14ac:dyDescent="0.25">
      <c r="A44" s="243">
        <v>2026</v>
      </c>
      <c r="B44" s="243" t="s">
        <v>727</v>
      </c>
      <c r="C44" s="198"/>
      <c r="D44" s="111" t="s">
        <v>747</v>
      </c>
      <c r="E44" s="33">
        <f t="shared" si="8"/>
        <v>46203</v>
      </c>
      <c r="F44" s="90" t="str">
        <f t="shared" si="5"/>
        <v>2025-26</v>
      </c>
      <c r="H44" s="112"/>
      <c r="I44" s="26"/>
      <c r="J44" s="98">
        <f t="shared" si="4"/>
        <v>1</v>
      </c>
      <c r="K44" s="36"/>
      <c r="L44" s="26">
        <v>1</v>
      </c>
      <c r="M44" s="26" t="s">
        <v>732</v>
      </c>
      <c r="N44" s="26">
        <v>52000000</v>
      </c>
      <c r="O44" s="93">
        <f t="shared" si="6"/>
        <v>52000000</v>
      </c>
      <c r="P44" s="95">
        <f t="shared" si="7"/>
        <v>52000000</v>
      </c>
    </row>
    <row r="45" spans="1:16" x14ac:dyDescent="0.25">
      <c r="C45" s="198"/>
      <c r="D45" s="111"/>
      <c r="E45" s="33"/>
      <c r="F45" s="90"/>
      <c r="H45" s="112"/>
      <c r="I45" s="26"/>
      <c r="J45" s="98"/>
      <c r="K45" s="36"/>
      <c r="L45" s="26"/>
      <c r="M45" s="26"/>
      <c r="N45" s="26"/>
      <c r="O45" s="93"/>
      <c r="P45" s="95"/>
    </row>
    <row r="46" spans="1:16" x14ac:dyDescent="0.25">
      <c r="C46" s="198"/>
      <c r="D46" s="111"/>
      <c r="E46" s="33"/>
      <c r="F46" s="90" t="str">
        <f t="shared" ref="F46" si="9">IF(E46="","-",IF(E46&lt;$E$15,"ERROR - date outside of range",IF(MONTH(E46)&gt;=7,YEAR(E46)&amp;"-"&amp;RIGHT(YEAR(E46),2)+1,YEAR(E46)-1&amp;"-"&amp;RIGHT(YEAR(E46),2))))</f>
        <v>-</v>
      </c>
      <c r="H46" s="112"/>
      <c r="I46" s="26"/>
      <c r="J46" s="98">
        <f>J44</f>
        <v>1</v>
      </c>
      <c r="K46" s="36"/>
      <c r="L46" s="26"/>
      <c r="M46" s="26"/>
      <c r="N46" s="26"/>
      <c r="O46" s="93" t="str">
        <f t="shared" ref="O46" si="10">IF(N46="","-",L46*N46)</f>
        <v>-</v>
      </c>
      <c r="P46" s="95" t="str">
        <f t="shared" ref="P46" si="11">IF(O46="-","-",IF(E46&lt;$E$15,0,O46*J46))</f>
        <v>-</v>
      </c>
    </row>
    <row r="47" spans="1:16" x14ac:dyDescent="0.25">
      <c r="C47" s="198"/>
      <c r="D47" s="111"/>
      <c r="E47" s="33"/>
      <c r="F47" s="90"/>
      <c r="H47" s="112"/>
      <c r="I47" s="26"/>
      <c r="J47" s="98"/>
      <c r="K47" s="36"/>
      <c r="L47" s="26"/>
      <c r="M47" s="26"/>
      <c r="N47" s="26"/>
      <c r="O47" s="93"/>
      <c r="P47" s="95"/>
    </row>
    <row r="48" spans="1:16" x14ac:dyDescent="0.25">
      <c r="A48" s="243">
        <v>2032</v>
      </c>
      <c r="B48" s="243" t="s">
        <v>186</v>
      </c>
      <c r="C48" s="198"/>
      <c r="D48" s="111" t="s">
        <v>748</v>
      </c>
      <c r="E48" s="33">
        <f t="shared" ref="E48:E54" si="12">DATEVALUE("30 Jun "&amp;A48)</f>
        <v>48395</v>
      </c>
      <c r="F48" s="90" t="str">
        <f t="shared" si="1"/>
        <v>2031-32</v>
      </c>
      <c r="H48" s="112"/>
      <c r="I48" s="26"/>
      <c r="J48" s="98">
        <f>J37</f>
        <v>1</v>
      </c>
      <c r="K48" s="36"/>
      <c r="L48" s="26">
        <v>1</v>
      </c>
      <c r="M48" s="26" t="s">
        <v>714</v>
      </c>
      <c r="N48" s="26">
        <v>232518892.69999999</v>
      </c>
      <c r="O48" s="93">
        <f t="shared" ref="O48:O54" si="13">IF(N48="","-",L48*N48)</f>
        <v>232518892.69999999</v>
      </c>
      <c r="P48" s="95">
        <f t="shared" ref="P48:P54" si="14">IF(O48="-","-",IF(E48&lt;$E$15,0,O48*J48))</f>
        <v>232518892.69999999</v>
      </c>
    </row>
    <row r="49" spans="1:16" x14ac:dyDescent="0.25">
      <c r="A49" s="243">
        <v>2026</v>
      </c>
      <c r="B49" s="243" t="s">
        <v>186</v>
      </c>
      <c r="C49" s="198"/>
      <c r="D49" s="111" t="s">
        <v>749</v>
      </c>
      <c r="E49" s="33">
        <f t="shared" si="12"/>
        <v>46203</v>
      </c>
      <c r="F49" s="90" t="str">
        <f t="shared" si="1"/>
        <v>2025-26</v>
      </c>
      <c r="H49" s="112"/>
      <c r="I49" s="26"/>
      <c r="J49" s="98">
        <f t="shared" si="4"/>
        <v>1</v>
      </c>
      <c r="K49" s="36"/>
      <c r="L49" s="26">
        <v>1</v>
      </c>
      <c r="M49" s="26" t="s">
        <v>714</v>
      </c>
      <c r="N49" s="26">
        <v>21220000</v>
      </c>
      <c r="O49" s="93">
        <f t="shared" si="13"/>
        <v>21220000</v>
      </c>
      <c r="P49" s="95">
        <f t="shared" si="14"/>
        <v>21220000</v>
      </c>
    </row>
    <row r="50" spans="1:16" x14ac:dyDescent="0.25">
      <c r="A50" s="243">
        <v>2024</v>
      </c>
      <c r="B50" s="243" t="s">
        <v>186</v>
      </c>
      <c r="C50" s="198"/>
      <c r="D50" s="111" t="s">
        <v>750</v>
      </c>
      <c r="E50" s="33">
        <f t="shared" si="12"/>
        <v>45473</v>
      </c>
      <c r="F50" s="90" t="str">
        <f t="shared" si="1"/>
        <v>2023-24</v>
      </c>
      <c r="H50" s="112"/>
      <c r="I50" s="26"/>
      <c r="J50" s="98">
        <f t="shared" si="4"/>
        <v>1</v>
      </c>
      <c r="K50" s="36"/>
      <c r="L50" s="26">
        <v>1</v>
      </c>
      <c r="M50" s="26" t="s">
        <v>714</v>
      </c>
      <c r="N50" s="26">
        <v>2917750</v>
      </c>
      <c r="O50" s="93">
        <f t="shared" si="13"/>
        <v>2917750</v>
      </c>
      <c r="P50" s="95">
        <f t="shared" si="14"/>
        <v>2917750</v>
      </c>
    </row>
    <row r="51" spans="1:16" x14ac:dyDescent="0.25">
      <c r="A51" s="243">
        <v>2022</v>
      </c>
      <c r="B51" s="243" t="s">
        <v>186</v>
      </c>
      <c r="C51" s="198"/>
      <c r="D51" s="111" t="s">
        <v>751</v>
      </c>
      <c r="E51" s="33">
        <f t="shared" si="12"/>
        <v>44742</v>
      </c>
      <c r="F51" s="90" t="str">
        <f t="shared" si="1"/>
        <v>2021-22</v>
      </c>
      <c r="H51" s="112"/>
      <c r="I51" s="26"/>
      <c r="J51" s="98">
        <f t="shared" si="4"/>
        <v>1</v>
      </c>
      <c r="K51" s="36"/>
      <c r="L51" s="26">
        <v>1</v>
      </c>
      <c r="M51" s="26" t="s">
        <v>714</v>
      </c>
      <c r="N51" s="26">
        <v>18599330</v>
      </c>
      <c r="O51" s="93">
        <f t="shared" si="13"/>
        <v>18599330</v>
      </c>
      <c r="P51" s="95">
        <f t="shared" si="14"/>
        <v>18599330</v>
      </c>
    </row>
    <row r="52" spans="1:16" x14ac:dyDescent="0.25">
      <c r="A52" s="243">
        <v>2026</v>
      </c>
      <c r="B52" s="243" t="s">
        <v>186</v>
      </c>
      <c r="C52" s="198" t="s">
        <v>752</v>
      </c>
      <c r="D52" s="111" t="s">
        <v>753</v>
      </c>
      <c r="E52" s="33">
        <f t="shared" si="12"/>
        <v>46203</v>
      </c>
      <c r="F52" s="90" t="str">
        <f t="shared" si="1"/>
        <v>2025-26</v>
      </c>
      <c r="H52" s="112"/>
      <c r="I52" s="26"/>
      <c r="J52" s="98">
        <f t="shared" si="4"/>
        <v>1</v>
      </c>
      <c r="K52" s="36"/>
      <c r="L52" s="26">
        <v>1</v>
      </c>
      <c r="M52" s="26" t="s">
        <v>714</v>
      </c>
      <c r="N52" s="26">
        <v>240000</v>
      </c>
      <c r="O52" s="93">
        <f t="shared" si="13"/>
        <v>240000</v>
      </c>
      <c r="P52" s="95">
        <f t="shared" si="14"/>
        <v>240000</v>
      </c>
    </row>
    <row r="53" spans="1:16" x14ac:dyDescent="0.25">
      <c r="A53" s="243">
        <v>2026</v>
      </c>
      <c r="B53" s="243" t="s">
        <v>186</v>
      </c>
      <c r="C53" s="198" t="s">
        <v>754</v>
      </c>
      <c r="D53" s="111" t="s">
        <v>755</v>
      </c>
      <c r="E53" s="33">
        <f t="shared" si="12"/>
        <v>46203</v>
      </c>
      <c r="F53" s="90" t="str">
        <f t="shared" si="1"/>
        <v>2025-26</v>
      </c>
      <c r="H53" s="112"/>
      <c r="I53" s="26"/>
      <c r="J53" s="98">
        <f t="shared" si="4"/>
        <v>1</v>
      </c>
      <c r="K53" s="36"/>
      <c r="L53" s="26">
        <v>1</v>
      </c>
      <c r="M53" s="26" t="s">
        <v>714</v>
      </c>
      <c r="N53" s="26">
        <v>440000</v>
      </c>
      <c r="O53" s="93">
        <f t="shared" si="13"/>
        <v>440000</v>
      </c>
      <c r="P53" s="95">
        <f t="shared" si="14"/>
        <v>440000</v>
      </c>
    </row>
    <row r="54" spans="1:16" x14ac:dyDescent="0.25">
      <c r="A54" s="243">
        <v>2026</v>
      </c>
      <c r="B54" s="243" t="s">
        <v>186</v>
      </c>
      <c r="C54" s="198" t="s">
        <v>756</v>
      </c>
      <c r="D54" s="111" t="s">
        <v>757</v>
      </c>
      <c r="E54" s="33">
        <f t="shared" si="12"/>
        <v>46203</v>
      </c>
      <c r="F54" s="90" t="str">
        <f t="shared" si="1"/>
        <v>2025-26</v>
      </c>
      <c r="H54" s="112"/>
      <c r="I54" s="26"/>
      <c r="J54" s="98">
        <f t="shared" si="4"/>
        <v>1</v>
      </c>
      <c r="K54" s="36"/>
      <c r="L54" s="26">
        <v>1</v>
      </c>
      <c r="M54" s="26" t="s">
        <v>714</v>
      </c>
      <c r="N54" s="26">
        <v>2200000</v>
      </c>
      <c r="O54" s="93">
        <f t="shared" si="13"/>
        <v>2200000</v>
      </c>
      <c r="P54" s="95">
        <f t="shared" si="14"/>
        <v>2200000</v>
      </c>
    </row>
    <row r="55" spans="1:16" x14ac:dyDescent="0.25">
      <c r="C55" s="198"/>
      <c r="D55" s="111"/>
      <c r="E55" s="33"/>
      <c r="F55" s="90"/>
      <c r="H55" s="112"/>
      <c r="I55" s="26"/>
      <c r="J55" s="98">
        <f>J54</f>
        <v>1</v>
      </c>
      <c r="K55" s="36"/>
      <c r="L55" s="26">
        <v>1</v>
      </c>
      <c r="M55" s="26" t="s">
        <v>714</v>
      </c>
      <c r="N55" s="26">
        <v>27482022</v>
      </c>
      <c r="O55" s="93">
        <f t="shared" ref="O55" si="15">IF(N55="","-",L55*N55)</f>
        <v>27482022</v>
      </c>
      <c r="P55" s="95">
        <f t="shared" ref="P55" si="16">IF(O55="-","-",IF(E55&lt;$E$15,0,O55*J55))</f>
        <v>0</v>
      </c>
    </row>
    <row r="56" spans="1:16" x14ac:dyDescent="0.25">
      <c r="C56" s="198"/>
      <c r="D56" s="111"/>
      <c r="E56" s="33"/>
      <c r="F56" s="90"/>
      <c r="H56" s="112"/>
      <c r="I56" s="26"/>
      <c r="J56" s="98"/>
      <c r="K56" s="36"/>
      <c r="L56" s="26"/>
      <c r="M56" s="26"/>
      <c r="N56" s="26"/>
      <c r="O56" s="93"/>
      <c r="P56" s="95"/>
    </row>
    <row r="57" spans="1:16" ht="34.5" x14ac:dyDescent="0.25">
      <c r="A57" s="243">
        <v>2027</v>
      </c>
      <c r="B57" s="243" t="s">
        <v>554</v>
      </c>
      <c r="C57" s="198" t="s">
        <v>758</v>
      </c>
      <c r="D57" s="111" t="s">
        <v>759</v>
      </c>
      <c r="E57" s="33">
        <f t="shared" ref="E57" si="17">DATEVALUE("30 Jun "&amp;A57)</f>
        <v>46568</v>
      </c>
      <c r="F57" s="90" t="str">
        <f t="shared" si="1"/>
        <v>2026-27</v>
      </c>
      <c r="H57" s="112"/>
      <c r="I57" s="26"/>
      <c r="J57" s="98">
        <v>0.8</v>
      </c>
      <c r="K57" s="36"/>
      <c r="L57" s="26">
        <v>1</v>
      </c>
      <c r="M57" s="26" t="s">
        <v>760</v>
      </c>
      <c r="N57" s="26">
        <v>329930104.5</v>
      </c>
      <c r="O57" s="93">
        <f t="shared" ref="O57" si="18">IF(N57="","-",L57*N57)</f>
        <v>329930104.5</v>
      </c>
      <c r="P57" s="95">
        <f t="shared" ref="P57" si="19">IF(O57="-","-",IF(E57&lt;$E$15,0,O57*J57))</f>
        <v>263944083.60000002</v>
      </c>
    </row>
    <row r="58" spans="1:16" x14ac:dyDescent="0.25">
      <c r="C58" s="198"/>
      <c r="D58" s="111"/>
      <c r="E58" s="33"/>
      <c r="F58" s="90"/>
      <c r="H58" s="112"/>
      <c r="I58" s="26"/>
      <c r="J58" s="98">
        <v>1</v>
      </c>
      <c r="K58" s="36"/>
      <c r="L58" s="26"/>
      <c r="M58" s="26"/>
      <c r="N58" s="26"/>
      <c r="O58" s="93" t="str">
        <f t="shared" ref="O58" si="20">IF(N58="","-",L58*N58)</f>
        <v>-</v>
      </c>
      <c r="P58" s="95" t="str">
        <f t="shared" ref="P58" si="21">IF(O58="-","-",IF(E58&lt;$E$15,0,O58*J58))</f>
        <v>-</v>
      </c>
    </row>
    <row r="59" spans="1:16" x14ac:dyDescent="0.25">
      <c r="C59" s="198"/>
      <c r="D59" s="111"/>
      <c r="E59" s="33"/>
      <c r="F59" s="90"/>
      <c r="H59" s="112"/>
      <c r="I59" s="26"/>
      <c r="J59" s="98"/>
      <c r="K59" s="36"/>
      <c r="L59" s="26"/>
      <c r="M59" s="26"/>
      <c r="N59" s="26"/>
      <c r="O59" s="93"/>
      <c r="P59" s="95"/>
    </row>
    <row r="60" spans="1:16" x14ac:dyDescent="0.25">
      <c r="C60" s="198"/>
      <c r="D60" s="111"/>
      <c r="E60" s="33"/>
      <c r="F60" s="90"/>
      <c r="H60" s="112"/>
      <c r="I60" s="26"/>
      <c r="J60" s="98"/>
      <c r="K60" s="36"/>
      <c r="L60" s="26"/>
      <c r="M60" s="26"/>
      <c r="N60" s="26"/>
      <c r="O60" s="93"/>
      <c r="P60" s="95"/>
    </row>
    <row r="61" spans="1:16" x14ac:dyDescent="0.25">
      <c r="C61" s="198"/>
      <c r="D61" s="111"/>
      <c r="E61" s="33"/>
      <c r="F61" s="90"/>
      <c r="H61" s="112"/>
      <c r="I61" s="26"/>
      <c r="J61" s="98"/>
      <c r="K61" s="36"/>
      <c r="L61" s="26"/>
      <c r="M61" s="26"/>
      <c r="N61" s="26"/>
      <c r="O61" s="93"/>
      <c r="P61" s="95"/>
    </row>
    <row r="62" spans="1:16" x14ac:dyDescent="0.25">
      <c r="C62" s="198"/>
      <c r="D62" s="111"/>
      <c r="E62" s="33"/>
      <c r="F62" s="90"/>
      <c r="H62" s="112"/>
      <c r="I62" s="26"/>
      <c r="J62" s="98"/>
      <c r="K62" s="36"/>
      <c r="L62" s="26"/>
      <c r="M62" s="26"/>
      <c r="N62" s="26"/>
      <c r="O62" s="93"/>
      <c r="P62" s="95"/>
    </row>
    <row r="63" spans="1:16" x14ac:dyDescent="0.25">
      <c r="C63" s="198"/>
      <c r="D63" s="111"/>
      <c r="E63" s="33"/>
      <c r="F63" s="90"/>
      <c r="H63" s="112"/>
      <c r="I63" s="26"/>
      <c r="J63" s="98"/>
      <c r="K63" s="36"/>
      <c r="L63" s="26"/>
      <c r="M63" s="26"/>
      <c r="N63" s="26"/>
      <c r="O63" s="93"/>
      <c r="P63" s="95"/>
    </row>
    <row r="64" spans="1:16" x14ac:dyDescent="0.25">
      <c r="C64" s="198"/>
      <c r="D64" s="111"/>
      <c r="E64" s="33"/>
      <c r="F64" s="90"/>
      <c r="H64" s="112"/>
      <c r="I64" s="26"/>
      <c r="J64" s="98"/>
      <c r="K64" s="36"/>
      <c r="L64" s="26"/>
      <c r="M64" s="26"/>
      <c r="N64" s="26"/>
      <c r="O64" s="93"/>
      <c r="P64" s="95"/>
    </row>
    <row r="65" spans="3:16" x14ac:dyDescent="0.25">
      <c r="C65" s="198"/>
      <c r="D65" s="111"/>
      <c r="E65" s="33"/>
      <c r="F65" s="90"/>
      <c r="H65" s="112"/>
      <c r="I65" s="26"/>
      <c r="J65" s="98"/>
      <c r="K65" s="36"/>
      <c r="L65" s="26"/>
      <c r="M65" s="26"/>
      <c r="N65" s="26"/>
      <c r="O65" s="93"/>
      <c r="P65" s="95"/>
    </row>
    <row r="66" spans="3:16" x14ac:dyDescent="0.25">
      <c r="C66" s="198"/>
      <c r="D66" s="111"/>
      <c r="E66" s="33"/>
      <c r="F66" s="90"/>
      <c r="H66" s="112"/>
      <c r="I66" s="26"/>
      <c r="J66" s="98"/>
      <c r="K66" s="36"/>
      <c r="L66" s="26"/>
      <c r="M66" s="26"/>
      <c r="N66" s="26"/>
      <c r="O66" s="93"/>
      <c r="P66" s="95"/>
    </row>
    <row r="67" spans="3:16" x14ac:dyDescent="0.25">
      <c r="C67" s="198"/>
      <c r="D67" s="111"/>
      <c r="E67" s="33"/>
      <c r="F67" s="90"/>
      <c r="H67" s="112"/>
      <c r="I67" s="26"/>
      <c r="J67" s="98"/>
      <c r="K67" s="36"/>
      <c r="L67" s="26"/>
      <c r="M67" s="26"/>
      <c r="N67" s="26"/>
      <c r="O67" s="93"/>
      <c r="P67" s="95"/>
    </row>
    <row r="68" spans="3:16" x14ac:dyDescent="0.25">
      <c r="C68" s="198"/>
      <c r="D68" s="111"/>
      <c r="E68" s="33"/>
      <c r="F68" s="90"/>
      <c r="H68" s="112"/>
      <c r="I68" s="26"/>
      <c r="J68" s="98"/>
      <c r="K68" s="36"/>
      <c r="L68" s="26"/>
      <c r="M68" s="26"/>
      <c r="N68" s="26"/>
      <c r="O68" s="93"/>
      <c r="P68" s="95"/>
    </row>
    <row r="69" spans="3:16" x14ac:dyDescent="0.25">
      <c r="C69" s="198"/>
      <c r="D69" s="111"/>
      <c r="E69" s="33"/>
      <c r="F69" s="90"/>
      <c r="H69" s="112"/>
      <c r="I69" s="26"/>
      <c r="J69" s="98"/>
      <c r="K69" s="36"/>
      <c r="L69" s="26"/>
      <c r="M69" s="26"/>
      <c r="N69" s="26"/>
      <c r="O69" s="93"/>
      <c r="P69" s="95"/>
    </row>
    <row r="70" spans="3:16" x14ac:dyDescent="0.25">
      <c r="C70" s="198"/>
      <c r="D70" s="111"/>
      <c r="E70" s="33"/>
      <c r="F70" s="90"/>
      <c r="H70" s="112"/>
      <c r="I70" s="26"/>
      <c r="J70" s="98"/>
      <c r="K70" s="36"/>
      <c r="L70" s="26"/>
      <c r="M70" s="26"/>
      <c r="N70" s="26"/>
      <c r="O70" s="93"/>
      <c r="P70" s="95"/>
    </row>
    <row r="71" spans="3:16" x14ac:dyDescent="0.25">
      <c r="C71" s="198"/>
      <c r="D71" s="111"/>
      <c r="E71" s="33"/>
      <c r="F71" s="90"/>
      <c r="H71" s="112"/>
      <c r="I71" s="26"/>
      <c r="J71" s="98"/>
      <c r="K71" s="36"/>
      <c r="L71" s="26"/>
      <c r="M71" s="26"/>
      <c r="N71" s="26"/>
      <c r="O71" s="93"/>
      <c r="P71" s="95"/>
    </row>
    <row r="72" spans="3:16" x14ac:dyDescent="0.25">
      <c r="C72" s="198"/>
      <c r="D72" s="111"/>
      <c r="E72" s="33"/>
      <c r="F72" s="90"/>
      <c r="H72" s="112"/>
      <c r="I72" s="26"/>
      <c r="J72" s="98"/>
      <c r="K72" s="36"/>
      <c r="L72" s="26"/>
      <c r="M72" s="26"/>
      <c r="N72" s="26"/>
      <c r="O72" s="93"/>
      <c r="P72" s="95"/>
    </row>
    <row r="73" spans="3:16" x14ac:dyDescent="0.25">
      <c r="C73" s="198"/>
      <c r="D73" s="111"/>
      <c r="E73" s="33"/>
      <c r="F73" s="90"/>
      <c r="H73" s="112"/>
      <c r="I73" s="26"/>
      <c r="J73" s="98"/>
      <c r="K73" s="36"/>
      <c r="L73" s="26"/>
      <c r="M73" s="26"/>
      <c r="N73" s="26"/>
      <c r="O73" s="93"/>
      <c r="P73" s="95"/>
    </row>
    <row r="74" spans="3:16" x14ac:dyDescent="0.25">
      <c r="C74" s="198"/>
      <c r="D74" s="111"/>
      <c r="E74" s="33"/>
      <c r="F74" s="90"/>
      <c r="H74" s="112"/>
      <c r="I74" s="26"/>
      <c r="J74" s="98"/>
      <c r="K74" s="36"/>
      <c r="L74" s="26"/>
      <c r="M74" s="26"/>
      <c r="N74" s="26"/>
      <c r="O74" s="93"/>
      <c r="P74" s="95"/>
    </row>
    <row r="75" spans="3:16" x14ac:dyDescent="0.25">
      <c r="C75" s="198"/>
      <c r="D75" s="111"/>
      <c r="E75" s="33"/>
      <c r="F75" s="90"/>
      <c r="H75" s="112"/>
      <c r="I75" s="26"/>
      <c r="J75" s="98"/>
      <c r="K75" s="36"/>
      <c r="L75" s="26"/>
      <c r="M75" s="26"/>
      <c r="N75" s="26"/>
      <c r="O75" s="93"/>
      <c r="P75" s="95"/>
    </row>
    <row r="76" spans="3:16" x14ac:dyDescent="0.25">
      <c r="C76" s="198"/>
      <c r="D76" s="111"/>
      <c r="E76" s="33"/>
      <c r="F76" s="90"/>
      <c r="H76" s="112"/>
      <c r="I76" s="26"/>
      <c r="J76" s="98"/>
      <c r="K76" s="36"/>
      <c r="L76" s="26"/>
      <c r="M76" s="26"/>
      <c r="N76" s="26"/>
      <c r="O76" s="93"/>
      <c r="P76" s="95"/>
    </row>
    <row r="77" spans="3:16" x14ac:dyDescent="0.25">
      <c r="C77" s="198"/>
      <c r="D77" s="111"/>
      <c r="E77" s="33"/>
      <c r="F77" s="90"/>
      <c r="H77" s="112"/>
      <c r="I77" s="26"/>
      <c r="J77" s="98"/>
      <c r="K77" s="36"/>
      <c r="L77" s="26"/>
      <c r="M77" s="26"/>
      <c r="N77" s="26"/>
      <c r="O77" s="93"/>
      <c r="P77" s="95"/>
    </row>
    <row r="78" spans="3:16" x14ac:dyDescent="0.25">
      <c r="C78" s="198"/>
      <c r="D78" s="111"/>
      <c r="E78" s="33"/>
      <c r="F78" s="90"/>
      <c r="H78" s="112"/>
      <c r="I78" s="26"/>
      <c r="J78" s="98"/>
      <c r="K78" s="36"/>
      <c r="L78" s="26"/>
      <c r="M78" s="26"/>
      <c r="N78" s="26"/>
      <c r="O78" s="93"/>
      <c r="P78" s="95"/>
    </row>
    <row r="79" spans="3:16" x14ac:dyDescent="0.25">
      <c r="C79" s="198"/>
      <c r="D79" s="111"/>
      <c r="E79" s="33"/>
      <c r="F79" s="90"/>
      <c r="H79" s="112"/>
      <c r="I79" s="26"/>
      <c r="J79" s="98"/>
      <c r="K79" s="36"/>
      <c r="L79" s="26"/>
      <c r="M79" s="26"/>
      <c r="N79" s="26"/>
      <c r="O79" s="93"/>
      <c r="P79" s="95"/>
    </row>
    <row r="80" spans="3:16" x14ac:dyDescent="0.25">
      <c r="C80" s="198"/>
      <c r="D80" s="111"/>
      <c r="E80" s="33"/>
      <c r="F80" s="90"/>
      <c r="H80" s="112"/>
      <c r="I80" s="26"/>
      <c r="J80" s="98"/>
      <c r="K80" s="36"/>
      <c r="L80" s="26"/>
      <c r="M80" s="26"/>
      <c r="N80" s="26"/>
      <c r="O80" s="93"/>
      <c r="P80" s="95"/>
    </row>
    <row r="81" spans="3:16" x14ac:dyDescent="0.25">
      <c r="C81" s="198"/>
      <c r="D81" s="111"/>
      <c r="E81" s="33"/>
      <c r="F81" s="90"/>
      <c r="H81" s="112"/>
      <c r="I81" s="26"/>
      <c r="J81" s="98"/>
      <c r="K81" s="36"/>
      <c r="L81" s="26"/>
      <c r="M81" s="26"/>
      <c r="N81" s="26"/>
      <c r="O81" s="93"/>
      <c r="P81" s="95"/>
    </row>
    <row r="82" spans="3:16" x14ac:dyDescent="0.25">
      <c r="C82" s="198"/>
      <c r="D82" s="111"/>
      <c r="E82" s="33"/>
      <c r="F82" s="90"/>
      <c r="H82" s="112"/>
      <c r="I82" s="26"/>
      <c r="J82" s="98"/>
      <c r="K82" s="36"/>
      <c r="L82" s="26"/>
      <c r="M82" s="26"/>
      <c r="N82" s="26"/>
      <c r="O82" s="93"/>
      <c r="P82" s="95"/>
    </row>
    <row r="83" spans="3:16" x14ac:dyDescent="0.25">
      <c r="C83" s="198"/>
      <c r="D83" s="111"/>
      <c r="E83" s="33"/>
      <c r="F83" s="90"/>
      <c r="H83" s="112"/>
      <c r="I83" s="26"/>
      <c r="J83" s="98"/>
      <c r="K83" s="36"/>
      <c r="L83" s="26"/>
      <c r="M83" s="26"/>
      <c r="N83" s="26"/>
      <c r="O83" s="93"/>
      <c r="P83" s="95"/>
    </row>
    <row r="84" spans="3:16" x14ac:dyDescent="0.25">
      <c r="C84" s="198"/>
      <c r="D84" s="111"/>
      <c r="E84" s="33"/>
      <c r="F84" s="90"/>
      <c r="H84" s="112"/>
      <c r="I84" s="26"/>
      <c r="J84" s="98"/>
      <c r="K84" s="36"/>
      <c r="L84" s="26"/>
      <c r="M84" s="26"/>
      <c r="N84" s="26"/>
      <c r="O84" s="93"/>
      <c r="P84" s="95"/>
    </row>
    <row r="85" spans="3:16" x14ac:dyDescent="0.25">
      <c r="C85" s="198"/>
      <c r="D85" s="111"/>
      <c r="E85" s="33"/>
      <c r="F85" s="90"/>
      <c r="H85" s="112"/>
      <c r="I85" s="26"/>
      <c r="J85" s="98"/>
      <c r="K85" s="36"/>
      <c r="L85" s="26"/>
      <c r="M85" s="26"/>
      <c r="N85" s="26"/>
      <c r="O85" s="93"/>
      <c r="P85" s="95"/>
    </row>
    <row r="86" spans="3:16" x14ac:dyDescent="0.25">
      <c r="C86" s="198"/>
      <c r="D86" s="111"/>
      <c r="E86" s="33"/>
      <c r="F86" s="90"/>
      <c r="H86" s="112"/>
      <c r="I86" s="26"/>
      <c r="J86" s="98"/>
      <c r="K86" s="36"/>
      <c r="L86" s="26"/>
      <c r="M86" s="26"/>
      <c r="N86" s="26"/>
      <c r="O86" s="93"/>
      <c r="P86" s="95"/>
    </row>
    <row r="87" spans="3:16" x14ac:dyDescent="0.25">
      <c r="C87" s="198"/>
      <c r="D87" s="111"/>
      <c r="E87" s="33"/>
      <c r="F87" s="90"/>
      <c r="H87" s="112"/>
      <c r="I87" s="26"/>
      <c r="J87" s="98"/>
      <c r="K87" s="36"/>
      <c r="L87" s="26"/>
      <c r="M87" s="26"/>
      <c r="N87" s="26"/>
      <c r="O87" s="93"/>
      <c r="P87" s="95"/>
    </row>
    <row r="88" spans="3:16" x14ac:dyDescent="0.25">
      <c r="C88" s="198"/>
      <c r="D88" s="111"/>
      <c r="E88" s="33"/>
      <c r="F88" s="90"/>
      <c r="H88" s="112"/>
      <c r="I88" s="26"/>
      <c r="J88" s="98"/>
      <c r="K88" s="36"/>
      <c r="L88" s="26"/>
      <c r="M88" s="26"/>
      <c r="N88" s="26"/>
      <c r="O88" s="93"/>
      <c r="P88" s="95"/>
    </row>
    <row r="89" spans="3:16" x14ac:dyDescent="0.25">
      <c r="C89" s="198"/>
      <c r="D89" s="111"/>
      <c r="E89" s="33"/>
      <c r="F89" s="90"/>
      <c r="H89" s="112"/>
      <c r="I89" s="26"/>
      <c r="J89" s="98"/>
      <c r="K89" s="36"/>
      <c r="L89" s="26"/>
      <c r="M89" s="26"/>
      <c r="N89" s="26"/>
      <c r="O89" s="93"/>
      <c r="P89" s="95"/>
    </row>
    <row r="90" spans="3:16" x14ac:dyDescent="0.25">
      <c r="C90" s="198"/>
      <c r="D90" s="111"/>
      <c r="E90" s="33"/>
      <c r="F90" s="90"/>
      <c r="H90" s="112"/>
      <c r="I90" s="26"/>
      <c r="J90" s="98"/>
      <c r="K90" s="36"/>
      <c r="L90" s="26"/>
      <c r="M90" s="26"/>
      <c r="N90" s="26"/>
      <c r="O90" s="93"/>
      <c r="P90" s="95"/>
    </row>
    <row r="91" spans="3:16" x14ac:dyDescent="0.25">
      <c r="C91" s="198"/>
      <c r="D91" s="111"/>
      <c r="E91" s="33"/>
      <c r="F91" s="90"/>
      <c r="H91" s="112"/>
      <c r="I91" s="26"/>
      <c r="J91" s="98"/>
      <c r="K91" s="36"/>
      <c r="L91" s="26"/>
      <c r="M91" s="26"/>
      <c r="N91" s="26"/>
      <c r="O91" s="93"/>
      <c r="P91" s="95"/>
    </row>
    <row r="92" spans="3:16" x14ac:dyDescent="0.25">
      <c r="C92" s="26"/>
      <c r="D92" s="111"/>
      <c r="E92" s="33"/>
      <c r="F92" s="90"/>
      <c r="H92" s="112"/>
      <c r="I92" s="26"/>
      <c r="J92" s="98"/>
      <c r="K92" s="36"/>
      <c r="L92" s="26"/>
      <c r="M92" s="26"/>
      <c r="N92" s="26"/>
      <c r="O92" s="93"/>
      <c r="P92" s="95"/>
    </row>
    <row r="93" spans="3:16" x14ac:dyDescent="0.25">
      <c r="C93" s="26"/>
      <c r="D93" s="111"/>
      <c r="E93" s="33"/>
      <c r="F93" s="90"/>
      <c r="H93" s="112"/>
      <c r="I93" s="26"/>
      <c r="J93" s="98"/>
      <c r="K93" s="36"/>
      <c r="L93" s="26"/>
      <c r="M93" s="26"/>
      <c r="N93" s="26"/>
      <c r="O93" s="93"/>
      <c r="P93" s="95"/>
    </row>
    <row r="94" spans="3:16" x14ac:dyDescent="0.25">
      <c r="C94" s="26"/>
      <c r="D94" s="111"/>
      <c r="E94" s="33"/>
      <c r="F94" s="90"/>
      <c r="H94" s="112"/>
      <c r="I94" s="26"/>
      <c r="J94" s="98"/>
      <c r="K94" s="36"/>
      <c r="L94" s="26"/>
      <c r="M94" s="26"/>
      <c r="N94" s="26"/>
      <c r="O94" s="93"/>
      <c r="P94" s="95"/>
    </row>
    <row r="95" spans="3:16" x14ac:dyDescent="0.25">
      <c r="C95" s="26"/>
      <c r="D95" s="111"/>
      <c r="E95" s="33"/>
      <c r="F95" s="90"/>
      <c r="H95" s="112"/>
      <c r="I95" s="26"/>
      <c r="J95" s="98"/>
      <c r="K95" s="36"/>
      <c r="L95" s="26"/>
      <c r="M95" s="26"/>
      <c r="N95" s="26"/>
      <c r="O95" s="93"/>
      <c r="P95" s="95"/>
    </row>
    <row r="96" spans="3:16" x14ac:dyDescent="0.25">
      <c r="C96" s="26"/>
      <c r="D96" s="111"/>
      <c r="E96" s="33"/>
      <c r="F96" s="90"/>
      <c r="H96" s="112"/>
      <c r="I96" s="26"/>
      <c r="J96" s="98"/>
      <c r="K96" s="36"/>
      <c r="L96" s="26"/>
      <c r="M96" s="26"/>
      <c r="N96" s="26"/>
      <c r="O96" s="93"/>
      <c r="P96" s="95"/>
    </row>
    <row r="97" spans="3:16" x14ac:dyDescent="0.25">
      <c r="C97" s="26"/>
      <c r="D97" s="111"/>
      <c r="E97" s="33"/>
      <c r="F97" s="90"/>
      <c r="H97" s="112"/>
      <c r="I97" s="26"/>
      <c r="J97" s="98"/>
      <c r="K97" s="36"/>
      <c r="L97" s="26"/>
      <c r="M97" s="26"/>
      <c r="N97" s="26"/>
      <c r="O97" s="93"/>
      <c r="P97" s="95"/>
    </row>
    <row r="98" spans="3:16" x14ac:dyDescent="0.25">
      <c r="C98" s="26"/>
      <c r="D98" s="111"/>
      <c r="E98" s="33"/>
      <c r="F98" s="90"/>
      <c r="H98" s="112"/>
      <c r="I98" s="26"/>
      <c r="J98" s="98"/>
      <c r="K98" s="36"/>
      <c r="L98" s="26"/>
      <c r="M98" s="26"/>
      <c r="N98" s="26"/>
      <c r="O98" s="93"/>
      <c r="P98" s="95"/>
    </row>
    <row r="99" spans="3:16" x14ac:dyDescent="0.25">
      <c r="C99" s="26"/>
      <c r="D99" s="111"/>
      <c r="E99" s="33"/>
      <c r="F99" s="90"/>
      <c r="H99" s="112"/>
      <c r="I99" s="26"/>
      <c r="J99" s="98"/>
      <c r="K99" s="36"/>
      <c r="L99" s="26"/>
      <c r="M99" s="26"/>
      <c r="N99" s="26"/>
      <c r="O99" s="93"/>
      <c r="P99" s="95"/>
    </row>
    <row r="100" spans="3:16" x14ac:dyDescent="0.25">
      <c r="C100" s="26"/>
      <c r="D100" s="111"/>
      <c r="E100" s="33"/>
      <c r="F100" s="90"/>
      <c r="H100" s="112"/>
      <c r="I100" s="26"/>
      <c r="J100" s="98"/>
      <c r="K100" s="36"/>
      <c r="L100" s="26"/>
      <c r="M100" s="26"/>
      <c r="N100" s="26"/>
      <c r="O100" s="93"/>
      <c r="P100" s="95"/>
    </row>
    <row r="101" spans="3:16" x14ac:dyDescent="0.25">
      <c r="C101" s="26"/>
      <c r="D101" s="111"/>
      <c r="E101" s="33"/>
      <c r="F101" s="90"/>
      <c r="H101" s="112"/>
      <c r="I101" s="26"/>
      <c r="J101" s="98"/>
      <c r="K101" s="36"/>
      <c r="L101" s="26"/>
      <c r="M101" s="26"/>
      <c r="N101" s="26"/>
      <c r="O101" s="93"/>
      <c r="P101" s="95"/>
    </row>
    <row r="102" spans="3:16" x14ac:dyDescent="0.25">
      <c r="C102" s="26"/>
      <c r="D102" s="111"/>
      <c r="E102" s="33"/>
      <c r="F102" s="90"/>
      <c r="H102" s="112"/>
      <c r="I102" s="26"/>
      <c r="J102" s="98"/>
      <c r="K102" s="36"/>
      <c r="L102" s="26"/>
      <c r="M102" s="26"/>
      <c r="N102" s="26"/>
      <c r="O102" s="93"/>
      <c r="P102" s="95"/>
    </row>
    <row r="103" spans="3:16" x14ac:dyDescent="0.25">
      <c r="C103" s="26"/>
      <c r="D103" s="111"/>
      <c r="E103" s="33"/>
      <c r="F103" s="90"/>
      <c r="H103" s="112"/>
      <c r="I103" s="26"/>
      <c r="J103" s="98"/>
      <c r="K103" s="36"/>
      <c r="L103" s="26"/>
      <c r="M103" s="26"/>
      <c r="N103" s="26"/>
      <c r="O103" s="93"/>
      <c r="P103" s="95"/>
    </row>
    <row r="104" spans="3:16" x14ac:dyDescent="0.25">
      <c r="C104" s="26"/>
      <c r="D104" s="111"/>
      <c r="E104" s="33"/>
      <c r="F104" s="90"/>
      <c r="H104" s="112"/>
      <c r="I104" s="26"/>
      <c r="J104" s="98"/>
      <c r="K104" s="36"/>
      <c r="L104" s="26"/>
      <c r="M104" s="26"/>
      <c r="N104" s="26"/>
      <c r="O104" s="93"/>
      <c r="P104" s="95"/>
    </row>
    <row r="105" spans="3:16" x14ac:dyDescent="0.25">
      <c r="C105" s="26"/>
      <c r="D105" s="111"/>
      <c r="E105" s="33"/>
      <c r="F105" s="90"/>
      <c r="H105" s="112"/>
      <c r="I105" s="26"/>
      <c r="J105" s="98"/>
      <c r="K105" s="36"/>
      <c r="L105" s="26"/>
      <c r="M105" s="26"/>
      <c r="N105" s="26"/>
      <c r="O105" s="93"/>
      <c r="P105" s="95"/>
    </row>
    <row r="106" spans="3:16" x14ac:dyDescent="0.25">
      <c r="C106" s="26"/>
      <c r="D106" s="111"/>
      <c r="E106" s="33"/>
      <c r="F106" s="90"/>
      <c r="H106" s="112"/>
      <c r="I106" s="26"/>
      <c r="J106" s="98"/>
      <c r="K106" s="36"/>
      <c r="L106" s="26"/>
      <c r="M106" s="26"/>
      <c r="N106" s="26"/>
      <c r="O106" s="93"/>
      <c r="P106" s="95"/>
    </row>
    <row r="107" spans="3:16" x14ac:dyDescent="0.25">
      <c r="C107" s="26"/>
      <c r="D107" s="111"/>
      <c r="E107" s="33"/>
      <c r="F107" s="90"/>
      <c r="H107" s="112"/>
      <c r="I107" s="26"/>
      <c r="J107" s="98"/>
      <c r="K107" s="36"/>
      <c r="L107" s="26"/>
      <c r="M107" s="26"/>
      <c r="N107" s="26"/>
      <c r="O107" s="93"/>
      <c r="P107" s="95"/>
    </row>
    <row r="108" spans="3:16" x14ac:dyDescent="0.25">
      <c r="C108" s="26"/>
      <c r="D108" s="111"/>
      <c r="E108" s="33"/>
      <c r="F108" s="90"/>
      <c r="H108" s="112"/>
      <c r="I108" s="26"/>
      <c r="J108" s="98"/>
      <c r="K108" s="36"/>
      <c r="L108" s="26"/>
      <c r="M108" s="26"/>
      <c r="N108" s="26"/>
      <c r="O108" s="93"/>
      <c r="P108" s="95"/>
    </row>
    <row r="109" spans="3:16" x14ac:dyDescent="0.25">
      <c r="C109" s="26"/>
      <c r="D109" s="111"/>
      <c r="E109" s="33"/>
      <c r="F109" s="90"/>
      <c r="H109" s="112"/>
      <c r="I109" s="26"/>
      <c r="J109" s="98"/>
      <c r="K109" s="36"/>
      <c r="L109" s="26"/>
      <c r="M109" s="26"/>
      <c r="N109" s="26"/>
      <c r="O109" s="93"/>
      <c r="P109" s="95"/>
    </row>
    <row r="110" spans="3:16" x14ac:dyDescent="0.25">
      <c r="C110" s="26"/>
      <c r="D110" s="111"/>
      <c r="E110" s="33"/>
      <c r="F110" s="90"/>
      <c r="H110" s="112"/>
      <c r="I110" s="26"/>
      <c r="J110" s="98"/>
      <c r="K110" s="36"/>
      <c r="L110" s="26"/>
      <c r="M110" s="26"/>
      <c r="N110" s="26"/>
      <c r="O110" s="93"/>
      <c r="P110" s="95"/>
    </row>
    <row r="111" spans="3:16" x14ac:dyDescent="0.25">
      <c r="C111" s="26"/>
      <c r="D111" s="111"/>
      <c r="E111" s="33"/>
      <c r="F111" s="90"/>
      <c r="H111" s="112"/>
      <c r="I111" s="26"/>
      <c r="J111" s="98"/>
      <c r="K111" s="36"/>
      <c r="L111" s="26"/>
      <c r="M111" s="26"/>
      <c r="N111" s="26"/>
      <c r="O111" s="93"/>
      <c r="P111" s="95"/>
    </row>
    <row r="112" spans="3:16" x14ac:dyDescent="0.25">
      <c r="C112" s="26"/>
      <c r="D112" s="111"/>
      <c r="E112" s="33"/>
      <c r="F112" s="90"/>
      <c r="H112" s="112"/>
      <c r="I112" s="26"/>
      <c r="J112" s="98"/>
      <c r="K112" s="36"/>
      <c r="L112" s="26"/>
      <c r="M112" s="26"/>
      <c r="N112" s="26"/>
      <c r="O112" s="93"/>
      <c r="P112" s="95"/>
    </row>
    <row r="113" spans="3:16" x14ac:dyDescent="0.25">
      <c r="C113" s="26"/>
      <c r="D113" s="111"/>
      <c r="E113" s="33"/>
      <c r="F113" s="90"/>
      <c r="H113" s="112"/>
      <c r="I113" s="26"/>
      <c r="J113" s="98"/>
      <c r="K113" s="36"/>
      <c r="L113" s="26"/>
      <c r="M113" s="26"/>
      <c r="N113" s="26"/>
      <c r="O113" s="93"/>
      <c r="P113" s="95"/>
    </row>
    <row r="114" spans="3:16" x14ac:dyDescent="0.25">
      <c r="C114" s="26"/>
      <c r="D114" s="111"/>
      <c r="E114" s="33"/>
      <c r="F114" s="90"/>
      <c r="H114" s="112"/>
      <c r="I114" s="26"/>
      <c r="J114" s="98"/>
      <c r="K114" s="36"/>
      <c r="L114" s="26"/>
      <c r="M114" s="26"/>
      <c r="N114" s="26"/>
      <c r="O114" s="93"/>
      <c r="P114" s="95"/>
    </row>
    <row r="115" spans="3:16" x14ac:dyDescent="0.25">
      <c r="C115" s="26"/>
      <c r="D115" s="111"/>
      <c r="E115" s="33"/>
      <c r="F115" s="90"/>
      <c r="H115" s="112"/>
      <c r="I115" s="26"/>
      <c r="J115" s="98"/>
      <c r="K115" s="36"/>
      <c r="L115" s="26"/>
      <c r="M115" s="26"/>
      <c r="N115" s="26"/>
      <c r="O115" s="93"/>
      <c r="P115" s="95"/>
    </row>
    <row r="116" spans="3:16" x14ac:dyDescent="0.25">
      <c r="C116" s="26"/>
      <c r="D116" s="111"/>
      <c r="E116" s="33"/>
      <c r="F116" s="90"/>
      <c r="H116" s="112"/>
      <c r="I116" s="26"/>
      <c r="J116" s="98"/>
      <c r="K116" s="36"/>
      <c r="L116" s="26"/>
      <c r="M116" s="26"/>
      <c r="N116" s="26"/>
      <c r="O116" s="93"/>
      <c r="P116" s="95"/>
    </row>
    <row r="117" spans="3:16" x14ac:dyDescent="0.25">
      <c r="C117" s="26"/>
      <c r="D117" s="111"/>
      <c r="E117" s="33"/>
      <c r="F117" s="90"/>
      <c r="H117" s="112"/>
      <c r="I117" s="26"/>
      <c r="J117" s="98"/>
      <c r="K117" s="36"/>
      <c r="L117" s="26"/>
      <c r="M117" s="26"/>
      <c r="N117" s="26"/>
      <c r="O117" s="93"/>
      <c r="P117" s="95"/>
    </row>
    <row r="118" spans="3:16" x14ac:dyDescent="0.25">
      <c r="C118" s="26"/>
      <c r="D118" s="111"/>
      <c r="E118" s="33"/>
      <c r="F118" s="90"/>
      <c r="H118" s="112"/>
      <c r="I118" s="26"/>
      <c r="J118" s="98"/>
      <c r="K118" s="36"/>
      <c r="L118" s="26"/>
      <c r="M118" s="26"/>
      <c r="N118" s="26"/>
      <c r="O118" s="93"/>
      <c r="P118" s="95"/>
    </row>
    <row r="119" spans="3:16" x14ac:dyDescent="0.25">
      <c r="C119" s="26"/>
      <c r="D119" s="111"/>
      <c r="E119" s="33"/>
      <c r="F119" s="90"/>
      <c r="H119" s="112"/>
      <c r="I119" s="26"/>
      <c r="J119" s="98"/>
      <c r="K119" s="36"/>
      <c r="L119" s="26"/>
      <c r="M119" s="26"/>
      <c r="N119" s="26"/>
      <c r="O119" s="93"/>
      <c r="P119" s="95"/>
    </row>
    <row r="120" spans="3:16" x14ac:dyDescent="0.25">
      <c r="C120" s="26"/>
      <c r="D120" s="111"/>
      <c r="E120" s="33"/>
      <c r="F120" s="90"/>
      <c r="H120" s="112"/>
      <c r="I120" s="26"/>
      <c r="J120" s="98"/>
      <c r="K120" s="36"/>
      <c r="L120" s="26"/>
      <c r="M120" s="26"/>
      <c r="N120" s="26"/>
      <c r="O120" s="93"/>
      <c r="P120" s="95"/>
    </row>
    <row r="121" spans="3:16" x14ac:dyDescent="0.25">
      <c r="C121" s="26"/>
      <c r="D121" s="111"/>
      <c r="E121" s="33"/>
      <c r="F121" s="90"/>
      <c r="H121" s="112"/>
      <c r="I121" s="26"/>
      <c r="J121" s="98"/>
      <c r="K121" s="36"/>
      <c r="L121" s="26"/>
      <c r="M121" s="26"/>
      <c r="N121" s="26"/>
      <c r="O121" s="93"/>
      <c r="P121" s="95"/>
    </row>
    <row r="122" spans="3:16" x14ac:dyDescent="0.25">
      <c r="C122" s="26"/>
      <c r="D122" s="111"/>
      <c r="E122" s="33"/>
      <c r="F122" s="90"/>
      <c r="H122" s="112"/>
      <c r="I122" s="26"/>
      <c r="J122" s="98"/>
      <c r="K122" s="36"/>
      <c r="L122" s="26"/>
      <c r="M122" s="26"/>
      <c r="N122" s="26"/>
      <c r="O122" s="93"/>
      <c r="P122" s="95"/>
    </row>
    <row r="123" spans="3:16" x14ac:dyDescent="0.25">
      <c r="C123" s="26"/>
      <c r="D123" s="111"/>
      <c r="E123" s="33"/>
      <c r="F123" s="90"/>
      <c r="H123" s="112"/>
      <c r="I123" s="26"/>
      <c r="J123" s="98"/>
      <c r="K123" s="36"/>
      <c r="L123" s="26"/>
      <c r="M123" s="26"/>
      <c r="N123" s="26"/>
      <c r="O123" s="93"/>
      <c r="P123" s="95"/>
    </row>
    <row r="124" spans="3:16" x14ac:dyDescent="0.25">
      <c r="C124" s="26"/>
      <c r="D124" s="111"/>
      <c r="E124" s="33"/>
      <c r="F124" s="90"/>
      <c r="H124" s="112"/>
      <c r="I124" s="26"/>
      <c r="J124" s="98"/>
      <c r="K124" s="36"/>
      <c r="L124" s="26"/>
      <c r="M124" s="26"/>
      <c r="N124" s="26"/>
      <c r="O124" s="93"/>
      <c r="P124" s="95"/>
    </row>
    <row r="125" spans="3:16" x14ac:dyDescent="0.25">
      <c r="C125" s="26"/>
      <c r="D125" s="111"/>
      <c r="E125" s="33"/>
      <c r="F125" s="90"/>
      <c r="H125" s="112"/>
      <c r="I125" s="26"/>
      <c r="J125" s="98"/>
      <c r="K125" s="36"/>
      <c r="L125" s="26"/>
      <c r="M125" s="26"/>
      <c r="N125" s="26"/>
      <c r="O125" s="93"/>
      <c r="P125" s="95"/>
    </row>
    <row r="126" spans="3:16" x14ac:dyDescent="0.25">
      <c r="C126" s="26"/>
      <c r="D126" s="111"/>
      <c r="E126" s="33"/>
      <c r="F126" s="90"/>
      <c r="H126" s="112"/>
      <c r="I126" s="26"/>
      <c r="J126" s="98"/>
      <c r="K126" s="36"/>
      <c r="L126" s="26"/>
      <c r="M126" s="26"/>
      <c r="N126" s="26"/>
      <c r="O126" s="93"/>
      <c r="P126" s="95"/>
    </row>
    <row r="127" spans="3:16" x14ac:dyDescent="0.25">
      <c r="C127" s="26"/>
      <c r="D127" s="111"/>
      <c r="E127" s="33"/>
      <c r="F127" s="90"/>
      <c r="H127" s="112"/>
      <c r="I127" s="26"/>
      <c r="J127" s="98"/>
      <c r="K127" s="36"/>
      <c r="L127" s="26"/>
      <c r="M127" s="26"/>
      <c r="N127" s="26"/>
      <c r="O127" s="93"/>
      <c r="P127" s="95"/>
    </row>
    <row r="128" spans="3:16" x14ac:dyDescent="0.25">
      <c r="C128" s="26"/>
      <c r="D128" s="111"/>
      <c r="E128" s="33"/>
      <c r="F128" s="90"/>
      <c r="H128" s="112"/>
      <c r="I128" s="26"/>
      <c r="J128" s="98"/>
      <c r="K128" s="36"/>
      <c r="L128" s="26"/>
      <c r="M128" s="26"/>
      <c r="N128" s="26"/>
      <c r="O128" s="93"/>
      <c r="P128" s="95"/>
    </row>
    <row r="129" spans="3:16" x14ac:dyDescent="0.25">
      <c r="C129" s="26"/>
      <c r="D129" s="111"/>
      <c r="E129" s="33"/>
      <c r="F129" s="90"/>
      <c r="H129" s="112"/>
      <c r="I129" s="26"/>
      <c r="J129" s="98"/>
      <c r="K129" s="36"/>
      <c r="L129" s="26"/>
      <c r="M129" s="26"/>
      <c r="N129" s="26"/>
      <c r="O129" s="93"/>
      <c r="P129" s="95"/>
    </row>
    <row r="130" spans="3:16" x14ac:dyDescent="0.25">
      <c r="C130" s="26"/>
      <c r="D130" s="111"/>
      <c r="E130" s="33"/>
      <c r="F130" s="90"/>
      <c r="H130" s="112"/>
      <c r="I130" s="26"/>
      <c r="J130" s="98"/>
      <c r="K130" s="36"/>
      <c r="L130" s="26"/>
      <c r="M130" s="26"/>
      <c r="N130" s="26"/>
      <c r="O130" s="93"/>
      <c r="P130" s="95"/>
    </row>
    <row r="131" spans="3:16" x14ac:dyDescent="0.25">
      <c r="C131" s="26"/>
      <c r="D131" s="111"/>
      <c r="E131" s="33"/>
      <c r="F131" s="90"/>
      <c r="H131" s="112"/>
      <c r="I131" s="26"/>
      <c r="J131" s="98"/>
      <c r="K131" s="36"/>
      <c r="L131" s="26"/>
      <c r="M131" s="26"/>
      <c r="N131" s="26"/>
      <c r="O131" s="93"/>
      <c r="P131" s="95"/>
    </row>
    <row r="132" spans="3:16" x14ac:dyDescent="0.25">
      <c r="C132" s="26"/>
      <c r="D132" s="111"/>
      <c r="E132" s="33"/>
      <c r="F132" s="90"/>
      <c r="H132" s="112"/>
      <c r="I132" s="26"/>
      <c r="J132" s="98"/>
      <c r="K132" s="36"/>
      <c r="L132" s="26"/>
      <c r="M132" s="26"/>
      <c r="N132" s="26"/>
      <c r="O132" s="93"/>
      <c r="P132" s="95"/>
    </row>
    <row r="133" spans="3:16" x14ac:dyDescent="0.25">
      <c r="C133" s="26"/>
      <c r="D133" s="111"/>
      <c r="E133" s="33"/>
      <c r="F133" s="90"/>
      <c r="H133" s="112"/>
      <c r="I133" s="26"/>
      <c r="J133" s="98"/>
      <c r="K133" s="36"/>
      <c r="L133" s="26"/>
      <c r="M133" s="26"/>
      <c r="N133" s="26"/>
      <c r="O133" s="93"/>
      <c r="P133" s="95"/>
    </row>
    <row r="134" spans="3:16" x14ac:dyDescent="0.25">
      <c r="C134" s="26"/>
      <c r="D134" s="111"/>
      <c r="E134" s="33"/>
      <c r="F134" s="90"/>
      <c r="H134" s="112"/>
      <c r="I134" s="26"/>
      <c r="J134" s="98"/>
      <c r="K134" s="36"/>
      <c r="L134" s="26"/>
      <c r="M134" s="26"/>
      <c r="N134" s="26"/>
      <c r="O134" s="93"/>
      <c r="P134" s="95"/>
    </row>
    <row r="135" spans="3:16" x14ac:dyDescent="0.25">
      <c r="C135" s="26"/>
      <c r="D135" s="111"/>
      <c r="E135" s="33"/>
      <c r="F135" s="90"/>
      <c r="H135" s="112"/>
      <c r="I135" s="26"/>
      <c r="J135" s="98"/>
      <c r="K135" s="36"/>
      <c r="L135" s="26"/>
      <c r="M135" s="26"/>
      <c r="N135" s="26"/>
      <c r="O135" s="93"/>
      <c r="P135" s="95"/>
    </row>
    <row r="136" spans="3:16" x14ac:dyDescent="0.25">
      <c r="C136" s="26"/>
      <c r="D136" s="111"/>
      <c r="E136" s="33"/>
      <c r="F136" s="90"/>
      <c r="H136" s="112"/>
      <c r="I136" s="26"/>
      <c r="J136" s="98"/>
      <c r="K136" s="36"/>
      <c r="L136" s="26"/>
      <c r="M136" s="26"/>
      <c r="N136" s="26"/>
      <c r="O136" s="93"/>
      <c r="P136" s="95"/>
    </row>
    <row r="137" spans="3:16" x14ac:dyDescent="0.25">
      <c r="C137" s="26"/>
      <c r="D137" s="111"/>
      <c r="E137" s="33"/>
      <c r="F137" s="90"/>
      <c r="H137" s="112"/>
      <c r="I137" s="26"/>
      <c r="J137" s="98"/>
      <c r="K137" s="36"/>
      <c r="L137" s="26"/>
      <c r="M137" s="26"/>
      <c r="N137" s="26"/>
      <c r="O137" s="93"/>
      <c r="P137" s="95"/>
    </row>
    <row r="138" spans="3:16" x14ac:dyDescent="0.25">
      <c r="C138" s="26"/>
      <c r="D138" s="111"/>
      <c r="E138" s="33"/>
      <c r="F138" s="90"/>
      <c r="H138" s="112"/>
      <c r="I138" s="26"/>
      <c r="J138" s="98"/>
      <c r="K138" s="36"/>
      <c r="L138" s="26"/>
      <c r="M138" s="26"/>
      <c r="N138" s="26"/>
      <c r="O138" s="93"/>
      <c r="P138" s="95"/>
    </row>
    <row r="139" spans="3:16" x14ac:dyDescent="0.25">
      <c r="C139" s="26"/>
      <c r="D139" s="111"/>
      <c r="E139" s="33"/>
      <c r="F139" s="90"/>
      <c r="H139" s="112"/>
      <c r="I139" s="26"/>
      <c r="J139" s="98"/>
      <c r="K139" s="36"/>
      <c r="L139" s="26"/>
      <c r="M139" s="26"/>
      <c r="N139" s="26"/>
      <c r="O139" s="93"/>
      <c r="P139" s="95"/>
    </row>
    <row r="140" spans="3:16" x14ac:dyDescent="0.25">
      <c r="C140" s="26"/>
      <c r="D140" s="111"/>
      <c r="E140" s="33"/>
      <c r="F140" s="90"/>
      <c r="H140" s="112"/>
      <c r="I140" s="26"/>
      <c r="J140" s="98"/>
      <c r="K140" s="36"/>
      <c r="L140" s="26"/>
      <c r="M140" s="26"/>
      <c r="N140" s="26"/>
      <c r="O140" s="93"/>
      <c r="P140" s="95"/>
    </row>
    <row r="141" spans="3:16" x14ac:dyDescent="0.25">
      <c r="C141" s="26"/>
      <c r="D141" s="111"/>
      <c r="E141" s="33"/>
      <c r="F141" s="90"/>
      <c r="H141" s="112"/>
      <c r="I141" s="26"/>
      <c r="J141" s="98"/>
      <c r="K141" s="36"/>
      <c r="L141" s="26"/>
      <c r="M141" s="26"/>
      <c r="N141" s="26"/>
      <c r="O141" s="93"/>
      <c r="P141" s="95"/>
    </row>
    <row r="142" spans="3:16" x14ac:dyDescent="0.25">
      <c r="C142" s="26"/>
      <c r="D142" s="111"/>
      <c r="E142" s="33"/>
      <c r="F142" s="90"/>
      <c r="H142" s="112"/>
      <c r="I142" s="26"/>
      <c r="J142" s="98"/>
      <c r="K142" s="36"/>
      <c r="L142" s="26"/>
      <c r="M142" s="26"/>
      <c r="N142" s="26"/>
      <c r="O142" s="93"/>
      <c r="P142" s="95"/>
    </row>
    <row r="143" spans="3:16" x14ac:dyDescent="0.25">
      <c r="C143" s="26"/>
      <c r="D143" s="111"/>
      <c r="E143" s="33"/>
      <c r="F143" s="90"/>
      <c r="H143" s="112"/>
      <c r="I143" s="26"/>
      <c r="J143" s="98"/>
      <c r="K143" s="36"/>
      <c r="L143" s="26"/>
      <c r="M143" s="26"/>
      <c r="N143" s="26"/>
      <c r="O143" s="93"/>
      <c r="P143" s="95"/>
    </row>
    <row r="144" spans="3:16" x14ac:dyDescent="0.25">
      <c r="C144" s="26"/>
      <c r="D144" s="111"/>
      <c r="E144" s="33"/>
      <c r="F144" s="90"/>
      <c r="H144" s="112"/>
      <c r="I144" s="26"/>
      <c r="J144" s="98"/>
      <c r="K144" s="36"/>
      <c r="L144" s="26"/>
      <c r="M144" s="26"/>
      <c r="N144" s="26"/>
      <c r="O144" s="93"/>
      <c r="P144" s="95"/>
    </row>
    <row r="145" spans="3:16" x14ac:dyDescent="0.25">
      <c r="C145" s="26"/>
      <c r="D145" s="111"/>
      <c r="E145" s="33"/>
      <c r="F145" s="90"/>
      <c r="H145" s="112"/>
      <c r="I145" s="26"/>
      <c r="J145" s="98"/>
      <c r="K145" s="36"/>
      <c r="L145" s="26"/>
      <c r="M145" s="26"/>
      <c r="N145" s="26"/>
      <c r="O145" s="93"/>
      <c r="P145" s="95"/>
    </row>
    <row r="146" spans="3:16" x14ac:dyDescent="0.25">
      <c r="C146" s="26"/>
      <c r="D146" s="111"/>
      <c r="E146" s="33"/>
      <c r="F146" s="90"/>
      <c r="H146" s="112"/>
      <c r="I146" s="26"/>
      <c r="J146" s="98"/>
      <c r="K146" s="36"/>
      <c r="L146" s="26"/>
      <c r="M146" s="26"/>
      <c r="N146" s="26"/>
      <c r="O146" s="93"/>
      <c r="P146" s="95"/>
    </row>
    <row r="147" spans="3:16" x14ac:dyDescent="0.25">
      <c r="C147" s="26"/>
      <c r="D147" s="111"/>
      <c r="E147" s="33"/>
      <c r="F147" s="90"/>
      <c r="H147" s="112"/>
      <c r="I147" s="26"/>
      <c r="J147" s="98"/>
      <c r="K147" s="36"/>
      <c r="L147" s="26"/>
      <c r="M147" s="26"/>
      <c r="N147" s="26"/>
      <c r="O147" s="93"/>
      <c r="P147" s="95"/>
    </row>
    <row r="148" spans="3:16" x14ac:dyDescent="0.25">
      <c r="C148" s="26"/>
      <c r="D148" s="111"/>
      <c r="E148" s="33"/>
      <c r="F148" s="90"/>
      <c r="H148" s="112"/>
      <c r="I148" s="26"/>
      <c r="J148" s="98"/>
      <c r="K148" s="36"/>
      <c r="L148" s="26"/>
      <c r="M148" s="26"/>
      <c r="N148" s="26"/>
      <c r="O148" s="93"/>
      <c r="P148" s="95"/>
    </row>
    <row r="149" spans="3:16" x14ac:dyDescent="0.25">
      <c r="C149" s="26"/>
      <c r="D149" s="111"/>
      <c r="E149" s="33"/>
      <c r="F149" s="90"/>
      <c r="H149" s="112"/>
      <c r="I149" s="26"/>
      <c r="J149" s="98"/>
      <c r="K149" s="36"/>
      <c r="L149" s="26"/>
      <c r="M149" s="26"/>
      <c r="N149" s="26"/>
      <c r="O149" s="93"/>
      <c r="P149" s="95"/>
    </row>
    <row r="150" spans="3:16" x14ac:dyDescent="0.25">
      <c r="C150" s="26"/>
      <c r="D150" s="111"/>
      <c r="E150" s="33"/>
      <c r="F150" s="90"/>
      <c r="H150" s="112"/>
      <c r="I150" s="26"/>
      <c r="J150" s="98"/>
      <c r="K150" s="36"/>
      <c r="L150" s="26"/>
      <c r="M150" s="26"/>
      <c r="N150" s="26"/>
      <c r="O150" s="93"/>
      <c r="P150" s="95"/>
    </row>
    <row r="151" spans="3:16" x14ac:dyDescent="0.25">
      <c r="C151" s="26"/>
      <c r="D151" s="111"/>
      <c r="E151" s="33"/>
      <c r="F151" s="90"/>
      <c r="H151" s="112"/>
      <c r="I151" s="26"/>
      <c r="J151" s="98"/>
      <c r="K151" s="36"/>
      <c r="L151" s="26"/>
      <c r="M151" s="26"/>
      <c r="N151" s="26"/>
      <c r="O151" s="93"/>
      <c r="P151" s="95"/>
    </row>
    <row r="152" spans="3:16" x14ac:dyDescent="0.25">
      <c r="C152" s="26"/>
      <c r="D152" s="111"/>
      <c r="E152" s="33"/>
      <c r="F152" s="90"/>
      <c r="H152" s="112"/>
      <c r="I152" s="26"/>
      <c r="J152" s="98"/>
      <c r="K152" s="36"/>
      <c r="L152" s="26"/>
      <c r="M152" s="26"/>
      <c r="N152" s="26"/>
      <c r="O152" s="93"/>
      <c r="P152" s="95"/>
    </row>
    <row r="153" spans="3:16" x14ac:dyDescent="0.25">
      <c r="C153" s="26"/>
      <c r="D153" s="111"/>
      <c r="E153" s="33"/>
      <c r="F153" s="90"/>
      <c r="H153" s="112"/>
      <c r="I153" s="26"/>
      <c r="J153" s="98"/>
      <c r="K153" s="36"/>
      <c r="L153" s="26"/>
      <c r="M153" s="26"/>
      <c r="N153" s="26"/>
      <c r="O153" s="93"/>
      <c r="P153" s="95"/>
    </row>
    <row r="154" spans="3:16" x14ac:dyDescent="0.25">
      <c r="C154" s="26"/>
      <c r="D154" s="111"/>
      <c r="E154" s="33"/>
      <c r="F154" s="90"/>
      <c r="H154" s="112"/>
      <c r="I154" s="26"/>
      <c r="J154" s="98"/>
      <c r="K154" s="36"/>
      <c r="L154" s="26"/>
      <c r="M154" s="26"/>
      <c r="N154" s="26"/>
      <c r="O154" s="93"/>
      <c r="P154" s="95"/>
    </row>
    <row r="155" spans="3:16" x14ac:dyDescent="0.25">
      <c r="C155" s="26"/>
      <c r="D155" s="111"/>
      <c r="E155" s="33"/>
      <c r="F155" s="90"/>
      <c r="H155" s="112"/>
      <c r="I155" s="26"/>
      <c r="J155" s="98"/>
      <c r="K155" s="36"/>
      <c r="L155" s="26"/>
      <c r="M155" s="26"/>
      <c r="N155" s="26"/>
      <c r="O155" s="93"/>
      <c r="P155" s="95"/>
    </row>
    <row r="156" spans="3:16" x14ac:dyDescent="0.25">
      <c r="C156" s="26"/>
      <c r="D156" s="111"/>
      <c r="E156" s="33"/>
      <c r="F156" s="90"/>
      <c r="H156" s="112"/>
      <c r="I156" s="26"/>
      <c r="J156" s="98"/>
      <c r="K156" s="36"/>
      <c r="L156" s="26"/>
      <c r="M156" s="26"/>
      <c r="N156" s="26"/>
      <c r="O156" s="93"/>
      <c r="P156" s="95"/>
    </row>
    <row r="157" spans="3:16" x14ac:dyDescent="0.25">
      <c r="C157" s="26"/>
      <c r="D157" s="111"/>
      <c r="E157" s="33"/>
      <c r="F157" s="90"/>
      <c r="H157" s="112"/>
      <c r="I157" s="26"/>
      <c r="J157" s="98"/>
      <c r="K157" s="36"/>
      <c r="L157" s="26"/>
      <c r="M157" s="26"/>
      <c r="N157" s="26"/>
      <c r="O157" s="93"/>
      <c r="P157" s="95"/>
    </row>
    <row r="158" spans="3:16" x14ac:dyDescent="0.25">
      <c r="C158" s="26"/>
      <c r="D158" s="111"/>
      <c r="E158" s="33"/>
      <c r="F158" s="90"/>
      <c r="H158" s="112"/>
      <c r="I158" s="26"/>
      <c r="J158" s="98"/>
      <c r="K158" s="36"/>
      <c r="L158" s="26"/>
      <c r="M158" s="26"/>
      <c r="N158" s="26"/>
      <c r="O158" s="93"/>
      <c r="P158" s="95"/>
    </row>
    <row r="159" spans="3:16" x14ac:dyDescent="0.25">
      <c r="C159" s="26"/>
      <c r="D159" s="111"/>
      <c r="E159" s="33"/>
      <c r="F159" s="90"/>
      <c r="H159" s="112"/>
      <c r="I159" s="26"/>
      <c r="J159" s="98"/>
      <c r="K159" s="36"/>
      <c r="L159" s="26"/>
      <c r="M159" s="26"/>
      <c r="N159" s="26"/>
      <c r="O159" s="93"/>
      <c r="P159" s="95"/>
    </row>
    <row r="160" spans="3:16" x14ac:dyDescent="0.25">
      <c r="C160" s="26"/>
      <c r="D160" s="111"/>
      <c r="E160" s="33"/>
      <c r="F160" s="90"/>
      <c r="H160" s="112"/>
      <c r="I160" s="26"/>
      <c r="J160" s="98"/>
      <c r="K160" s="36"/>
      <c r="L160" s="26"/>
      <c r="M160" s="26"/>
      <c r="N160" s="26"/>
      <c r="O160" s="93"/>
      <c r="P160" s="95"/>
    </row>
    <row r="161" spans="3:16" x14ac:dyDescent="0.25">
      <c r="C161" s="26"/>
      <c r="D161" s="111"/>
      <c r="E161" s="33"/>
      <c r="F161" s="90"/>
      <c r="H161" s="112"/>
      <c r="I161" s="26"/>
      <c r="J161" s="98"/>
      <c r="K161" s="36"/>
      <c r="L161" s="26"/>
      <c r="M161" s="26"/>
      <c r="N161" s="26"/>
      <c r="O161" s="93"/>
      <c r="P161" s="95"/>
    </row>
    <row r="162" spans="3:16" x14ac:dyDescent="0.25">
      <c r="C162" s="26"/>
      <c r="D162" s="111"/>
      <c r="E162" s="33"/>
      <c r="F162" s="90"/>
      <c r="H162" s="112"/>
      <c r="I162" s="26"/>
      <c r="J162" s="98"/>
      <c r="K162" s="36"/>
      <c r="L162" s="26"/>
      <c r="M162" s="26"/>
      <c r="N162" s="26"/>
      <c r="O162" s="93"/>
      <c r="P162" s="95"/>
    </row>
    <row r="163" spans="3:16" x14ac:dyDescent="0.25">
      <c r="C163" s="26"/>
      <c r="D163" s="111"/>
      <c r="E163" s="33"/>
      <c r="F163" s="90"/>
      <c r="H163" s="112"/>
      <c r="I163" s="26"/>
      <c r="J163" s="98"/>
      <c r="K163" s="36"/>
      <c r="L163" s="26"/>
      <c r="M163" s="26"/>
      <c r="N163" s="26"/>
      <c r="O163" s="93"/>
      <c r="P163" s="95"/>
    </row>
    <row r="164" spans="3:16" x14ac:dyDescent="0.25">
      <c r="C164" s="26"/>
      <c r="D164" s="111"/>
      <c r="E164" s="33"/>
      <c r="F164" s="90"/>
      <c r="H164" s="112"/>
      <c r="I164" s="26"/>
      <c r="J164" s="98"/>
      <c r="K164" s="36"/>
      <c r="L164" s="26"/>
      <c r="M164" s="26"/>
      <c r="N164" s="26"/>
      <c r="O164" s="93"/>
      <c r="P164" s="95"/>
    </row>
    <row r="165" spans="3:16" x14ac:dyDescent="0.25">
      <c r="C165" s="26"/>
      <c r="D165" s="111"/>
      <c r="E165" s="33"/>
      <c r="F165" s="90"/>
      <c r="H165" s="112"/>
      <c r="I165" s="26"/>
      <c r="J165" s="98"/>
      <c r="K165" s="36"/>
      <c r="L165" s="26"/>
      <c r="M165" s="26"/>
      <c r="N165" s="26"/>
      <c r="O165" s="93"/>
      <c r="P165" s="95"/>
    </row>
    <row r="166" spans="3:16" x14ac:dyDescent="0.25">
      <c r="C166" s="26"/>
      <c r="D166" s="111"/>
      <c r="E166" s="33"/>
      <c r="F166" s="90"/>
      <c r="H166" s="112"/>
      <c r="I166" s="26"/>
      <c r="J166" s="98"/>
      <c r="K166" s="36"/>
      <c r="L166" s="26"/>
      <c r="M166" s="26"/>
      <c r="N166" s="26"/>
      <c r="O166" s="93"/>
      <c r="P166" s="95"/>
    </row>
    <row r="167" spans="3:16" x14ac:dyDescent="0.25">
      <c r="C167" s="26"/>
      <c r="D167" s="111"/>
      <c r="E167" s="33"/>
      <c r="F167" s="90"/>
      <c r="H167" s="112"/>
      <c r="I167" s="26"/>
      <c r="J167" s="98"/>
      <c r="K167" s="36"/>
      <c r="L167" s="26"/>
      <c r="M167" s="26"/>
      <c r="N167" s="26"/>
      <c r="O167" s="93"/>
      <c r="P167" s="95"/>
    </row>
    <row r="168" spans="3:16" x14ac:dyDescent="0.25">
      <c r="C168" s="26"/>
      <c r="D168" s="111"/>
      <c r="E168" s="33"/>
      <c r="F168" s="90"/>
      <c r="H168" s="112"/>
      <c r="I168" s="26"/>
      <c r="J168" s="98"/>
      <c r="K168" s="36"/>
      <c r="L168" s="26"/>
      <c r="M168" s="26"/>
      <c r="N168" s="26"/>
      <c r="O168" s="93"/>
      <c r="P168" s="95"/>
    </row>
    <row r="169" spans="3:16" x14ac:dyDescent="0.25">
      <c r="C169" s="26"/>
      <c r="D169" s="111"/>
      <c r="E169" s="33"/>
      <c r="F169" s="90"/>
      <c r="H169" s="112"/>
      <c r="I169" s="26"/>
      <c r="J169" s="98"/>
      <c r="K169" s="36"/>
      <c r="L169" s="26"/>
      <c r="M169" s="26"/>
      <c r="N169" s="26"/>
      <c r="O169" s="93"/>
      <c r="P169" s="95"/>
    </row>
    <row r="170" spans="3:16" x14ac:dyDescent="0.25">
      <c r="C170" s="26"/>
      <c r="D170" s="111"/>
      <c r="E170" s="33"/>
      <c r="F170" s="90"/>
      <c r="H170" s="112"/>
      <c r="I170" s="26"/>
      <c r="J170" s="98"/>
      <c r="K170" s="36"/>
      <c r="L170" s="26"/>
      <c r="M170" s="26"/>
      <c r="N170" s="26"/>
      <c r="O170" s="93"/>
      <c r="P170" s="95"/>
    </row>
    <row r="171" spans="3:16" x14ac:dyDescent="0.25">
      <c r="C171" s="26"/>
      <c r="D171" s="111"/>
      <c r="E171" s="33"/>
      <c r="F171" s="90" t="str">
        <f t="shared" ref="F171:F195" si="22">IF(E171="","-",IF(E171&lt;$E$15,"ERROR - date outside of range",IF(MONTH(E171)&gt;=7,YEAR(E171)&amp;"-"&amp;RIGHT(YEAR(E171),2)+1,YEAR(E171)-1&amp;"-"&amp;RIGHT(YEAR(E171),2))))</f>
        <v>-</v>
      </c>
      <c r="H171" s="112"/>
      <c r="I171" s="26"/>
      <c r="J171" s="98"/>
      <c r="K171" s="36"/>
      <c r="L171" s="26"/>
      <c r="M171" s="26"/>
      <c r="N171" s="26"/>
      <c r="O171" s="93" t="str">
        <f t="shared" ref="O171:O192" si="23">IF(N171="","-",L171*N171)</f>
        <v>-</v>
      </c>
      <c r="P171" s="95" t="str">
        <f t="shared" ref="P171:P195" si="24">IF(O171="-","-",IF(E171&lt;$E$15,0,O171*J171))</f>
        <v>-</v>
      </c>
    </row>
    <row r="172" spans="3:16" x14ac:dyDescent="0.25">
      <c r="C172" s="26"/>
      <c r="D172" s="111"/>
      <c r="E172" s="33"/>
      <c r="F172" s="90" t="str">
        <f t="shared" si="22"/>
        <v>-</v>
      </c>
      <c r="H172" s="112"/>
      <c r="I172" s="26"/>
      <c r="J172" s="98"/>
      <c r="K172" s="36"/>
      <c r="L172" s="26"/>
      <c r="M172" s="26"/>
      <c r="N172" s="26"/>
      <c r="O172" s="93" t="str">
        <f t="shared" si="23"/>
        <v>-</v>
      </c>
      <c r="P172" s="95" t="str">
        <f t="shared" si="24"/>
        <v>-</v>
      </c>
    </row>
    <row r="173" spans="3:16" x14ac:dyDescent="0.25">
      <c r="C173" s="26"/>
      <c r="D173" s="111"/>
      <c r="E173" s="33"/>
      <c r="F173" s="90" t="str">
        <f t="shared" si="22"/>
        <v>-</v>
      </c>
      <c r="H173" s="112"/>
      <c r="I173" s="26"/>
      <c r="J173" s="98"/>
      <c r="K173" s="36"/>
      <c r="L173" s="26"/>
      <c r="M173" s="26"/>
      <c r="N173" s="26"/>
      <c r="O173" s="93" t="str">
        <f t="shared" si="23"/>
        <v>-</v>
      </c>
      <c r="P173" s="95" t="str">
        <f t="shared" si="24"/>
        <v>-</v>
      </c>
    </row>
    <row r="174" spans="3:16" x14ac:dyDescent="0.25">
      <c r="C174" s="26"/>
      <c r="D174" s="111"/>
      <c r="E174" s="33"/>
      <c r="F174" s="90" t="str">
        <f t="shared" si="22"/>
        <v>-</v>
      </c>
      <c r="H174" s="112"/>
      <c r="I174" s="26"/>
      <c r="J174" s="98"/>
      <c r="K174" s="36"/>
      <c r="L174" s="26"/>
      <c r="M174" s="26"/>
      <c r="N174" s="26"/>
      <c r="O174" s="93" t="str">
        <f t="shared" si="23"/>
        <v>-</v>
      </c>
      <c r="P174" s="95" t="str">
        <f t="shared" si="24"/>
        <v>-</v>
      </c>
    </row>
    <row r="175" spans="3:16" x14ac:dyDescent="0.25">
      <c r="C175" s="26"/>
      <c r="D175" s="111"/>
      <c r="E175" s="33"/>
      <c r="F175" s="90" t="str">
        <f t="shared" si="22"/>
        <v>-</v>
      </c>
      <c r="H175" s="112"/>
      <c r="I175" s="26"/>
      <c r="J175" s="98"/>
      <c r="K175" s="36"/>
      <c r="L175" s="26"/>
      <c r="M175" s="26"/>
      <c r="N175" s="26"/>
      <c r="O175" s="93" t="str">
        <f t="shared" si="23"/>
        <v>-</v>
      </c>
      <c r="P175" s="95" t="str">
        <f t="shared" si="24"/>
        <v>-</v>
      </c>
    </row>
    <row r="176" spans="3:16" x14ac:dyDescent="0.25">
      <c r="C176" s="26"/>
      <c r="D176" s="111"/>
      <c r="E176" s="33"/>
      <c r="F176" s="90" t="str">
        <f t="shared" si="22"/>
        <v>-</v>
      </c>
      <c r="H176" s="112"/>
      <c r="I176" s="26"/>
      <c r="J176" s="98"/>
      <c r="K176" s="36"/>
      <c r="L176" s="26"/>
      <c r="M176" s="26"/>
      <c r="N176" s="26"/>
      <c r="O176" s="93" t="str">
        <f t="shared" si="23"/>
        <v>-</v>
      </c>
      <c r="P176" s="95" t="str">
        <f t="shared" si="24"/>
        <v>-</v>
      </c>
    </row>
    <row r="177" spans="3:16" x14ac:dyDescent="0.25">
      <c r="C177" s="26"/>
      <c r="D177" s="111"/>
      <c r="E177" s="33"/>
      <c r="F177" s="90" t="str">
        <f t="shared" si="22"/>
        <v>-</v>
      </c>
      <c r="H177" s="112"/>
      <c r="I177" s="26"/>
      <c r="J177" s="98"/>
      <c r="K177" s="36"/>
      <c r="L177" s="26"/>
      <c r="M177" s="26"/>
      <c r="N177" s="26"/>
      <c r="O177" s="93" t="str">
        <f t="shared" si="23"/>
        <v>-</v>
      </c>
      <c r="P177" s="95" t="str">
        <f t="shared" si="24"/>
        <v>-</v>
      </c>
    </row>
    <row r="178" spans="3:16" x14ac:dyDescent="0.25">
      <c r="C178" s="26"/>
      <c r="D178" s="111"/>
      <c r="E178" s="33"/>
      <c r="F178" s="90" t="str">
        <f t="shared" si="22"/>
        <v>-</v>
      </c>
      <c r="H178" s="112"/>
      <c r="I178" s="26"/>
      <c r="J178" s="98"/>
      <c r="K178" s="36"/>
      <c r="L178" s="26"/>
      <c r="M178" s="26"/>
      <c r="N178" s="26"/>
      <c r="O178" s="93" t="str">
        <f t="shared" si="23"/>
        <v>-</v>
      </c>
      <c r="P178" s="95" t="str">
        <f t="shared" si="24"/>
        <v>-</v>
      </c>
    </row>
    <row r="179" spans="3:16" x14ac:dyDescent="0.25">
      <c r="C179" s="26"/>
      <c r="D179" s="111"/>
      <c r="E179" s="33"/>
      <c r="F179" s="90" t="str">
        <f t="shared" si="22"/>
        <v>-</v>
      </c>
      <c r="H179" s="112"/>
      <c r="I179" s="26"/>
      <c r="J179" s="98"/>
      <c r="K179" s="36"/>
      <c r="L179" s="26"/>
      <c r="M179" s="26"/>
      <c r="N179" s="26"/>
      <c r="O179" s="93" t="str">
        <f t="shared" si="23"/>
        <v>-</v>
      </c>
      <c r="P179" s="95" t="str">
        <f t="shared" si="24"/>
        <v>-</v>
      </c>
    </row>
    <row r="180" spans="3:16" x14ac:dyDescent="0.25">
      <c r="C180" s="26"/>
      <c r="D180" s="111"/>
      <c r="E180" s="33"/>
      <c r="F180" s="90" t="str">
        <f t="shared" si="22"/>
        <v>-</v>
      </c>
      <c r="H180" s="112"/>
      <c r="I180" s="26"/>
      <c r="J180" s="98"/>
      <c r="K180" s="36"/>
      <c r="L180" s="26"/>
      <c r="M180" s="26"/>
      <c r="N180" s="26"/>
      <c r="O180" s="93" t="str">
        <f t="shared" si="23"/>
        <v>-</v>
      </c>
      <c r="P180" s="95" t="str">
        <f t="shared" si="24"/>
        <v>-</v>
      </c>
    </row>
    <row r="181" spans="3:16" x14ac:dyDescent="0.25">
      <c r="C181" s="26"/>
      <c r="D181" s="111"/>
      <c r="E181" s="33"/>
      <c r="F181" s="90" t="str">
        <f t="shared" si="22"/>
        <v>-</v>
      </c>
      <c r="H181" s="112"/>
      <c r="I181" s="26"/>
      <c r="J181" s="98"/>
      <c r="K181" s="36"/>
      <c r="L181" s="26"/>
      <c r="M181" s="26"/>
      <c r="N181" s="26"/>
      <c r="O181" s="93" t="str">
        <f t="shared" si="23"/>
        <v>-</v>
      </c>
      <c r="P181" s="95" t="str">
        <f t="shared" si="24"/>
        <v>-</v>
      </c>
    </row>
    <row r="182" spans="3:16" x14ac:dyDescent="0.25">
      <c r="C182" s="26"/>
      <c r="D182" s="111"/>
      <c r="E182" s="33"/>
      <c r="F182" s="90" t="str">
        <f t="shared" si="22"/>
        <v>-</v>
      </c>
      <c r="H182" s="112"/>
      <c r="I182" s="26"/>
      <c r="J182" s="98"/>
      <c r="K182" s="36"/>
      <c r="L182" s="26"/>
      <c r="M182" s="26"/>
      <c r="N182" s="26"/>
      <c r="O182" s="93" t="str">
        <f t="shared" si="23"/>
        <v>-</v>
      </c>
      <c r="P182" s="95" t="str">
        <f t="shared" si="24"/>
        <v>-</v>
      </c>
    </row>
    <row r="183" spans="3:16" x14ac:dyDescent="0.25">
      <c r="C183" s="26"/>
      <c r="D183" s="111"/>
      <c r="E183" s="33"/>
      <c r="F183" s="90" t="str">
        <f t="shared" si="22"/>
        <v>-</v>
      </c>
      <c r="H183" s="112"/>
      <c r="I183" s="26"/>
      <c r="J183" s="98"/>
      <c r="K183" s="36"/>
      <c r="L183" s="26"/>
      <c r="M183" s="26"/>
      <c r="N183" s="26"/>
      <c r="O183" s="93" t="str">
        <f t="shared" si="23"/>
        <v>-</v>
      </c>
      <c r="P183" s="95" t="str">
        <f t="shared" si="24"/>
        <v>-</v>
      </c>
    </row>
    <row r="184" spans="3:16" x14ac:dyDescent="0.25">
      <c r="C184" s="26"/>
      <c r="D184" s="111"/>
      <c r="E184" s="33"/>
      <c r="F184" s="90" t="str">
        <f t="shared" si="22"/>
        <v>-</v>
      </c>
      <c r="H184" s="112"/>
      <c r="I184" s="26"/>
      <c r="J184" s="98"/>
      <c r="K184" s="36"/>
      <c r="L184" s="26"/>
      <c r="M184" s="26"/>
      <c r="N184" s="26"/>
      <c r="O184" s="93" t="str">
        <f t="shared" si="23"/>
        <v>-</v>
      </c>
      <c r="P184" s="95" t="str">
        <f t="shared" si="24"/>
        <v>-</v>
      </c>
    </row>
    <row r="185" spans="3:16" x14ac:dyDescent="0.25">
      <c r="C185" s="26"/>
      <c r="D185" s="111"/>
      <c r="E185" s="33"/>
      <c r="F185" s="90" t="str">
        <f t="shared" si="22"/>
        <v>-</v>
      </c>
      <c r="H185" s="112"/>
      <c r="I185" s="26"/>
      <c r="J185" s="98"/>
      <c r="K185" s="36"/>
      <c r="L185" s="26"/>
      <c r="M185" s="26"/>
      <c r="N185" s="26"/>
      <c r="O185" s="93" t="str">
        <f t="shared" si="23"/>
        <v>-</v>
      </c>
      <c r="P185" s="95" t="str">
        <f t="shared" si="24"/>
        <v>-</v>
      </c>
    </row>
    <row r="186" spans="3:16" x14ac:dyDescent="0.25">
      <c r="C186" s="26"/>
      <c r="D186" s="111"/>
      <c r="E186" s="33"/>
      <c r="F186" s="90" t="str">
        <f t="shared" si="22"/>
        <v>-</v>
      </c>
      <c r="H186" s="112"/>
      <c r="I186" s="26"/>
      <c r="J186" s="98"/>
      <c r="K186" s="36"/>
      <c r="L186" s="26"/>
      <c r="M186" s="26"/>
      <c r="N186" s="26"/>
      <c r="O186" s="93" t="str">
        <f t="shared" si="23"/>
        <v>-</v>
      </c>
      <c r="P186" s="95" t="str">
        <f t="shared" si="24"/>
        <v>-</v>
      </c>
    </row>
    <row r="187" spans="3:16" x14ac:dyDescent="0.25">
      <c r="C187" s="26"/>
      <c r="D187" s="111"/>
      <c r="E187" s="33"/>
      <c r="F187" s="90" t="str">
        <f t="shared" si="22"/>
        <v>-</v>
      </c>
      <c r="H187" s="112"/>
      <c r="I187" s="26"/>
      <c r="J187" s="98"/>
      <c r="K187" s="36"/>
      <c r="L187" s="26"/>
      <c r="M187" s="26"/>
      <c r="N187" s="26"/>
      <c r="O187" s="93" t="str">
        <f t="shared" si="23"/>
        <v>-</v>
      </c>
      <c r="P187" s="95" t="str">
        <f t="shared" si="24"/>
        <v>-</v>
      </c>
    </row>
    <row r="188" spans="3:16" x14ac:dyDescent="0.25">
      <c r="C188" s="26"/>
      <c r="D188" s="111"/>
      <c r="E188" s="33"/>
      <c r="F188" s="90" t="str">
        <f t="shared" si="22"/>
        <v>-</v>
      </c>
      <c r="H188" s="112"/>
      <c r="I188" s="26"/>
      <c r="J188" s="98"/>
      <c r="K188" s="36"/>
      <c r="L188" s="26"/>
      <c r="M188" s="26"/>
      <c r="N188" s="26"/>
      <c r="O188" s="93" t="str">
        <f t="shared" si="23"/>
        <v>-</v>
      </c>
      <c r="P188" s="95" t="str">
        <f t="shared" si="24"/>
        <v>-</v>
      </c>
    </row>
    <row r="189" spans="3:16" x14ac:dyDescent="0.25">
      <c r="C189" s="26"/>
      <c r="D189" s="111"/>
      <c r="E189" s="33"/>
      <c r="F189" s="90" t="str">
        <f t="shared" si="22"/>
        <v>-</v>
      </c>
      <c r="H189" s="112"/>
      <c r="I189" s="26"/>
      <c r="J189" s="98"/>
      <c r="K189" s="36"/>
      <c r="L189" s="26"/>
      <c r="M189" s="26"/>
      <c r="N189" s="26"/>
      <c r="O189" s="93" t="str">
        <f t="shared" si="23"/>
        <v>-</v>
      </c>
      <c r="P189" s="95" t="str">
        <f t="shared" si="24"/>
        <v>-</v>
      </c>
    </row>
    <row r="190" spans="3:16" x14ac:dyDescent="0.25">
      <c r="C190" s="26"/>
      <c r="D190" s="111"/>
      <c r="E190" s="33"/>
      <c r="F190" s="90" t="str">
        <f t="shared" si="22"/>
        <v>-</v>
      </c>
      <c r="H190" s="112"/>
      <c r="I190" s="26"/>
      <c r="J190" s="98"/>
      <c r="K190" s="36"/>
      <c r="L190" s="26"/>
      <c r="M190" s="26"/>
      <c r="N190" s="26"/>
      <c r="O190" s="93" t="str">
        <f t="shared" si="23"/>
        <v>-</v>
      </c>
      <c r="P190" s="95" t="str">
        <f t="shared" si="24"/>
        <v>-</v>
      </c>
    </row>
    <row r="191" spans="3:16" x14ac:dyDescent="0.25">
      <c r="C191" s="26"/>
      <c r="D191" s="111"/>
      <c r="E191" s="33"/>
      <c r="F191" s="90" t="str">
        <f t="shared" si="22"/>
        <v>-</v>
      </c>
      <c r="H191" s="112"/>
      <c r="I191" s="26"/>
      <c r="J191" s="98"/>
      <c r="K191" s="36"/>
      <c r="L191" s="26"/>
      <c r="M191" s="26"/>
      <c r="N191" s="26"/>
      <c r="O191" s="93" t="str">
        <f t="shared" si="23"/>
        <v>-</v>
      </c>
      <c r="P191" s="95" t="str">
        <f t="shared" si="24"/>
        <v>-</v>
      </c>
    </row>
    <row r="192" spans="3:16" x14ac:dyDescent="0.25">
      <c r="C192" s="26"/>
      <c r="D192" s="111"/>
      <c r="E192" s="33"/>
      <c r="F192" s="90" t="str">
        <f t="shared" si="22"/>
        <v>-</v>
      </c>
      <c r="H192" s="112"/>
      <c r="I192" s="26"/>
      <c r="J192" s="98"/>
      <c r="K192" s="36"/>
      <c r="L192" s="26"/>
      <c r="M192" s="26"/>
      <c r="N192" s="26"/>
      <c r="O192" s="93" t="str">
        <f t="shared" si="23"/>
        <v>-</v>
      </c>
      <c r="P192" s="95" t="str">
        <f t="shared" si="24"/>
        <v>-</v>
      </c>
    </row>
    <row r="193" spans="3:16" x14ac:dyDescent="0.25">
      <c r="C193" s="26"/>
      <c r="D193" s="111"/>
      <c r="E193" s="33"/>
      <c r="F193" s="90" t="str">
        <f t="shared" si="22"/>
        <v>-</v>
      </c>
      <c r="H193" s="112"/>
      <c r="I193" s="26"/>
      <c r="J193" s="98"/>
      <c r="K193" s="36"/>
      <c r="L193" s="26"/>
      <c r="M193" s="26"/>
      <c r="N193" s="26"/>
      <c r="O193" s="93" t="str">
        <f t="shared" ref="O193:O196" si="25">IF(N193="","-",L193*N193)</f>
        <v>-</v>
      </c>
      <c r="P193" s="95" t="str">
        <f t="shared" si="24"/>
        <v>-</v>
      </c>
    </row>
    <row r="194" spans="3:16" x14ac:dyDescent="0.25">
      <c r="C194" s="26"/>
      <c r="D194" s="111"/>
      <c r="E194" s="33"/>
      <c r="F194" s="90" t="str">
        <f t="shared" si="22"/>
        <v>-</v>
      </c>
      <c r="H194" s="112"/>
      <c r="I194" s="26"/>
      <c r="J194" s="98"/>
      <c r="K194" s="36"/>
      <c r="L194" s="26"/>
      <c r="M194" s="26"/>
      <c r="N194" s="26"/>
      <c r="O194" s="93" t="str">
        <f t="shared" si="25"/>
        <v>-</v>
      </c>
      <c r="P194" s="95" t="str">
        <f t="shared" si="24"/>
        <v>-</v>
      </c>
    </row>
    <row r="195" spans="3:16" x14ac:dyDescent="0.25">
      <c r="C195" s="26"/>
      <c r="D195" s="111"/>
      <c r="E195" s="33"/>
      <c r="F195" s="90" t="str">
        <f t="shared" si="22"/>
        <v>-</v>
      </c>
      <c r="H195" s="112"/>
      <c r="I195" s="26"/>
      <c r="J195" s="98"/>
      <c r="K195" s="36"/>
      <c r="L195" s="26"/>
      <c r="M195" s="26"/>
      <c r="N195" s="26"/>
      <c r="O195" s="93" t="str">
        <f t="shared" si="25"/>
        <v>-</v>
      </c>
      <c r="P195" s="95" t="str">
        <f t="shared" si="24"/>
        <v>-</v>
      </c>
    </row>
    <row r="196" spans="3:16" x14ac:dyDescent="0.25">
      <c r="C196" s="29"/>
      <c r="D196" s="128"/>
      <c r="E196" s="129"/>
      <c r="F196" s="91" t="str">
        <f t="shared" ref="F196" si="26">IF(E196="","-",IF(E196&lt;$E$15,"ERROR - date outside of range",IF(MONTH(E196)&gt;=7,YEAR(E196)&amp;"-"&amp;RIGHT(YEAR(E196),2)+1,YEAR(E196)-1&amp;"-"&amp;RIGHT(YEAR(E196),2))))</f>
        <v>-</v>
      </c>
      <c r="H196" s="113"/>
      <c r="I196" s="30"/>
      <c r="J196" s="116"/>
      <c r="L196" s="30"/>
      <c r="M196" s="30"/>
      <c r="N196" s="30"/>
      <c r="O196" s="117" t="str">
        <f t="shared" si="25"/>
        <v>-</v>
      </c>
      <c r="P196" s="96" t="str">
        <f t="shared" ref="P196" si="27">IF(O196="-","-",IF(E196&lt;$E$15,0,O196*J196))</f>
        <v>-</v>
      </c>
    </row>
  </sheetData>
  <conditionalFormatting sqref="F22:F196">
    <cfRule type="containsText" dxfId="3" priority="1" operator="containsText" text="ERROR">
      <formula>NOT(ISERROR(SEARCH("ERROR",F22)))</formula>
    </cfRule>
  </conditionalFormatting>
  <conditionalFormatting sqref="J22:J196">
    <cfRule type="cellIs" dxfId="2" priority="4" operator="equal">
      <formula>1</formula>
    </cfRule>
  </conditionalFormatting>
  <hyperlinks>
    <hyperlink ref="E7" location="'Asset exclusions'!A1" display="'Asset exclusions'!A1" xr:uid="{00000000-0004-0000-0700-000000000000}"/>
  </hyperlinks>
  <pageMargins left="0.7" right="0.7" top="0.75" bottom="0.75" header="0.3" footer="0.3"/>
  <pageSetup paperSize="9" orientation="portrait" verticalDpi="598"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7" tint="0.79998168889431442"/>
  </sheetPr>
  <dimension ref="C3:AT103"/>
  <sheetViews>
    <sheetView showGridLines="0" topLeftCell="A10" zoomScale="85" zoomScaleNormal="85" workbookViewId="0">
      <selection activeCell="AS10" sqref="AS10"/>
    </sheetView>
  </sheetViews>
  <sheetFormatPr defaultRowHeight="11.5" outlineLevelCol="1" x14ac:dyDescent="0.25"/>
  <cols>
    <col min="1" max="2" width="2.69921875" customWidth="1"/>
    <col min="3" max="3" width="15.69921875" customWidth="1"/>
    <col min="4" max="4" width="21.09765625" customWidth="1"/>
    <col min="5" max="5" width="2.69921875" customWidth="1"/>
    <col min="6" max="6" width="15.69921875" customWidth="1"/>
    <col min="7" max="7" width="12.8984375" customWidth="1"/>
    <col min="8" max="8" width="2.69921875" customWidth="1"/>
    <col min="9" max="9" width="15.69921875" customWidth="1"/>
    <col min="10" max="10" width="15.8984375" customWidth="1"/>
    <col min="11" max="11" width="2.69921875" customWidth="1"/>
    <col min="12" max="12" width="15.69921875" customWidth="1"/>
    <col min="13" max="13" width="17" customWidth="1"/>
    <col min="14" max="14" width="2.69921875" customWidth="1"/>
    <col min="15" max="15" width="15.69921875" hidden="1" customWidth="1" outlineLevel="1"/>
    <col min="16" max="16" width="7.69921875" hidden="1" customWidth="1" outlineLevel="1"/>
    <col min="17" max="17" width="2.69921875" hidden="1" customWidth="1" outlineLevel="1"/>
    <col min="18" max="18" width="15.69921875" hidden="1" customWidth="1" outlineLevel="1"/>
    <col min="19" max="19" width="7.69921875" hidden="1" customWidth="1" outlineLevel="1"/>
    <col min="20" max="20" width="2.69921875" hidden="1" customWidth="1" outlineLevel="1"/>
    <col min="21" max="21" width="15.69921875" hidden="1" customWidth="1" outlineLevel="1"/>
    <col min="22" max="22" width="7.69921875" hidden="1" customWidth="1" outlineLevel="1"/>
    <col min="23" max="23" width="2.69921875" hidden="1" customWidth="1" outlineLevel="1"/>
    <col min="24" max="24" width="15.69921875" hidden="1" customWidth="1" outlineLevel="1"/>
    <col min="25" max="25" width="7.69921875" hidden="1" customWidth="1" outlineLevel="1"/>
    <col min="26" max="26" width="2.69921875" hidden="1" customWidth="1" outlineLevel="1"/>
    <col min="27" max="27" width="15.69921875" hidden="1" customWidth="1" outlineLevel="1"/>
    <col min="28" max="28" width="7.69921875" hidden="1" customWidth="1" outlineLevel="1"/>
    <col min="29" max="29" width="2.69921875" hidden="1" customWidth="1" outlineLevel="1"/>
    <col min="30" max="30" width="15.69921875" hidden="1" customWidth="1" outlineLevel="1"/>
    <col min="31" max="31" width="7.69921875" hidden="1" customWidth="1" outlineLevel="1"/>
    <col min="32" max="32" width="2.69921875" hidden="1" customWidth="1" outlineLevel="1"/>
    <col min="33" max="33" width="15.69921875" hidden="1" customWidth="1" outlineLevel="1"/>
    <col min="34" max="35" width="9" hidden="1" customWidth="1" outlineLevel="1"/>
    <col min="36" max="36" width="29.59765625" hidden="1" customWidth="1" outlineLevel="1"/>
    <col min="37" max="37" width="23.59765625" hidden="1" customWidth="1" outlineLevel="1"/>
    <col min="38" max="39" width="9" hidden="1" customWidth="1" outlineLevel="1"/>
    <col min="40" max="40" width="9" collapsed="1"/>
    <col min="41" max="41" width="28.19921875" bestFit="1" customWidth="1"/>
    <col min="42" max="42" width="11.8984375" customWidth="1"/>
    <col min="45" max="46" width="9" style="253"/>
  </cols>
  <sheetData>
    <row r="3" spans="3:46" ht="20" x14ac:dyDescent="0.4">
      <c r="C3" s="57" t="s">
        <v>761</v>
      </c>
    </row>
    <row r="6" spans="3:46" x14ac:dyDescent="0.25">
      <c r="C6" s="6" t="s">
        <v>762</v>
      </c>
      <c r="F6" s="223">
        <f>'General inputs'!H36</f>
        <v>145.74</v>
      </c>
      <c r="G6" s="167" t="str">
        <f ca="1">"Input entered at "&amp;ADDRESS(ROW('General inputs'!$H$36),COLUMN('General inputs'!$H$36))&amp;" on the '"&amp;MID(CELL("filename",'General inputs'!$A$1),FIND("]",CELL("filename",'General inputs'!$A$1))+1,255)&amp;"' worksheet. "</f>
        <v xml:space="preserve">Input entered at $H$36 on the 'General inputs' worksheet. </v>
      </c>
    </row>
    <row r="7" spans="3:46" x14ac:dyDescent="0.25">
      <c r="AO7" s="259"/>
      <c r="AP7" s="259"/>
      <c r="AQ7" s="259"/>
      <c r="AR7" s="259"/>
    </row>
    <row r="8" spans="3:46" x14ac:dyDescent="0.25">
      <c r="F8" s="45" t="s">
        <v>763</v>
      </c>
      <c r="G8" s="45"/>
      <c r="H8" s="46"/>
      <c r="I8" s="45" t="s">
        <v>764</v>
      </c>
      <c r="J8" s="45"/>
      <c r="K8" s="46"/>
      <c r="L8" s="266" t="s">
        <v>765</v>
      </c>
      <c r="M8" s="267"/>
      <c r="N8" s="46"/>
      <c r="O8" s="266" t="s">
        <v>766</v>
      </c>
      <c r="P8" s="267"/>
      <c r="Q8" s="46"/>
      <c r="R8" s="266" t="s">
        <v>767</v>
      </c>
      <c r="S8" s="267"/>
      <c r="T8" s="46"/>
      <c r="U8" s="266" t="s">
        <v>768</v>
      </c>
      <c r="V8" s="267"/>
      <c r="W8" s="46"/>
      <c r="X8" s="266" t="s">
        <v>769</v>
      </c>
      <c r="Y8" s="267"/>
      <c r="Z8" s="46"/>
      <c r="AA8" s="266" t="s">
        <v>770</v>
      </c>
      <c r="AB8" s="267"/>
      <c r="AC8" s="46"/>
      <c r="AD8" s="266" t="s">
        <v>771</v>
      </c>
      <c r="AE8" s="267"/>
      <c r="AF8" s="46"/>
      <c r="AG8" s="266" t="s">
        <v>772</v>
      </c>
      <c r="AH8" s="267"/>
      <c r="AO8" s="259"/>
      <c r="AP8" s="259"/>
      <c r="AQ8" s="259"/>
      <c r="AR8" s="259"/>
    </row>
    <row r="9" spans="3:46" x14ac:dyDescent="0.25">
      <c r="C9" s="6" t="s">
        <v>773</v>
      </c>
      <c r="F9" s="24" t="s">
        <v>774</v>
      </c>
      <c r="G9" s="222">
        <f>F6</f>
        <v>145.74</v>
      </c>
      <c r="H9" s="36"/>
      <c r="I9" s="24" t="s">
        <v>774</v>
      </c>
      <c r="J9" s="222">
        <v>97.559677397661673</v>
      </c>
      <c r="K9" s="36"/>
      <c r="L9" s="60" t="s">
        <v>775</v>
      </c>
      <c r="M9" s="61" t="s">
        <v>776</v>
      </c>
      <c r="N9" s="36"/>
      <c r="O9" s="60" t="s">
        <v>777</v>
      </c>
      <c r="P9" s="61">
        <v>5000</v>
      </c>
      <c r="Q9" s="36"/>
      <c r="R9" s="60" t="s">
        <v>775</v>
      </c>
      <c r="S9" s="61">
        <v>20000</v>
      </c>
      <c r="T9" s="36"/>
      <c r="U9" s="60" t="s">
        <v>777</v>
      </c>
      <c r="V9" s="61">
        <v>5000</v>
      </c>
      <c r="W9" s="36"/>
      <c r="X9" s="60" t="s">
        <v>775</v>
      </c>
      <c r="Y9" s="61">
        <v>20000</v>
      </c>
      <c r="Z9" s="36"/>
      <c r="AA9" s="60" t="s">
        <v>777</v>
      </c>
      <c r="AB9" s="61">
        <v>5000</v>
      </c>
      <c r="AC9" s="36"/>
      <c r="AD9" s="60" t="s">
        <v>775</v>
      </c>
      <c r="AE9" s="61">
        <v>20000</v>
      </c>
      <c r="AF9" s="36"/>
      <c r="AG9" s="60" t="s">
        <v>777</v>
      </c>
      <c r="AH9" s="61">
        <v>5000</v>
      </c>
      <c r="AO9" s="260"/>
      <c r="AP9" s="259"/>
      <c r="AQ9" s="259"/>
      <c r="AR9" s="259"/>
      <c r="AS9" s="255"/>
    </row>
    <row r="10" spans="3:46" x14ac:dyDescent="0.25">
      <c r="AO10" s="260"/>
      <c r="AP10" s="261"/>
      <c r="AQ10" s="259"/>
      <c r="AR10" s="259"/>
      <c r="AS10" s="255"/>
    </row>
    <row r="11" spans="3:46" ht="34.5" x14ac:dyDescent="0.25">
      <c r="D11" s="166" t="s">
        <v>778</v>
      </c>
      <c r="E11" s="34"/>
      <c r="F11" s="166" t="s">
        <v>779</v>
      </c>
      <c r="G11" s="36" t="s">
        <v>93</v>
      </c>
      <c r="H11" s="36"/>
      <c r="I11" s="34" t="s">
        <v>780</v>
      </c>
      <c r="J11" s="36" t="s">
        <v>93</v>
      </c>
      <c r="K11" s="36"/>
      <c r="L11" s="34" t="s">
        <v>781</v>
      </c>
      <c r="M11" s="36" t="s">
        <v>93</v>
      </c>
      <c r="N11" s="36"/>
      <c r="O11" s="34" t="str">
        <f>"Annual take-up of "&amp;INDEX($AK$12:$AK$19,MATCH(O9,$AJ$12:$AJ$20,0))&amp;" for "&amp;O8</f>
        <v>Annual take-up of properties for Commercial</v>
      </c>
      <c r="P11" s="36" t="s">
        <v>93</v>
      </c>
      <c r="Q11" s="36"/>
      <c r="R11" s="34" t="str">
        <f>"Annual take-up of "&amp;INDEX($AK$12:$AK$19,MATCH(R9,$AJ$12:$AJ$20,0))&amp;" for "&amp;R8</f>
        <v>Annual take-up of hectares for Light industrial</v>
      </c>
      <c r="S11" s="36" t="s">
        <v>93</v>
      </c>
      <c r="T11" s="36"/>
      <c r="U11" s="34" t="str">
        <f>"Annual take-up of "&amp;INDEX($AK$12:$AK$19,MATCH(U9,$AJ$12:$AJ$20,0))&amp;" for "&amp;U8</f>
        <v>Annual take-up of properties for Non-res 4</v>
      </c>
      <c r="V11" s="36" t="s">
        <v>93</v>
      </c>
      <c r="W11" s="36"/>
      <c r="X11" s="34" t="str">
        <f>"Annual take-up of "&amp;INDEX($AK$12:$AK$19,MATCH(X9,$AJ$12:$AJ$20,0))&amp;" for "&amp;X8</f>
        <v>Annual take-up of hectares for Non-res 5</v>
      </c>
      <c r="Y11" s="36" t="s">
        <v>93</v>
      </c>
      <c r="Z11" s="36"/>
      <c r="AA11" s="34" t="str">
        <f>"Annual take-up of "&amp;INDEX($AK$12:$AK$19,MATCH(AA9,$AJ$12:$AJ$20,0))&amp;" for "&amp;AA8</f>
        <v>Annual take-up of properties for Non-res 6</v>
      </c>
      <c r="AB11" s="36" t="s">
        <v>93</v>
      </c>
      <c r="AC11" s="36"/>
      <c r="AD11" s="34" t="str">
        <f>"Annual take-up of "&amp;INDEX($AK$12:$AK$19,MATCH(AD9,$AJ$12:$AJ$20,0))&amp;" for "&amp;AD8</f>
        <v>Annual take-up of hectares for Non-res 7</v>
      </c>
      <c r="AE11" s="36" t="s">
        <v>93</v>
      </c>
      <c r="AF11" s="36"/>
      <c r="AG11" s="34" t="str">
        <f>"Annual take-up of "&amp;INDEX($AK$12:$AK$19,MATCH(AG9,$AJ$12:$AJ$20,0))&amp;" for "&amp;AG8</f>
        <v>Annual take-up of properties for Non-res 8</v>
      </c>
      <c r="AH11" s="36" t="s">
        <v>93</v>
      </c>
      <c r="AJ11" s="100" t="s">
        <v>782</v>
      </c>
      <c r="AK11" s="28"/>
      <c r="AM11" s="130"/>
      <c r="AN11" s="28"/>
      <c r="AO11" s="186" t="str">
        <f>"Total ET in "&amp;'General inputs'!H7</f>
        <v>Total ET in North Head Wastewater</v>
      </c>
      <c r="AS11" s="256"/>
      <c r="AT11" s="257"/>
    </row>
    <row r="12" spans="3:46" ht="12" customHeight="1" x14ac:dyDescent="0.25">
      <c r="C12" s="28" t="str">
        <f>'MP Calculations'!D39</f>
        <v>1995-96</v>
      </c>
      <c r="D12" s="183">
        <f>IF(LEFT($C12,4)*1&lt;LEFT('General inputs'!$I$16,4)+'General inputs'!$H$38,SUM(G12,J12,M12,P12,S12,V12,Y12,AB12,AE12,AH12),"")</f>
        <v>2440.3399545970487</v>
      </c>
      <c r="F12" s="47"/>
      <c r="G12" s="183">
        <v>1069.5</v>
      </c>
      <c r="I12" s="47"/>
      <c r="J12" s="183">
        <v>1370.839954597049</v>
      </c>
      <c r="L12" s="47"/>
      <c r="M12" s="183">
        <v>0</v>
      </c>
      <c r="O12" s="47">
        <v>0</v>
      </c>
      <c r="P12" s="42">
        <f t="shared" ref="P12:P68" si="0">O12*$P$9/$F$6</f>
        <v>0</v>
      </c>
      <c r="R12" s="47">
        <v>0</v>
      </c>
      <c r="S12" s="42">
        <f t="shared" ref="S12:S68" si="1">R12*$S$9/$F$6</f>
        <v>0</v>
      </c>
      <c r="U12" s="47">
        <v>0</v>
      </c>
      <c r="V12" s="42">
        <f t="shared" ref="V12:V68" si="2">U12*$V$9/$F$6</f>
        <v>0</v>
      </c>
      <c r="X12" s="47">
        <v>0</v>
      </c>
      <c r="Y12" s="42">
        <f t="shared" ref="Y12:Y68" si="3">X12*$Y$9/$F$6</f>
        <v>0</v>
      </c>
      <c r="AA12" s="47">
        <v>0</v>
      </c>
      <c r="AB12" s="42">
        <f t="shared" ref="AB12:AB68" si="4">AA12*$AB$9/$F$6</f>
        <v>0</v>
      </c>
      <c r="AD12" s="47">
        <v>0</v>
      </c>
      <c r="AE12" s="42">
        <f t="shared" ref="AE12:AE68" si="5">AD12*$AE$9/$F$6</f>
        <v>0</v>
      </c>
      <c r="AG12" s="47">
        <v>0</v>
      </c>
      <c r="AH12" s="42">
        <f t="shared" ref="AH12:AH68" si="6">AG12*$AH$9/$F$6</f>
        <v>0</v>
      </c>
      <c r="AI12" s="101">
        <v>1</v>
      </c>
      <c r="AJ12" s="62" t="s">
        <v>777</v>
      </c>
      <c r="AK12" s="62" t="s">
        <v>783</v>
      </c>
      <c r="AO12" t="s">
        <v>784</v>
      </c>
      <c r="AP12" s="187">
        <v>278747.20401908713</v>
      </c>
      <c r="AQ12" s="69"/>
      <c r="AS12" s="258"/>
      <c r="AT12" s="258"/>
    </row>
    <row r="13" spans="3:46" x14ac:dyDescent="0.25">
      <c r="C13" s="28" t="str">
        <f>'MP Calculations'!D40</f>
        <v>1996-97</v>
      </c>
      <c r="D13" s="184">
        <f>IF(LEFT($C13,4)*1&lt;LEFT('General inputs'!$I$16,4)+'General inputs'!$H$38,SUM(G13,J13,M13,P13,S13,V13,Y13,AB13,AE13,AH13),"")</f>
        <v>9622.1749129288164</v>
      </c>
      <c r="F13" s="224"/>
      <c r="G13" s="184">
        <v>1969</v>
      </c>
      <c r="I13" s="38"/>
      <c r="J13" s="184">
        <v>2774.0891032917143</v>
      </c>
      <c r="L13" s="224"/>
      <c r="M13" s="184">
        <v>4879.0858096371021</v>
      </c>
      <c r="O13" s="38">
        <v>0</v>
      </c>
      <c r="P13" s="43">
        <f t="shared" si="0"/>
        <v>0</v>
      </c>
      <c r="R13" s="38">
        <v>0</v>
      </c>
      <c r="S13" s="43">
        <f t="shared" si="1"/>
        <v>0</v>
      </c>
      <c r="U13" s="38">
        <v>0</v>
      </c>
      <c r="V13" s="43">
        <f t="shared" si="2"/>
        <v>0</v>
      </c>
      <c r="X13" s="38">
        <v>0</v>
      </c>
      <c r="Y13" s="43">
        <f t="shared" si="3"/>
        <v>0</v>
      </c>
      <c r="AA13" s="38">
        <v>0</v>
      </c>
      <c r="AB13" s="43">
        <f t="shared" si="4"/>
        <v>0</v>
      </c>
      <c r="AD13" s="38">
        <v>0</v>
      </c>
      <c r="AE13" s="43">
        <f t="shared" si="5"/>
        <v>0</v>
      </c>
      <c r="AG13" s="38">
        <v>0</v>
      </c>
      <c r="AH13" s="43">
        <f t="shared" si="6"/>
        <v>0</v>
      </c>
      <c r="AI13">
        <f>AI12+1</f>
        <v>2</v>
      </c>
      <c r="AJ13" s="27" t="s">
        <v>775</v>
      </c>
      <c r="AK13" s="27" t="s">
        <v>785</v>
      </c>
      <c r="AO13" t="s">
        <v>786</v>
      </c>
      <c r="AP13" s="187">
        <v>480598.62761911581</v>
      </c>
      <c r="AS13" s="258"/>
      <c r="AT13" s="258"/>
    </row>
    <row r="14" spans="3:46" x14ac:dyDescent="0.25">
      <c r="C14" s="28" t="str">
        <f>'MP Calculations'!D41</f>
        <v>1997-98</v>
      </c>
      <c r="D14" s="184">
        <f>IF(LEFT($C14,4)*1&lt;LEFT('General inputs'!$I$16,4)+'General inputs'!$H$38,SUM(G14,J14,M14,P14,S14,V14,Y14,AB14,AE14,AH14),"")</f>
        <v>12879.577240769388</v>
      </c>
      <c r="F14" s="224"/>
      <c r="G14" s="184">
        <v>1307</v>
      </c>
      <c r="I14" s="38"/>
      <c r="J14" s="184">
        <v>2813.3938706015892</v>
      </c>
      <c r="L14" s="224"/>
      <c r="M14" s="184">
        <v>8759.1833701677988</v>
      </c>
      <c r="O14" s="38">
        <v>0</v>
      </c>
      <c r="P14" s="43">
        <f t="shared" si="0"/>
        <v>0</v>
      </c>
      <c r="R14" s="38">
        <v>0</v>
      </c>
      <c r="S14" s="43">
        <f t="shared" si="1"/>
        <v>0</v>
      </c>
      <c r="U14" s="38">
        <v>0</v>
      </c>
      <c r="V14" s="43">
        <f t="shared" si="2"/>
        <v>0</v>
      </c>
      <c r="X14" s="38">
        <v>0</v>
      </c>
      <c r="Y14" s="43">
        <f t="shared" si="3"/>
        <v>0</v>
      </c>
      <c r="AA14" s="38">
        <v>0</v>
      </c>
      <c r="AB14" s="43">
        <f t="shared" si="4"/>
        <v>0</v>
      </c>
      <c r="AD14" s="38">
        <v>0</v>
      </c>
      <c r="AE14" s="43">
        <f t="shared" si="5"/>
        <v>0</v>
      </c>
      <c r="AG14" s="38">
        <v>0</v>
      </c>
      <c r="AH14" s="43">
        <f t="shared" si="6"/>
        <v>0</v>
      </c>
      <c r="AI14">
        <f t="shared" ref="AI14:AI18" si="7">AI13+1</f>
        <v>3</v>
      </c>
      <c r="AJ14" s="27"/>
      <c r="AK14" s="27"/>
      <c r="AO14" t="s">
        <v>787</v>
      </c>
      <c r="AP14" s="188">
        <f>SUM(AP13,D12:D102)</f>
        <v>937529.67009291961</v>
      </c>
      <c r="AS14" s="258"/>
      <c r="AT14" s="258"/>
    </row>
    <row r="15" spans="3:46" x14ac:dyDescent="0.25">
      <c r="C15" s="28" t="str">
        <f>'MP Calculations'!D42</f>
        <v>1998-99</v>
      </c>
      <c r="D15" s="184">
        <f>IF(LEFT($C15,4)*1&lt;LEFT('General inputs'!$I$16,4)+'General inputs'!$H$38,SUM(G15,J15,M15,P15,S15,V15,Y15,AB15,AE15,AH15),"")</f>
        <v>4050.5300794551649</v>
      </c>
      <c r="F15" s="224"/>
      <c r="G15" s="184">
        <v>982</v>
      </c>
      <c r="I15" s="38"/>
      <c r="J15" s="184">
        <v>3068.5300794551649</v>
      </c>
      <c r="L15" s="224"/>
      <c r="M15" s="184">
        <v>0</v>
      </c>
      <c r="O15" s="38">
        <v>0</v>
      </c>
      <c r="P15" s="43">
        <f t="shared" si="0"/>
        <v>0</v>
      </c>
      <c r="R15" s="38">
        <v>0</v>
      </c>
      <c r="S15" s="43">
        <f t="shared" si="1"/>
        <v>0</v>
      </c>
      <c r="U15" s="38">
        <v>0</v>
      </c>
      <c r="V15" s="43">
        <f t="shared" si="2"/>
        <v>0</v>
      </c>
      <c r="X15" s="38">
        <v>0</v>
      </c>
      <c r="Y15" s="43">
        <f t="shared" si="3"/>
        <v>0</v>
      </c>
      <c r="AA15" s="38">
        <v>0</v>
      </c>
      <c r="AB15" s="43">
        <f t="shared" si="4"/>
        <v>0</v>
      </c>
      <c r="AD15" s="38">
        <v>0</v>
      </c>
      <c r="AE15" s="43">
        <f t="shared" si="5"/>
        <v>0</v>
      </c>
      <c r="AG15" s="38">
        <v>0</v>
      </c>
      <c r="AH15" s="43">
        <f t="shared" si="6"/>
        <v>0</v>
      </c>
      <c r="AI15">
        <f t="shared" si="7"/>
        <v>4</v>
      </c>
      <c r="AJ15" s="27"/>
      <c r="AK15" s="27"/>
      <c r="AL15" s="131" t="str">
        <f>"Provide plural notation for the units of measure entered at "&amp;ADDRESS(ROW($AJ$12),COLUMN($AJ$12))&amp;" to "&amp;ADDRESS(ROW($AJ$18),COLUMN($AJ$18))&amp;"."</f>
        <v>Provide plural notation for the units of measure entered at $AJ$12 to $AJ$18.</v>
      </c>
      <c r="AP15" s="69"/>
      <c r="AS15" s="258"/>
      <c r="AT15" s="258"/>
    </row>
    <row r="16" spans="3:46" x14ac:dyDescent="0.25">
      <c r="C16" s="28" t="str">
        <f>'MP Calculations'!D43</f>
        <v>1999-00</v>
      </c>
      <c r="D16" s="184">
        <f>IF(LEFT($C16,4)*1&lt;LEFT('General inputs'!$I$16,4)+'General inputs'!$H$38,SUM(G16,J16,M16,P16,S16,V16,Y16,AB16,AE16,AH16),"")</f>
        <v>7612.517554404023</v>
      </c>
      <c r="F16" s="224"/>
      <c r="G16" s="184">
        <v>904</v>
      </c>
      <c r="I16" s="38"/>
      <c r="J16" s="184">
        <v>3991.8473325766181</v>
      </c>
      <c r="L16" s="224"/>
      <c r="M16" s="184">
        <v>2716.6702218274045</v>
      </c>
      <c r="O16" s="38">
        <v>0</v>
      </c>
      <c r="P16" s="43">
        <f t="shared" si="0"/>
        <v>0</v>
      </c>
      <c r="R16" s="38">
        <v>0</v>
      </c>
      <c r="S16" s="43">
        <f t="shared" si="1"/>
        <v>0</v>
      </c>
      <c r="U16" s="38">
        <v>0</v>
      </c>
      <c r="V16" s="43">
        <f t="shared" si="2"/>
        <v>0</v>
      </c>
      <c r="X16" s="38">
        <v>0</v>
      </c>
      <c r="Y16" s="43">
        <f t="shared" si="3"/>
        <v>0</v>
      </c>
      <c r="AA16" s="38">
        <v>0</v>
      </c>
      <c r="AB16" s="43">
        <f t="shared" si="4"/>
        <v>0</v>
      </c>
      <c r="AD16" s="38">
        <v>0</v>
      </c>
      <c r="AE16" s="43">
        <f t="shared" si="5"/>
        <v>0</v>
      </c>
      <c r="AG16" s="38">
        <v>0</v>
      </c>
      <c r="AH16" s="43">
        <f t="shared" si="6"/>
        <v>0</v>
      </c>
      <c r="AI16">
        <f t="shared" si="7"/>
        <v>5</v>
      </c>
      <c r="AJ16" s="136"/>
      <c r="AK16" s="136"/>
      <c r="AL16" s="131" t="s">
        <v>788</v>
      </c>
      <c r="AS16" s="258"/>
      <c r="AT16" s="258"/>
    </row>
    <row r="17" spans="3:46" x14ac:dyDescent="0.25">
      <c r="C17" s="28" t="str">
        <f>'MP Calculations'!D44</f>
        <v>2000-01</v>
      </c>
      <c r="D17" s="184">
        <f>IF(LEFT($C17,4)*1&lt;LEFT('General inputs'!$I$16,4)+'General inputs'!$H$38,SUM(G17,J17,M17,P17,S17,V17,Y17,AB17,AE17,AH17),"")</f>
        <v>11359.663119763583</v>
      </c>
      <c r="F17" s="224"/>
      <c r="G17" s="184">
        <v>1066</v>
      </c>
      <c r="I17" s="38"/>
      <c r="J17" s="184">
        <v>3314.0124858115782</v>
      </c>
      <c r="L17" s="224"/>
      <c r="M17" s="184">
        <v>6979.6506339520065</v>
      </c>
      <c r="O17" s="38">
        <v>0</v>
      </c>
      <c r="P17" s="43">
        <f t="shared" si="0"/>
        <v>0</v>
      </c>
      <c r="R17" s="38">
        <v>0</v>
      </c>
      <c r="S17" s="43">
        <f t="shared" si="1"/>
        <v>0</v>
      </c>
      <c r="U17" s="38">
        <v>0</v>
      </c>
      <c r="V17" s="43">
        <f t="shared" si="2"/>
        <v>0</v>
      </c>
      <c r="X17" s="38">
        <v>0</v>
      </c>
      <c r="Y17" s="43">
        <f t="shared" si="3"/>
        <v>0</v>
      </c>
      <c r="AA17" s="38">
        <v>0</v>
      </c>
      <c r="AB17" s="43">
        <f t="shared" si="4"/>
        <v>0</v>
      </c>
      <c r="AD17" s="38">
        <v>0</v>
      </c>
      <c r="AE17" s="43">
        <f t="shared" si="5"/>
        <v>0</v>
      </c>
      <c r="AG17" s="38">
        <v>0</v>
      </c>
      <c r="AH17" s="43">
        <f t="shared" si="6"/>
        <v>0</v>
      </c>
      <c r="AI17">
        <f t="shared" si="7"/>
        <v>6</v>
      </c>
      <c r="AJ17" s="27"/>
      <c r="AK17" s="27"/>
      <c r="AO17" s="186" t="s">
        <v>789</v>
      </c>
      <c r="AS17" s="258"/>
      <c r="AT17" s="258"/>
    </row>
    <row r="18" spans="3:46" x14ac:dyDescent="0.25">
      <c r="C18" s="28" t="str">
        <f>'MP Calculations'!D45</f>
        <v>2001-02</v>
      </c>
      <c r="D18" s="184">
        <f>IF(LEFT($C18,4)*1&lt;LEFT('General inputs'!$I$16,4)+'General inputs'!$H$38,SUM(G18,J18,M18,P18,S18,V18,Y18,AB18,AE18,AH18),"")</f>
        <v>4755.7451759364358</v>
      </c>
      <c r="F18" s="224"/>
      <c r="G18" s="184">
        <v>1259</v>
      </c>
      <c r="I18" s="38"/>
      <c r="J18" s="184">
        <v>3496.7451759364362</v>
      </c>
      <c r="L18" s="224"/>
      <c r="M18" s="184">
        <v>0</v>
      </c>
      <c r="O18" s="38">
        <v>0</v>
      </c>
      <c r="P18" s="43">
        <f t="shared" si="0"/>
        <v>0</v>
      </c>
      <c r="R18" s="38">
        <v>0</v>
      </c>
      <c r="S18" s="43">
        <f t="shared" si="1"/>
        <v>0</v>
      </c>
      <c r="U18" s="38">
        <v>0</v>
      </c>
      <c r="V18" s="43">
        <f t="shared" si="2"/>
        <v>0</v>
      </c>
      <c r="X18" s="38">
        <v>0</v>
      </c>
      <c r="Y18" s="43">
        <f t="shared" si="3"/>
        <v>0</v>
      </c>
      <c r="AA18" s="38">
        <v>0</v>
      </c>
      <c r="AB18" s="43">
        <f t="shared" si="4"/>
        <v>0</v>
      </c>
      <c r="AD18" s="38">
        <v>0</v>
      </c>
      <c r="AE18" s="43">
        <f t="shared" si="5"/>
        <v>0</v>
      </c>
      <c r="AG18" s="38">
        <v>0</v>
      </c>
      <c r="AH18" s="43">
        <f t="shared" si="6"/>
        <v>0</v>
      </c>
      <c r="AI18">
        <f t="shared" si="7"/>
        <v>7</v>
      </c>
      <c r="AJ18" s="27"/>
      <c r="AK18" s="27"/>
      <c r="AO18" t="s">
        <v>790</v>
      </c>
      <c r="AP18" s="188">
        <f>AP13-AP12</f>
        <v>201851.42360002868</v>
      </c>
      <c r="AS18" s="258"/>
      <c r="AT18" s="258"/>
    </row>
    <row r="19" spans="3:46" x14ac:dyDescent="0.25">
      <c r="C19" s="28" t="str">
        <f>'MP Calculations'!D46</f>
        <v>2002-03</v>
      </c>
      <c r="D19" s="184">
        <f>IF(LEFT($C19,4)*1&lt;LEFT('General inputs'!$I$16,4)+'General inputs'!$H$38,SUM(G19,J19,M19,P19,S19,V19,Y19,AB19,AE19,AH19),"")</f>
        <v>23684.015766563614</v>
      </c>
      <c r="F19" s="224"/>
      <c r="G19" s="184">
        <v>1113</v>
      </c>
      <c r="I19" s="38"/>
      <c r="J19" s="184">
        <v>3245.7463110102162</v>
      </c>
      <c r="L19" s="224"/>
      <c r="M19" s="184">
        <v>19325.269455553396</v>
      </c>
      <c r="O19" s="38">
        <v>0</v>
      </c>
      <c r="P19" s="43">
        <f t="shared" si="0"/>
        <v>0</v>
      </c>
      <c r="R19" s="38">
        <v>0</v>
      </c>
      <c r="S19" s="43">
        <f t="shared" si="1"/>
        <v>0</v>
      </c>
      <c r="U19" s="38">
        <v>0</v>
      </c>
      <c r="V19" s="43">
        <f t="shared" si="2"/>
        <v>0</v>
      </c>
      <c r="X19" s="38">
        <v>0</v>
      </c>
      <c r="Y19" s="43">
        <f t="shared" si="3"/>
        <v>0</v>
      </c>
      <c r="AA19" s="38">
        <v>0</v>
      </c>
      <c r="AB19" s="43">
        <f t="shared" si="4"/>
        <v>0</v>
      </c>
      <c r="AD19" s="38">
        <v>0</v>
      </c>
      <c r="AE19" s="43">
        <f t="shared" si="5"/>
        <v>0</v>
      </c>
      <c r="AG19" s="38">
        <v>0</v>
      </c>
      <c r="AH19" s="43">
        <f t="shared" si="6"/>
        <v>0</v>
      </c>
      <c r="AJ19" s="102" t="str">
        <f>"add alternatives at "&amp;ADDRESS(ROW(AJ18),COLUMN(AJ18))&amp;":"&amp;ADDRESS(ROW(AJ23),COLUMN(AJ23))</f>
        <v>add alternatives at $AJ$18:$AJ$23</v>
      </c>
      <c r="AK19" s="30"/>
      <c r="AO19" t="s">
        <v>791</v>
      </c>
      <c r="AP19" s="188">
        <f>SUM(D12:D38)</f>
        <v>190671.79527583011</v>
      </c>
      <c r="AS19" s="258"/>
      <c r="AT19" s="258"/>
    </row>
    <row r="20" spans="3:46" x14ac:dyDescent="0.25">
      <c r="C20" s="28" t="str">
        <f>'MP Calculations'!D47</f>
        <v>2003-04</v>
      </c>
      <c r="D20" s="184">
        <f>IF(LEFT($C20,4)*1&lt;LEFT('General inputs'!$I$16,4)+'General inputs'!$H$38,SUM(G20,J20,M20,P20,S20,V20,Y20,AB20,AE20,AH20),"")</f>
        <v>4478.5635641316694</v>
      </c>
      <c r="F20" s="224"/>
      <c r="G20" s="184">
        <v>917</v>
      </c>
      <c r="I20" s="38"/>
      <c r="J20" s="184">
        <v>3561.563564131669</v>
      </c>
      <c r="L20" s="224"/>
      <c r="M20" s="184">
        <v>0</v>
      </c>
      <c r="O20" s="38">
        <v>0</v>
      </c>
      <c r="P20" s="43">
        <f t="shared" si="0"/>
        <v>0</v>
      </c>
      <c r="R20" s="38">
        <v>0</v>
      </c>
      <c r="S20" s="43">
        <f t="shared" si="1"/>
        <v>0</v>
      </c>
      <c r="U20" s="38">
        <v>0</v>
      </c>
      <c r="V20" s="43">
        <f t="shared" si="2"/>
        <v>0</v>
      </c>
      <c r="X20" s="38">
        <v>0</v>
      </c>
      <c r="Y20" s="43">
        <f t="shared" si="3"/>
        <v>0</v>
      </c>
      <c r="AA20" s="38">
        <v>0</v>
      </c>
      <c r="AB20" s="43">
        <f t="shared" si="4"/>
        <v>0</v>
      </c>
      <c r="AD20" s="38">
        <v>0</v>
      </c>
      <c r="AE20" s="43">
        <f t="shared" si="5"/>
        <v>0</v>
      </c>
      <c r="AG20" s="38">
        <v>0</v>
      </c>
      <c r="AH20" s="43">
        <f t="shared" si="6"/>
        <v>0</v>
      </c>
      <c r="AO20" t="s">
        <v>792</v>
      </c>
      <c r="AP20" s="244">
        <f>1-(AP18+AP19)/(AP14-AP12)</f>
        <v>0.40416869135089106</v>
      </c>
      <c r="AS20" s="258"/>
      <c r="AT20" s="258"/>
    </row>
    <row r="21" spans="3:46" x14ac:dyDescent="0.25">
      <c r="C21" s="28" t="str">
        <f>'MP Calculations'!D48</f>
        <v>2004-05</v>
      </c>
      <c r="D21" s="184">
        <f>IF(LEFT($C21,4)*1&lt;LEFT('General inputs'!$I$16,4)+'General inputs'!$H$38,SUM(G21,J21,M21,P21,S21,V21,Y21,AB21,AE21,AH21),"")</f>
        <v>4467.6838819523273</v>
      </c>
      <c r="F21" s="224"/>
      <c r="G21" s="184">
        <v>782</v>
      </c>
      <c r="I21" s="38"/>
      <c r="J21" s="184">
        <v>3685.6838819523273</v>
      </c>
      <c r="L21" s="224"/>
      <c r="M21" s="184">
        <v>0</v>
      </c>
      <c r="O21" s="38">
        <v>0</v>
      </c>
      <c r="P21" s="43">
        <f t="shared" si="0"/>
        <v>0</v>
      </c>
      <c r="R21" s="38">
        <v>0</v>
      </c>
      <c r="S21" s="43">
        <f t="shared" si="1"/>
        <v>0</v>
      </c>
      <c r="U21" s="38">
        <v>0</v>
      </c>
      <c r="V21" s="43">
        <f t="shared" si="2"/>
        <v>0</v>
      </c>
      <c r="X21" s="38">
        <v>0</v>
      </c>
      <c r="Y21" s="43">
        <f t="shared" si="3"/>
        <v>0</v>
      </c>
      <c r="AA21" s="38">
        <v>0</v>
      </c>
      <c r="AB21" s="43">
        <f t="shared" si="4"/>
        <v>0</v>
      </c>
      <c r="AD21" s="38">
        <v>0</v>
      </c>
      <c r="AE21" s="43">
        <f t="shared" si="5"/>
        <v>0</v>
      </c>
      <c r="AG21" s="38">
        <v>0</v>
      </c>
      <c r="AH21" s="43">
        <f t="shared" si="6"/>
        <v>0</v>
      </c>
      <c r="AO21" t="s">
        <v>89</v>
      </c>
      <c r="AP21" s="244">
        <f>1-AP19/(AP14-AP12)</f>
        <v>0.71056941388834605</v>
      </c>
      <c r="AS21" s="258"/>
      <c r="AT21" s="258"/>
    </row>
    <row r="22" spans="3:46" x14ac:dyDescent="0.25">
      <c r="C22" s="28" t="str">
        <f>'MP Calculations'!D49</f>
        <v>2005-06</v>
      </c>
      <c r="D22" s="184">
        <f>IF(LEFT($C22,4)*1&lt;LEFT('General inputs'!$I$16,4)+'General inputs'!$H$38,SUM(G22,J22,M22,P22,S22,V22,Y22,AB22,AE22,AH22),"")</f>
        <v>3469.2451759364362</v>
      </c>
      <c r="F22" s="224"/>
      <c r="G22" s="184">
        <v>580</v>
      </c>
      <c r="I22" s="38"/>
      <c r="J22" s="184">
        <v>2889.2451759364362</v>
      </c>
      <c r="L22" s="224"/>
      <c r="M22" s="184">
        <v>0</v>
      </c>
      <c r="O22" s="38">
        <v>0</v>
      </c>
      <c r="P22" s="43">
        <f t="shared" si="0"/>
        <v>0</v>
      </c>
      <c r="R22" s="38">
        <v>0</v>
      </c>
      <c r="S22" s="43">
        <f t="shared" si="1"/>
        <v>0</v>
      </c>
      <c r="U22" s="38">
        <v>0</v>
      </c>
      <c r="V22" s="43">
        <f t="shared" si="2"/>
        <v>0</v>
      </c>
      <c r="X22" s="38">
        <v>0</v>
      </c>
      <c r="Y22" s="43">
        <f t="shared" si="3"/>
        <v>0</v>
      </c>
      <c r="AA22" s="38">
        <v>0</v>
      </c>
      <c r="AB22" s="43">
        <f t="shared" si="4"/>
        <v>0</v>
      </c>
      <c r="AD22" s="38">
        <v>0</v>
      </c>
      <c r="AE22" s="43">
        <f t="shared" si="5"/>
        <v>0</v>
      </c>
      <c r="AG22" s="38">
        <v>0</v>
      </c>
      <c r="AH22" s="43">
        <f t="shared" si="6"/>
        <v>0</v>
      </c>
      <c r="AS22" s="258"/>
      <c r="AT22" s="258"/>
    </row>
    <row r="23" spans="3:46" x14ac:dyDescent="0.25">
      <c r="C23" s="28" t="str">
        <f>'MP Calculations'!D50</f>
        <v>2006-07</v>
      </c>
      <c r="D23" s="184">
        <f>IF(LEFT($C23,4)*1&lt;LEFT('General inputs'!$I$16,4)+'General inputs'!$H$38,SUM(G23,J23,M23,P23,S23,V23,Y23,AB23,AE23,AH23),"")</f>
        <v>3042.0471055618618</v>
      </c>
      <c r="F23" s="224"/>
      <c r="G23" s="184">
        <v>701</v>
      </c>
      <c r="I23" s="38"/>
      <c r="J23" s="184">
        <v>2341.0471055618618</v>
      </c>
      <c r="L23" s="224"/>
      <c r="M23" s="184">
        <v>0</v>
      </c>
      <c r="O23" s="38">
        <v>0</v>
      </c>
      <c r="P23" s="43">
        <f t="shared" si="0"/>
        <v>0</v>
      </c>
      <c r="R23" s="38">
        <v>0</v>
      </c>
      <c r="S23" s="43">
        <f t="shared" si="1"/>
        <v>0</v>
      </c>
      <c r="U23" s="38">
        <v>0</v>
      </c>
      <c r="V23" s="43">
        <f t="shared" si="2"/>
        <v>0</v>
      </c>
      <c r="X23" s="38">
        <v>0</v>
      </c>
      <c r="Y23" s="43">
        <f t="shared" si="3"/>
        <v>0</v>
      </c>
      <c r="AA23" s="38">
        <v>0</v>
      </c>
      <c r="AB23" s="43">
        <f t="shared" si="4"/>
        <v>0</v>
      </c>
      <c r="AD23" s="38">
        <v>0</v>
      </c>
      <c r="AE23" s="43">
        <f t="shared" si="5"/>
        <v>0</v>
      </c>
      <c r="AG23" s="38">
        <v>0</v>
      </c>
      <c r="AH23" s="43">
        <f t="shared" si="6"/>
        <v>0</v>
      </c>
      <c r="AS23" s="258"/>
      <c r="AT23" s="258"/>
    </row>
    <row r="24" spans="3:46" x14ac:dyDescent="0.25">
      <c r="C24" s="28" t="str">
        <f>'MP Calculations'!D51</f>
        <v>2007-08</v>
      </c>
      <c r="D24" s="184">
        <f>IF(LEFT($C24,4)*1&lt;LEFT('General inputs'!$I$16,4)+'General inputs'!$H$38,SUM(G24,J24,M24,P24,S24,V24,Y24,AB24,AE24,AH24),"")</f>
        <v>2814.9194097616346</v>
      </c>
      <c r="F24" s="224"/>
      <c r="G24" s="184">
        <v>789</v>
      </c>
      <c r="I24" s="38"/>
      <c r="J24" s="184">
        <v>2025.9194097616348</v>
      </c>
      <c r="L24" s="224"/>
      <c r="M24" s="184">
        <v>0</v>
      </c>
      <c r="O24" s="38">
        <v>0</v>
      </c>
      <c r="P24" s="43">
        <f t="shared" si="0"/>
        <v>0</v>
      </c>
      <c r="R24" s="38">
        <v>0</v>
      </c>
      <c r="S24" s="43">
        <f t="shared" si="1"/>
        <v>0</v>
      </c>
      <c r="U24" s="38">
        <v>0</v>
      </c>
      <c r="V24" s="43">
        <f t="shared" si="2"/>
        <v>0</v>
      </c>
      <c r="X24" s="38">
        <v>0</v>
      </c>
      <c r="Y24" s="43">
        <f t="shared" si="3"/>
        <v>0</v>
      </c>
      <c r="AA24" s="38">
        <v>0</v>
      </c>
      <c r="AB24" s="43">
        <f t="shared" si="4"/>
        <v>0</v>
      </c>
      <c r="AD24" s="38">
        <v>0</v>
      </c>
      <c r="AE24" s="43">
        <f t="shared" si="5"/>
        <v>0</v>
      </c>
      <c r="AG24" s="38">
        <v>0</v>
      </c>
      <c r="AH24" s="43">
        <f t="shared" si="6"/>
        <v>0</v>
      </c>
      <c r="AS24" s="258"/>
      <c r="AT24" s="258"/>
    </row>
    <row r="25" spans="3:46" x14ac:dyDescent="0.25">
      <c r="C25" s="28" t="str">
        <f>'MP Calculations'!D52</f>
        <v>2008-09</v>
      </c>
      <c r="D25" s="184">
        <f>IF(LEFT($C25,4)*1&lt;LEFT('General inputs'!$I$16,4)+'General inputs'!$H$38,SUM(G25,J25,M25,P25,S25,V25,Y25,AB25,AE25,AH25),"")</f>
        <v>4621.7728698421124</v>
      </c>
      <c r="F25" s="224"/>
      <c r="G25" s="184">
        <v>1146</v>
      </c>
      <c r="I25" s="38"/>
      <c r="J25" s="184">
        <v>2911.3110102156643</v>
      </c>
      <c r="L25" s="224"/>
      <c r="M25" s="184">
        <v>564.46185962644813</v>
      </c>
      <c r="O25" s="38">
        <v>0</v>
      </c>
      <c r="P25" s="43">
        <f t="shared" si="0"/>
        <v>0</v>
      </c>
      <c r="R25" s="38">
        <v>0</v>
      </c>
      <c r="S25" s="43">
        <f t="shared" si="1"/>
        <v>0</v>
      </c>
      <c r="U25" s="38">
        <v>0</v>
      </c>
      <c r="V25" s="43">
        <f t="shared" si="2"/>
        <v>0</v>
      </c>
      <c r="X25" s="38">
        <v>0</v>
      </c>
      <c r="Y25" s="43">
        <f t="shared" si="3"/>
        <v>0</v>
      </c>
      <c r="AA25" s="38">
        <v>0</v>
      </c>
      <c r="AB25" s="43">
        <f t="shared" si="4"/>
        <v>0</v>
      </c>
      <c r="AD25" s="38">
        <v>0</v>
      </c>
      <c r="AE25" s="43">
        <f t="shared" si="5"/>
        <v>0</v>
      </c>
      <c r="AG25" s="38">
        <v>0</v>
      </c>
      <c r="AH25" s="43">
        <f t="shared" si="6"/>
        <v>0</v>
      </c>
      <c r="AS25" s="258"/>
      <c r="AT25" s="258"/>
    </row>
    <row r="26" spans="3:46" x14ac:dyDescent="0.25">
      <c r="C26" s="28" t="str">
        <f>'MP Calculations'!D53</f>
        <v>2009-10</v>
      </c>
      <c r="D26" s="184">
        <f>IF(LEFT($C26,4)*1&lt;LEFT('General inputs'!$I$16,4)+'General inputs'!$H$38,SUM(G26,J26,M26,P26,S26,V26,Y26,AB26,AE26,AH26),"")</f>
        <v>8056.9316153614727</v>
      </c>
      <c r="F26" s="224"/>
      <c r="G26" s="184">
        <v>979</v>
      </c>
      <c r="I26" s="38"/>
      <c r="J26" s="184">
        <v>2327.9455164585702</v>
      </c>
      <c r="L26" s="224"/>
      <c r="M26" s="184">
        <v>4749.986098902903</v>
      </c>
      <c r="O26" s="38">
        <v>0</v>
      </c>
      <c r="P26" s="43">
        <f t="shared" si="0"/>
        <v>0</v>
      </c>
      <c r="R26" s="38">
        <v>0</v>
      </c>
      <c r="S26" s="43">
        <f t="shared" si="1"/>
        <v>0</v>
      </c>
      <c r="U26" s="38">
        <v>0</v>
      </c>
      <c r="V26" s="43">
        <f t="shared" si="2"/>
        <v>0</v>
      </c>
      <c r="X26" s="38">
        <v>0</v>
      </c>
      <c r="Y26" s="43">
        <f t="shared" si="3"/>
        <v>0</v>
      </c>
      <c r="AA26" s="38">
        <v>0</v>
      </c>
      <c r="AB26" s="43">
        <f t="shared" si="4"/>
        <v>0</v>
      </c>
      <c r="AD26" s="38">
        <v>0</v>
      </c>
      <c r="AE26" s="43">
        <f t="shared" si="5"/>
        <v>0</v>
      </c>
      <c r="AG26" s="38">
        <v>0</v>
      </c>
      <c r="AH26" s="43">
        <f t="shared" si="6"/>
        <v>0</v>
      </c>
      <c r="AS26" s="258"/>
      <c r="AT26" s="258"/>
    </row>
    <row r="27" spans="3:46" x14ac:dyDescent="0.25">
      <c r="C27" s="28" t="str">
        <f>'MP Calculations'!D54</f>
        <v>2010-11</v>
      </c>
      <c r="D27" s="184">
        <f>IF(LEFT($C27,4)*1&lt;LEFT('General inputs'!$I$16,4)+'General inputs'!$H$38,SUM(G27,J27,M27,P27,S27,V27,Y27,AB27,AE27,AH27),"")</f>
        <v>3901.1322360953463</v>
      </c>
      <c r="F27" s="224"/>
      <c r="G27" s="184">
        <v>945</v>
      </c>
      <c r="I27" s="38"/>
      <c r="J27" s="184">
        <v>2956.1322360953463</v>
      </c>
      <c r="L27" s="224"/>
      <c r="M27" s="184">
        <v>0</v>
      </c>
      <c r="O27" s="38">
        <v>0</v>
      </c>
      <c r="P27" s="43">
        <f t="shared" si="0"/>
        <v>0</v>
      </c>
      <c r="R27" s="38">
        <v>0</v>
      </c>
      <c r="S27" s="43">
        <f t="shared" si="1"/>
        <v>0</v>
      </c>
      <c r="U27" s="38">
        <v>0</v>
      </c>
      <c r="V27" s="43">
        <f t="shared" si="2"/>
        <v>0</v>
      </c>
      <c r="X27" s="38">
        <v>0</v>
      </c>
      <c r="Y27" s="43">
        <f t="shared" si="3"/>
        <v>0</v>
      </c>
      <c r="AA27" s="38">
        <v>0</v>
      </c>
      <c r="AB27" s="43">
        <f t="shared" si="4"/>
        <v>0</v>
      </c>
      <c r="AD27" s="38">
        <v>0</v>
      </c>
      <c r="AE27" s="43">
        <f t="shared" si="5"/>
        <v>0</v>
      </c>
      <c r="AG27" s="38">
        <v>0</v>
      </c>
      <c r="AH27" s="43">
        <f t="shared" si="6"/>
        <v>0</v>
      </c>
      <c r="AS27" s="258"/>
      <c r="AT27" s="258"/>
    </row>
    <row r="28" spans="3:46" x14ac:dyDescent="0.25">
      <c r="C28" s="28" t="str">
        <f>'MP Calculations'!D55</f>
        <v>2011-12</v>
      </c>
      <c r="D28" s="184">
        <f>IF(LEFT($C28,4)*1&lt;LEFT('General inputs'!$I$16,4)+'General inputs'!$H$38,SUM(G28,J28,M28,P28,S28,V28,Y28,AB28,AE28,AH28),"")</f>
        <v>4731.8467650397279</v>
      </c>
      <c r="F28" s="224"/>
      <c r="G28" s="184">
        <v>1222</v>
      </c>
      <c r="I28" s="38"/>
      <c r="J28" s="184">
        <v>3509.8467650397279</v>
      </c>
      <c r="L28" s="224"/>
      <c r="M28" s="184">
        <v>0</v>
      </c>
      <c r="O28" s="38">
        <v>0</v>
      </c>
      <c r="P28" s="43">
        <f t="shared" si="0"/>
        <v>0</v>
      </c>
      <c r="R28" s="38">
        <v>0</v>
      </c>
      <c r="S28" s="43">
        <f t="shared" si="1"/>
        <v>0</v>
      </c>
      <c r="U28" s="38">
        <v>0</v>
      </c>
      <c r="V28" s="43">
        <f t="shared" si="2"/>
        <v>0</v>
      </c>
      <c r="X28" s="38">
        <v>0</v>
      </c>
      <c r="Y28" s="43">
        <f t="shared" si="3"/>
        <v>0</v>
      </c>
      <c r="AA28" s="38">
        <v>0</v>
      </c>
      <c r="AB28" s="43">
        <f t="shared" si="4"/>
        <v>0</v>
      </c>
      <c r="AD28" s="38">
        <v>0</v>
      </c>
      <c r="AE28" s="43">
        <f t="shared" si="5"/>
        <v>0</v>
      </c>
      <c r="AG28" s="38">
        <v>0</v>
      </c>
      <c r="AH28" s="43">
        <f t="shared" si="6"/>
        <v>0</v>
      </c>
      <c r="AS28" s="258"/>
      <c r="AT28" s="258"/>
    </row>
    <row r="29" spans="3:46" x14ac:dyDescent="0.25">
      <c r="C29" s="28" t="str">
        <f>'MP Calculations'!D56</f>
        <v>2012-13</v>
      </c>
      <c r="D29" s="184">
        <f>IF(LEFT($C29,4)*1&lt;LEFT('General inputs'!$I$16,4)+'General inputs'!$H$38,SUM(G29,J29,M29,P29,S29,V29,Y29,AB29,AE29,AH29),"")</f>
        <v>6487.5661886168582</v>
      </c>
      <c r="F29" s="224"/>
      <c r="G29" s="184">
        <v>939</v>
      </c>
      <c r="I29" s="38"/>
      <c r="J29" s="184">
        <v>2313.4648127128266</v>
      </c>
      <c r="L29" s="224"/>
      <c r="M29" s="184">
        <v>3235.1013759040316</v>
      </c>
      <c r="O29" s="38">
        <v>0</v>
      </c>
      <c r="P29" s="43">
        <f t="shared" si="0"/>
        <v>0</v>
      </c>
      <c r="R29" s="38">
        <v>0</v>
      </c>
      <c r="S29" s="43">
        <f t="shared" si="1"/>
        <v>0</v>
      </c>
      <c r="U29" s="38">
        <v>0</v>
      </c>
      <c r="V29" s="43">
        <f t="shared" si="2"/>
        <v>0</v>
      </c>
      <c r="X29" s="38">
        <v>0</v>
      </c>
      <c r="Y29" s="43">
        <f t="shared" si="3"/>
        <v>0</v>
      </c>
      <c r="AA29" s="38">
        <v>0</v>
      </c>
      <c r="AB29" s="43">
        <f t="shared" si="4"/>
        <v>0</v>
      </c>
      <c r="AD29" s="38">
        <v>0</v>
      </c>
      <c r="AE29" s="43">
        <f t="shared" si="5"/>
        <v>0</v>
      </c>
      <c r="AG29" s="38">
        <v>0</v>
      </c>
      <c r="AH29" s="43">
        <f t="shared" si="6"/>
        <v>0</v>
      </c>
      <c r="AS29" s="258"/>
      <c r="AT29" s="258"/>
    </row>
    <row r="30" spans="3:46" x14ac:dyDescent="0.25">
      <c r="C30" s="28" t="str">
        <f>'MP Calculations'!D57</f>
        <v>2013-14</v>
      </c>
      <c r="D30" s="184">
        <f>IF(LEFT($C30,4)*1&lt;LEFT('General inputs'!$I$16,4)+'General inputs'!$H$38,SUM(G30,J30,M30,P30,S30,V30,Y30,AB30,AE30,AH30),"")</f>
        <v>7937.4637599880953</v>
      </c>
      <c r="F30" s="224"/>
      <c r="G30" s="184">
        <v>1164</v>
      </c>
      <c r="I30" s="38"/>
      <c r="J30" s="184">
        <v>4057.3552780930763</v>
      </c>
      <c r="L30" s="224"/>
      <c r="M30" s="184">
        <v>2716.108481895018</v>
      </c>
      <c r="O30" s="38">
        <v>0</v>
      </c>
      <c r="P30" s="43">
        <f t="shared" si="0"/>
        <v>0</v>
      </c>
      <c r="R30" s="38">
        <v>0</v>
      </c>
      <c r="S30" s="43">
        <f t="shared" si="1"/>
        <v>0</v>
      </c>
      <c r="U30" s="38">
        <v>0</v>
      </c>
      <c r="V30" s="43">
        <f t="shared" si="2"/>
        <v>0</v>
      </c>
      <c r="X30" s="38">
        <v>0</v>
      </c>
      <c r="Y30" s="43">
        <f t="shared" si="3"/>
        <v>0</v>
      </c>
      <c r="AA30" s="38">
        <v>0</v>
      </c>
      <c r="AB30" s="43">
        <f t="shared" si="4"/>
        <v>0</v>
      </c>
      <c r="AD30" s="38">
        <v>0</v>
      </c>
      <c r="AE30" s="43">
        <f t="shared" si="5"/>
        <v>0</v>
      </c>
      <c r="AG30" s="38">
        <v>0</v>
      </c>
      <c r="AH30" s="43">
        <f t="shared" si="6"/>
        <v>0</v>
      </c>
      <c r="AS30" s="258"/>
      <c r="AT30" s="258"/>
    </row>
    <row r="31" spans="3:46" x14ac:dyDescent="0.25">
      <c r="C31" s="28" t="str">
        <f>'MP Calculations'!D58</f>
        <v>2014-15</v>
      </c>
      <c r="D31" s="184">
        <f>IF(LEFT($C31,4)*1&lt;LEFT('General inputs'!$I$16,4)+'General inputs'!$H$38,SUM(G31,J31,M31,P31,S31,V31,Y31,AB31,AE31,AH31),"")</f>
        <v>4409.5891032917143</v>
      </c>
      <c r="F31" s="224"/>
      <c r="G31" s="184">
        <v>1028</v>
      </c>
      <c r="I31" s="38"/>
      <c r="J31" s="184">
        <v>3381.5891032917143</v>
      </c>
      <c r="L31" s="224"/>
      <c r="M31" s="184">
        <v>0</v>
      </c>
      <c r="O31" s="38">
        <v>0</v>
      </c>
      <c r="P31" s="43">
        <f t="shared" si="0"/>
        <v>0</v>
      </c>
      <c r="R31" s="38">
        <v>0</v>
      </c>
      <c r="S31" s="43">
        <f t="shared" si="1"/>
        <v>0</v>
      </c>
      <c r="U31" s="38">
        <v>0</v>
      </c>
      <c r="V31" s="43">
        <f t="shared" si="2"/>
        <v>0</v>
      </c>
      <c r="X31" s="38">
        <v>0</v>
      </c>
      <c r="Y31" s="43">
        <f t="shared" si="3"/>
        <v>0</v>
      </c>
      <c r="AA31" s="38">
        <v>0</v>
      </c>
      <c r="AB31" s="43">
        <f t="shared" si="4"/>
        <v>0</v>
      </c>
      <c r="AD31" s="38">
        <v>0</v>
      </c>
      <c r="AE31" s="43">
        <f t="shared" si="5"/>
        <v>0</v>
      </c>
      <c r="AG31" s="38">
        <v>0</v>
      </c>
      <c r="AH31" s="43">
        <f t="shared" si="6"/>
        <v>0</v>
      </c>
      <c r="AS31" s="258"/>
      <c r="AT31" s="258"/>
    </row>
    <row r="32" spans="3:46" x14ac:dyDescent="0.25">
      <c r="C32" s="28" t="str">
        <f>'MP Calculations'!D59</f>
        <v>2015-16</v>
      </c>
      <c r="D32" s="184">
        <f>IF(LEFT($C32,4)*1&lt;LEFT('General inputs'!$I$16,4)+'General inputs'!$H$38,SUM(G32,J32,M32,P32,S32,V32,Y32,AB32,AE32,AH32),"")</f>
        <v>7312.1974340115139</v>
      </c>
      <c r="F32" s="224"/>
      <c r="G32" s="184">
        <v>2737</v>
      </c>
      <c r="I32" s="38"/>
      <c r="J32" s="184">
        <v>2167.2786606129403</v>
      </c>
      <c r="L32" s="224"/>
      <c r="M32" s="184">
        <v>2407.9187733985732</v>
      </c>
      <c r="O32" s="38">
        <v>0</v>
      </c>
      <c r="P32" s="43">
        <f t="shared" si="0"/>
        <v>0</v>
      </c>
      <c r="R32" s="38">
        <v>0</v>
      </c>
      <c r="S32" s="43">
        <f t="shared" si="1"/>
        <v>0</v>
      </c>
      <c r="U32" s="38">
        <v>0</v>
      </c>
      <c r="V32" s="43">
        <f t="shared" si="2"/>
        <v>0</v>
      </c>
      <c r="X32" s="38">
        <v>0</v>
      </c>
      <c r="Y32" s="43">
        <f t="shared" si="3"/>
        <v>0</v>
      </c>
      <c r="AA32" s="38">
        <v>0</v>
      </c>
      <c r="AB32" s="43">
        <f t="shared" si="4"/>
        <v>0</v>
      </c>
      <c r="AD32" s="38">
        <v>0</v>
      </c>
      <c r="AE32" s="43">
        <f t="shared" si="5"/>
        <v>0</v>
      </c>
      <c r="AG32" s="38">
        <v>0</v>
      </c>
      <c r="AH32" s="43">
        <f t="shared" si="6"/>
        <v>0</v>
      </c>
      <c r="AS32" s="258"/>
      <c r="AT32" s="258"/>
    </row>
    <row r="33" spans="3:46" x14ac:dyDescent="0.25">
      <c r="C33" s="28" t="str">
        <f>'MP Calculations'!D60</f>
        <v>2016-17</v>
      </c>
      <c r="D33" s="184">
        <f>IF(LEFT($C33,4)*1&lt;LEFT('General inputs'!$I$16,4)+'General inputs'!$H$38,SUM(G33,J33,M33,P33,S33,V33,Y33,AB33,AE33,AH33),"")</f>
        <v>13270.929993459547</v>
      </c>
      <c r="F33" s="224"/>
      <c r="G33" s="184">
        <v>1942</v>
      </c>
      <c r="I33" s="38"/>
      <c r="J33" s="184">
        <v>6731.4585698070387</v>
      </c>
      <c r="L33" s="224"/>
      <c r="M33" s="184">
        <v>4597.4714236525097</v>
      </c>
      <c r="O33" s="38">
        <v>0</v>
      </c>
      <c r="P33" s="43">
        <f t="shared" si="0"/>
        <v>0</v>
      </c>
      <c r="R33" s="38">
        <v>0</v>
      </c>
      <c r="S33" s="43">
        <f t="shared" si="1"/>
        <v>0</v>
      </c>
      <c r="U33" s="38">
        <v>0</v>
      </c>
      <c r="V33" s="43">
        <f t="shared" si="2"/>
        <v>0</v>
      </c>
      <c r="X33" s="38">
        <v>0</v>
      </c>
      <c r="Y33" s="43">
        <f t="shared" si="3"/>
        <v>0</v>
      </c>
      <c r="AA33" s="38">
        <v>0</v>
      </c>
      <c r="AB33" s="43">
        <f t="shared" si="4"/>
        <v>0</v>
      </c>
      <c r="AD33" s="38">
        <v>0</v>
      </c>
      <c r="AE33" s="43">
        <f t="shared" si="5"/>
        <v>0</v>
      </c>
      <c r="AG33" s="38">
        <v>0</v>
      </c>
      <c r="AH33" s="43">
        <f t="shared" si="6"/>
        <v>0</v>
      </c>
      <c r="AS33" s="258"/>
      <c r="AT33" s="258"/>
    </row>
    <row r="34" spans="3:46" x14ac:dyDescent="0.25">
      <c r="C34" s="28" t="str">
        <f>'MP Calculations'!D61</f>
        <v>2017-18</v>
      </c>
      <c r="D34" s="184">
        <f>IF(LEFT($C34,4)*1&lt;LEFT('General inputs'!$I$16,4)+'General inputs'!$H$38,SUM(G34,J34,M34,P34,S34,V34,Y34,AB34,AE34,AH34),"")</f>
        <v>13141.492732214025</v>
      </c>
      <c r="F34" s="224"/>
      <c r="G34" s="184">
        <v>728</v>
      </c>
      <c r="I34" s="38"/>
      <c r="J34" s="184">
        <v>6590.7888762769589</v>
      </c>
      <c r="L34" s="224"/>
      <c r="M34" s="184">
        <v>5822.7038559370658</v>
      </c>
      <c r="O34" s="38">
        <v>0</v>
      </c>
      <c r="P34" s="43">
        <f t="shared" si="0"/>
        <v>0</v>
      </c>
      <c r="R34" s="38">
        <v>0</v>
      </c>
      <c r="S34" s="43">
        <f t="shared" si="1"/>
        <v>0</v>
      </c>
      <c r="U34" s="38">
        <v>0</v>
      </c>
      <c r="V34" s="43">
        <f t="shared" si="2"/>
        <v>0</v>
      </c>
      <c r="X34" s="38">
        <v>0</v>
      </c>
      <c r="Y34" s="43">
        <f t="shared" si="3"/>
        <v>0</v>
      </c>
      <c r="AA34" s="38">
        <v>0</v>
      </c>
      <c r="AB34" s="43">
        <f t="shared" si="4"/>
        <v>0</v>
      </c>
      <c r="AD34" s="38">
        <v>0</v>
      </c>
      <c r="AE34" s="43">
        <f t="shared" si="5"/>
        <v>0</v>
      </c>
      <c r="AG34" s="38">
        <v>0</v>
      </c>
      <c r="AH34" s="43">
        <f t="shared" si="6"/>
        <v>0</v>
      </c>
      <c r="AS34" s="258"/>
      <c r="AT34" s="258"/>
    </row>
    <row r="35" spans="3:46" x14ac:dyDescent="0.25">
      <c r="C35" s="28" t="str">
        <f>'MP Calculations'!D62</f>
        <v>2018-19</v>
      </c>
      <c r="D35" s="184">
        <f>IF(LEFT($C35,4)*1&lt;LEFT('General inputs'!$I$16,4)+'General inputs'!$H$38,SUM(G35,J35,M35,P35,S35,V35,Y35,AB35,AE35,AH35),"")</f>
        <v>7610.620885357549</v>
      </c>
      <c r="F35" s="224"/>
      <c r="G35" s="184">
        <v>322</v>
      </c>
      <c r="I35" s="38"/>
      <c r="J35" s="184">
        <v>7288.620885357549</v>
      </c>
      <c r="L35" s="224"/>
      <c r="M35" s="184">
        <v>0</v>
      </c>
      <c r="O35" s="38">
        <v>0</v>
      </c>
      <c r="P35" s="43">
        <f t="shared" si="0"/>
        <v>0</v>
      </c>
      <c r="R35" s="38">
        <v>0</v>
      </c>
      <c r="S35" s="43">
        <f t="shared" si="1"/>
        <v>0</v>
      </c>
      <c r="U35" s="38">
        <v>0</v>
      </c>
      <c r="V35" s="43">
        <f t="shared" si="2"/>
        <v>0</v>
      </c>
      <c r="X35" s="38">
        <v>0</v>
      </c>
      <c r="Y35" s="43">
        <f t="shared" si="3"/>
        <v>0</v>
      </c>
      <c r="AA35" s="38">
        <v>0</v>
      </c>
      <c r="AB35" s="43">
        <f t="shared" si="4"/>
        <v>0</v>
      </c>
      <c r="AD35" s="38">
        <v>0</v>
      </c>
      <c r="AE35" s="43">
        <f t="shared" si="5"/>
        <v>0</v>
      </c>
      <c r="AG35" s="38">
        <v>0</v>
      </c>
      <c r="AH35" s="43">
        <f t="shared" si="6"/>
        <v>0</v>
      </c>
      <c r="AS35" s="258"/>
      <c r="AT35" s="258"/>
    </row>
    <row r="36" spans="3:46" x14ac:dyDescent="0.25">
      <c r="C36" s="28" t="str">
        <f>'MP Calculations'!D63</f>
        <v>2019-20</v>
      </c>
      <c r="D36" s="184">
        <f>IF(LEFT($C36,4)*1&lt;LEFT('General inputs'!$I$16,4)+'General inputs'!$H$38,SUM(G36,J36,M36,P36,S36,V36,Y36,AB36,AE36,AH36),"")</f>
        <v>5389.5800227014761</v>
      </c>
      <c r="F36" s="224"/>
      <c r="G36" s="184">
        <v>0</v>
      </c>
      <c r="I36" s="38"/>
      <c r="J36" s="184">
        <v>5389.5800227014761</v>
      </c>
      <c r="L36" s="224"/>
      <c r="M36" s="184">
        <v>0</v>
      </c>
      <c r="O36" s="38">
        <v>0</v>
      </c>
      <c r="P36" s="43">
        <f t="shared" si="0"/>
        <v>0</v>
      </c>
      <c r="R36" s="38">
        <v>0</v>
      </c>
      <c r="S36" s="43">
        <f t="shared" si="1"/>
        <v>0</v>
      </c>
      <c r="U36" s="38">
        <v>0</v>
      </c>
      <c r="V36" s="43">
        <f t="shared" si="2"/>
        <v>0</v>
      </c>
      <c r="X36" s="38">
        <v>0</v>
      </c>
      <c r="Y36" s="43">
        <f t="shared" si="3"/>
        <v>0</v>
      </c>
      <c r="AA36" s="38">
        <v>0</v>
      </c>
      <c r="AB36" s="43">
        <f t="shared" si="4"/>
        <v>0</v>
      </c>
      <c r="AD36" s="38">
        <v>0</v>
      </c>
      <c r="AE36" s="43">
        <f t="shared" si="5"/>
        <v>0</v>
      </c>
      <c r="AG36" s="38">
        <v>0</v>
      </c>
      <c r="AH36" s="43">
        <f t="shared" si="6"/>
        <v>0</v>
      </c>
      <c r="AS36" s="258"/>
      <c r="AT36" s="258"/>
    </row>
    <row r="37" spans="3:46" x14ac:dyDescent="0.25">
      <c r="C37" s="28" t="str">
        <f>'MP Calculations'!D64</f>
        <v>2020-21</v>
      </c>
      <c r="D37" s="184">
        <f>IF(LEFT($C37,4)*1&lt;LEFT('General inputs'!$I$16,4)+'General inputs'!$H$38,SUM(G37,J37,M37,P37,S37,V37,Y37,AB37,AE37,AH37),"")</f>
        <v>5422.6578086788995</v>
      </c>
      <c r="F37" s="224"/>
      <c r="G37" s="184">
        <v>784</v>
      </c>
      <c r="I37" s="38"/>
      <c r="J37" s="184">
        <v>3336.0783200908063</v>
      </c>
      <c r="L37" s="224"/>
      <c r="M37" s="184">
        <v>1302.5794885880932</v>
      </c>
      <c r="O37" s="38">
        <v>0</v>
      </c>
      <c r="P37" s="43">
        <f t="shared" si="0"/>
        <v>0</v>
      </c>
      <c r="R37" s="38">
        <v>0</v>
      </c>
      <c r="S37" s="43">
        <f t="shared" si="1"/>
        <v>0</v>
      </c>
      <c r="U37" s="38">
        <v>0</v>
      </c>
      <c r="V37" s="43">
        <f t="shared" si="2"/>
        <v>0</v>
      </c>
      <c r="X37" s="38">
        <v>0</v>
      </c>
      <c r="Y37" s="43">
        <f t="shared" si="3"/>
        <v>0</v>
      </c>
      <c r="AA37" s="38">
        <v>0</v>
      </c>
      <c r="AB37" s="43">
        <f t="shared" si="4"/>
        <v>0</v>
      </c>
      <c r="AD37" s="38">
        <v>0</v>
      </c>
      <c r="AE37" s="43">
        <f t="shared" si="5"/>
        <v>0</v>
      </c>
      <c r="AG37" s="38">
        <v>0</v>
      </c>
      <c r="AH37" s="43">
        <f t="shared" si="6"/>
        <v>0</v>
      </c>
      <c r="AS37" s="258"/>
      <c r="AT37" s="258"/>
    </row>
    <row r="38" spans="3:46" x14ac:dyDescent="0.25">
      <c r="C38" s="232" t="str">
        <f>'MP Calculations'!D65</f>
        <v>2021-22</v>
      </c>
      <c r="D38" s="233">
        <f>IF(LEFT($C38,4)*1&lt;LEFT('General inputs'!$I$16,4)+'General inputs'!$H$38,SUM(G38,J38,M38,P38,S38,V38,Y38,AB38,AE38,AH38),"")</f>
        <v>3700.9909194097618</v>
      </c>
      <c r="E38" s="41"/>
      <c r="F38" s="234"/>
      <c r="G38" s="233">
        <v>478</v>
      </c>
      <c r="H38" s="41"/>
      <c r="I38" s="242"/>
      <c r="J38" s="233">
        <v>3222.9909194097618</v>
      </c>
      <c r="K38" s="41"/>
      <c r="L38" s="234"/>
      <c r="M38" s="233">
        <v>0</v>
      </c>
      <c r="O38" s="38">
        <v>0</v>
      </c>
      <c r="P38" s="43">
        <f t="shared" si="0"/>
        <v>0</v>
      </c>
      <c r="R38" s="38">
        <v>0</v>
      </c>
      <c r="S38" s="43">
        <f t="shared" si="1"/>
        <v>0</v>
      </c>
      <c r="U38" s="38">
        <v>0</v>
      </c>
      <c r="V38" s="43">
        <f t="shared" si="2"/>
        <v>0</v>
      </c>
      <c r="X38" s="38">
        <v>0</v>
      </c>
      <c r="Y38" s="43">
        <f t="shared" si="3"/>
        <v>0</v>
      </c>
      <c r="AA38" s="38">
        <v>0</v>
      </c>
      <c r="AB38" s="43">
        <f t="shared" si="4"/>
        <v>0</v>
      </c>
      <c r="AD38" s="38">
        <v>0</v>
      </c>
      <c r="AE38" s="43">
        <f t="shared" si="5"/>
        <v>0</v>
      </c>
      <c r="AG38" s="38">
        <v>0</v>
      </c>
      <c r="AH38" s="43">
        <f t="shared" si="6"/>
        <v>0</v>
      </c>
      <c r="AS38" s="258"/>
      <c r="AT38" s="258"/>
    </row>
    <row r="39" spans="3:46" x14ac:dyDescent="0.25">
      <c r="C39" s="28" t="str">
        <f>'MP Calculations'!D66</f>
        <v>2022-23</v>
      </c>
      <c r="D39" s="184">
        <f>IF(LEFT($C39,4)*1&lt;LEFT('General inputs'!$I$16,4)+'General inputs'!$H$38,SUM(G39,J39,M39,P39,S39,V39,Y39,AB39,AE39,AH39),"")</f>
        <v>7870.6031596088396</v>
      </c>
      <c r="F39" s="224"/>
      <c r="G39" s="235">
        <v>955.23471024664127</v>
      </c>
      <c r="I39" s="38"/>
      <c r="J39" s="235">
        <v>4569.0336943876946</v>
      </c>
      <c r="L39" s="224"/>
      <c r="M39" s="235">
        <v>2346.334754974504</v>
      </c>
      <c r="O39" s="38">
        <v>0</v>
      </c>
      <c r="P39" s="43">
        <f t="shared" si="0"/>
        <v>0</v>
      </c>
      <c r="R39" s="38">
        <v>0</v>
      </c>
      <c r="S39" s="43">
        <f t="shared" si="1"/>
        <v>0</v>
      </c>
      <c r="U39" s="38">
        <v>0</v>
      </c>
      <c r="V39" s="43">
        <f t="shared" si="2"/>
        <v>0</v>
      </c>
      <c r="X39" s="38">
        <v>0</v>
      </c>
      <c r="Y39" s="43">
        <f t="shared" si="3"/>
        <v>0</v>
      </c>
      <c r="AA39" s="38">
        <v>0</v>
      </c>
      <c r="AB39" s="43">
        <f t="shared" si="4"/>
        <v>0</v>
      </c>
      <c r="AD39" s="38">
        <v>0</v>
      </c>
      <c r="AE39" s="43">
        <f t="shared" si="5"/>
        <v>0</v>
      </c>
      <c r="AG39" s="38">
        <v>0</v>
      </c>
      <c r="AH39" s="43">
        <f t="shared" si="6"/>
        <v>0</v>
      </c>
      <c r="AS39" s="258"/>
      <c r="AT39" s="258"/>
    </row>
    <row r="40" spans="3:46" x14ac:dyDescent="0.25">
      <c r="C40" s="28" t="str">
        <f>'MP Calculations'!D67</f>
        <v>2023-24</v>
      </c>
      <c r="D40" s="184">
        <f>IF(LEFT($C40,4)*1&lt;LEFT('General inputs'!$I$16,4)+'General inputs'!$H$38,SUM(G40,J40,M40,P40,S40,V40,Y40,AB40,AE40,AH40),"")</f>
        <v>8270.4856403382146</v>
      </c>
      <c r="F40" s="224"/>
      <c r="G40" s="235">
        <v>1377.1532484459594</v>
      </c>
      <c r="I40" s="38"/>
      <c r="J40" s="235">
        <v>4474.4384566695171</v>
      </c>
      <c r="L40" s="224"/>
      <c r="M40" s="235">
        <v>2418.8939352227389</v>
      </c>
      <c r="O40" s="38">
        <v>0</v>
      </c>
      <c r="P40" s="43">
        <f t="shared" si="0"/>
        <v>0</v>
      </c>
      <c r="R40" s="38">
        <v>0</v>
      </c>
      <c r="S40" s="43">
        <f t="shared" si="1"/>
        <v>0</v>
      </c>
      <c r="U40" s="38">
        <v>0</v>
      </c>
      <c r="V40" s="43">
        <f t="shared" si="2"/>
        <v>0</v>
      </c>
      <c r="X40" s="38">
        <v>0</v>
      </c>
      <c r="Y40" s="43">
        <f t="shared" si="3"/>
        <v>0</v>
      </c>
      <c r="AA40" s="38">
        <v>0</v>
      </c>
      <c r="AB40" s="43">
        <f t="shared" si="4"/>
        <v>0</v>
      </c>
      <c r="AD40" s="38">
        <v>0</v>
      </c>
      <c r="AE40" s="43">
        <f t="shared" si="5"/>
        <v>0</v>
      </c>
      <c r="AG40" s="38">
        <v>0</v>
      </c>
      <c r="AH40" s="43">
        <f t="shared" si="6"/>
        <v>0</v>
      </c>
      <c r="AS40" s="258"/>
      <c r="AT40" s="258"/>
    </row>
    <row r="41" spans="3:46" x14ac:dyDescent="0.25">
      <c r="C41" s="28" t="str">
        <f>'MP Calculations'!D68</f>
        <v>2024-25</v>
      </c>
      <c r="D41" s="184">
        <f>IF(LEFT($C41,4)*1&lt;LEFT('General inputs'!$I$16,4)+'General inputs'!$H$38,SUM(G41,J41,M41,P41,S41,V41,Y41,AB41,AE41,AH41),"")</f>
        <v>9539.4680268355987</v>
      </c>
      <c r="F41" s="224"/>
      <c r="G41" s="235">
        <v>1361.8360737918588</v>
      </c>
      <c r="I41" s="38"/>
      <c r="J41" s="235">
        <v>5359.2806360333489</v>
      </c>
      <c r="L41" s="224"/>
      <c r="M41" s="235">
        <v>2818.3513170103902</v>
      </c>
      <c r="O41" s="38">
        <v>0</v>
      </c>
      <c r="P41" s="43">
        <f t="shared" si="0"/>
        <v>0</v>
      </c>
      <c r="R41" s="38">
        <v>0</v>
      </c>
      <c r="S41" s="43">
        <f t="shared" si="1"/>
        <v>0</v>
      </c>
      <c r="U41" s="38">
        <v>0</v>
      </c>
      <c r="V41" s="43">
        <f t="shared" si="2"/>
        <v>0</v>
      </c>
      <c r="X41" s="38">
        <v>0</v>
      </c>
      <c r="Y41" s="43">
        <f t="shared" si="3"/>
        <v>0</v>
      </c>
      <c r="AA41" s="38">
        <v>0</v>
      </c>
      <c r="AB41" s="43">
        <f t="shared" si="4"/>
        <v>0</v>
      </c>
      <c r="AD41" s="38">
        <v>0</v>
      </c>
      <c r="AE41" s="43">
        <f t="shared" si="5"/>
        <v>0</v>
      </c>
      <c r="AG41" s="38">
        <v>0</v>
      </c>
      <c r="AH41" s="43">
        <f t="shared" si="6"/>
        <v>0</v>
      </c>
      <c r="AS41" s="258"/>
      <c r="AT41" s="258"/>
    </row>
    <row r="42" spans="3:46" x14ac:dyDescent="0.25">
      <c r="C42" s="28" t="str">
        <f>'MP Calculations'!D69</f>
        <v>2025-26</v>
      </c>
      <c r="D42" s="184">
        <f>IF(LEFT($C42,4)*1&lt;LEFT('General inputs'!$I$16,4)+'General inputs'!$H$38,SUM(G42,J42,M42,P42,S42,V42,Y42,AB42,AE42,AH42),"")</f>
        <v>10698.730529318895</v>
      </c>
      <c r="F42" s="224"/>
      <c r="G42" s="235">
        <v>1832.4910767996791</v>
      </c>
      <c r="I42" s="38"/>
      <c r="J42" s="235">
        <v>5743.5214688885981</v>
      </c>
      <c r="L42" s="224"/>
      <c r="M42" s="235">
        <v>3122.7179836306177</v>
      </c>
      <c r="O42" s="38">
        <v>0</v>
      </c>
      <c r="P42" s="43">
        <f t="shared" si="0"/>
        <v>0</v>
      </c>
      <c r="R42" s="38">
        <v>0</v>
      </c>
      <c r="S42" s="43">
        <f t="shared" si="1"/>
        <v>0</v>
      </c>
      <c r="U42" s="38">
        <v>0</v>
      </c>
      <c r="V42" s="43">
        <f t="shared" si="2"/>
        <v>0</v>
      </c>
      <c r="X42" s="38">
        <v>0</v>
      </c>
      <c r="Y42" s="43">
        <f t="shared" si="3"/>
        <v>0</v>
      </c>
      <c r="AA42" s="38">
        <v>0</v>
      </c>
      <c r="AB42" s="43">
        <f t="shared" si="4"/>
        <v>0</v>
      </c>
      <c r="AD42" s="38">
        <v>0</v>
      </c>
      <c r="AE42" s="43">
        <f t="shared" si="5"/>
        <v>0</v>
      </c>
      <c r="AG42" s="38">
        <v>0</v>
      </c>
      <c r="AH42" s="43">
        <f t="shared" si="6"/>
        <v>0</v>
      </c>
      <c r="AS42" s="258"/>
      <c r="AT42" s="258"/>
    </row>
    <row r="43" spans="3:46" x14ac:dyDescent="0.25">
      <c r="C43" s="28" t="str">
        <f>'MP Calculations'!D70</f>
        <v>2026-27</v>
      </c>
      <c r="D43" s="184">
        <f>IF(LEFT($C43,4)*1&lt;LEFT('General inputs'!$I$16,4)+'General inputs'!$H$38,SUM(G43,J43,M43,P43,S43,V43,Y43,AB43,AE43,AH43),"")</f>
        <v>11636.017090373083</v>
      </c>
      <c r="F43" s="224"/>
      <c r="G43" s="235">
        <v>1679.3193302586726</v>
      </c>
      <c r="I43" s="38"/>
      <c r="J43" s="235">
        <v>6521.2115205716646</v>
      </c>
      <c r="L43" s="224"/>
      <c r="M43" s="235">
        <v>3435.4862395427472</v>
      </c>
      <c r="O43" s="38">
        <v>0</v>
      </c>
      <c r="P43" s="43">
        <f t="shared" si="0"/>
        <v>0</v>
      </c>
      <c r="R43" s="38">
        <v>0</v>
      </c>
      <c r="S43" s="43">
        <f t="shared" si="1"/>
        <v>0</v>
      </c>
      <c r="U43" s="38">
        <v>0</v>
      </c>
      <c r="V43" s="43">
        <f t="shared" si="2"/>
        <v>0</v>
      </c>
      <c r="X43" s="38">
        <v>0</v>
      </c>
      <c r="Y43" s="43">
        <f t="shared" si="3"/>
        <v>0</v>
      </c>
      <c r="AA43" s="38">
        <v>0</v>
      </c>
      <c r="AB43" s="43">
        <f t="shared" si="4"/>
        <v>0</v>
      </c>
      <c r="AD43" s="38">
        <v>0</v>
      </c>
      <c r="AE43" s="43">
        <f t="shared" si="5"/>
        <v>0</v>
      </c>
      <c r="AG43" s="38">
        <v>0</v>
      </c>
      <c r="AH43" s="43">
        <f t="shared" si="6"/>
        <v>0</v>
      </c>
      <c r="AS43" s="258"/>
      <c r="AT43" s="258"/>
    </row>
    <row r="44" spans="3:46" x14ac:dyDescent="0.25">
      <c r="C44" s="28" t="str">
        <f>'MP Calculations'!D71</f>
        <v>2027-28</v>
      </c>
      <c r="D44" s="184">
        <f>IF(LEFT($C44,4)*1&lt;LEFT('General inputs'!$I$16,4)+'General inputs'!$H$38,SUM(G44,J44,M44,P44,S44,V44,Y44,AB44,AE44,AH44),"")</f>
        <v>10087.819817041765</v>
      </c>
      <c r="F44" s="224"/>
      <c r="G44" s="235">
        <v>1132.078453980349</v>
      </c>
      <c r="I44" s="38"/>
      <c r="J44" s="235">
        <v>5936.897574312482</v>
      </c>
      <c r="L44" s="224"/>
      <c r="M44" s="235">
        <v>3018.843788748934</v>
      </c>
      <c r="O44" s="38">
        <v>0</v>
      </c>
      <c r="P44" s="43">
        <f t="shared" si="0"/>
        <v>0</v>
      </c>
      <c r="R44" s="38">
        <v>0</v>
      </c>
      <c r="S44" s="43">
        <f t="shared" si="1"/>
        <v>0</v>
      </c>
      <c r="U44" s="38">
        <v>0</v>
      </c>
      <c r="V44" s="43">
        <f t="shared" si="2"/>
        <v>0</v>
      </c>
      <c r="X44" s="38">
        <v>0</v>
      </c>
      <c r="Y44" s="43">
        <f t="shared" si="3"/>
        <v>0</v>
      </c>
      <c r="AA44" s="38">
        <v>0</v>
      </c>
      <c r="AB44" s="43">
        <f t="shared" si="4"/>
        <v>0</v>
      </c>
      <c r="AD44" s="38">
        <v>0</v>
      </c>
      <c r="AE44" s="43">
        <f t="shared" si="5"/>
        <v>0</v>
      </c>
      <c r="AG44" s="38">
        <v>0</v>
      </c>
      <c r="AH44" s="43">
        <f t="shared" si="6"/>
        <v>0</v>
      </c>
      <c r="AS44" s="258"/>
      <c r="AT44" s="258"/>
    </row>
    <row r="45" spans="3:46" x14ac:dyDescent="0.25">
      <c r="C45" s="28" t="str">
        <f>'MP Calculations'!D72</f>
        <v>2028-29</v>
      </c>
      <c r="D45" s="184">
        <f>IF(LEFT($C45,4)*1&lt;LEFT('General inputs'!$I$16,4)+'General inputs'!$H$38,SUM(G45,J45,M45,P45,S45,V45,Y45,AB45,AE45,AH45),"")</f>
        <v>10394.72941697737</v>
      </c>
      <c r="F45" s="224"/>
      <c r="G45" s="235">
        <v>1311.7071385602567</v>
      </c>
      <c r="I45" s="38"/>
      <c r="J45" s="235">
        <v>5990.4736381528655</v>
      </c>
      <c r="L45" s="224"/>
      <c r="M45" s="235">
        <v>3092.5486402642473</v>
      </c>
      <c r="O45" s="38">
        <v>0</v>
      </c>
      <c r="P45" s="43">
        <f t="shared" si="0"/>
        <v>0</v>
      </c>
      <c r="R45" s="38">
        <v>0</v>
      </c>
      <c r="S45" s="43">
        <f t="shared" si="1"/>
        <v>0</v>
      </c>
      <c r="U45" s="38">
        <v>0</v>
      </c>
      <c r="V45" s="43">
        <f t="shared" si="2"/>
        <v>0</v>
      </c>
      <c r="X45" s="38">
        <v>0</v>
      </c>
      <c r="Y45" s="43">
        <f t="shared" si="3"/>
        <v>0</v>
      </c>
      <c r="AA45" s="38">
        <v>0</v>
      </c>
      <c r="AB45" s="43">
        <f t="shared" si="4"/>
        <v>0</v>
      </c>
      <c r="AD45" s="38">
        <v>0</v>
      </c>
      <c r="AE45" s="43">
        <f t="shared" si="5"/>
        <v>0</v>
      </c>
      <c r="AG45" s="38">
        <v>0</v>
      </c>
      <c r="AH45" s="43">
        <f t="shared" si="6"/>
        <v>0</v>
      </c>
      <c r="AS45" s="258"/>
      <c r="AT45" s="258"/>
    </row>
    <row r="46" spans="3:46" x14ac:dyDescent="0.25">
      <c r="C46" s="28" t="str">
        <f>'MP Calculations'!D73</f>
        <v>2029-30</v>
      </c>
      <c r="D46" s="184">
        <f>IF(LEFT($C46,4)*1&lt;LEFT('General inputs'!$I$16,4)+'General inputs'!$H$38,SUM(G46,J46,M46,P46,S46,V46,Y46,AB46,AE46,AH46),"")</f>
        <v>10202.718636632908</v>
      </c>
      <c r="F46" s="224"/>
      <c r="G46" s="235">
        <v>1108.4064567876478</v>
      </c>
      <c r="I46" s="38"/>
      <c r="J46" s="235">
        <v>6036.515568015695</v>
      </c>
      <c r="L46" s="224"/>
      <c r="M46" s="235">
        <v>3057.7966118295662</v>
      </c>
      <c r="O46" s="38">
        <v>0</v>
      </c>
      <c r="P46" s="43">
        <f t="shared" si="0"/>
        <v>0</v>
      </c>
      <c r="R46" s="38">
        <v>0</v>
      </c>
      <c r="S46" s="43">
        <f t="shared" si="1"/>
        <v>0</v>
      </c>
      <c r="U46" s="38">
        <v>0</v>
      </c>
      <c r="V46" s="43">
        <f t="shared" si="2"/>
        <v>0</v>
      </c>
      <c r="X46" s="38">
        <v>0</v>
      </c>
      <c r="Y46" s="43">
        <f t="shared" si="3"/>
        <v>0</v>
      </c>
      <c r="AA46" s="38">
        <v>0</v>
      </c>
      <c r="AB46" s="43">
        <f t="shared" si="4"/>
        <v>0</v>
      </c>
      <c r="AD46" s="38">
        <v>0</v>
      </c>
      <c r="AE46" s="43">
        <f t="shared" si="5"/>
        <v>0</v>
      </c>
      <c r="AG46" s="38">
        <v>0</v>
      </c>
      <c r="AH46" s="43">
        <f t="shared" si="6"/>
        <v>0</v>
      </c>
      <c r="AS46" s="258"/>
      <c r="AT46" s="258"/>
    </row>
    <row r="47" spans="3:46" x14ac:dyDescent="0.25">
      <c r="C47" s="28" t="str">
        <f>'MP Calculations'!D74</f>
        <v>2030-31</v>
      </c>
      <c r="D47" s="184">
        <f>IF(LEFT($C47,4)*1&lt;LEFT('General inputs'!$I$16,4)+'General inputs'!$H$38,SUM(G47,J47,M47,P47,S47,V47,Y47,AB47,AE47,AH47),"")</f>
        <v>9502.7741749997622</v>
      </c>
      <c r="F47" s="224"/>
      <c r="G47" s="235">
        <v>1223.9815019049529</v>
      </c>
      <c r="I47" s="38"/>
      <c r="J47" s="235">
        <v>5454.712999749032</v>
      </c>
      <c r="L47" s="224"/>
      <c r="M47" s="235">
        <v>2824.0796733457773</v>
      </c>
      <c r="O47" s="38">
        <v>0</v>
      </c>
      <c r="P47" s="43">
        <f t="shared" si="0"/>
        <v>0</v>
      </c>
      <c r="R47" s="38">
        <v>0</v>
      </c>
      <c r="S47" s="43">
        <f t="shared" si="1"/>
        <v>0</v>
      </c>
      <c r="U47" s="38">
        <v>0</v>
      </c>
      <c r="V47" s="43">
        <f t="shared" si="2"/>
        <v>0</v>
      </c>
      <c r="X47" s="38">
        <v>0</v>
      </c>
      <c r="Y47" s="43">
        <f t="shared" si="3"/>
        <v>0</v>
      </c>
      <c r="AA47" s="38">
        <v>0</v>
      </c>
      <c r="AB47" s="43">
        <f t="shared" si="4"/>
        <v>0</v>
      </c>
      <c r="AD47" s="38">
        <v>0</v>
      </c>
      <c r="AE47" s="43">
        <f t="shared" si="5"/>
        <v>0</v>
      </c>
      <c r="AG47" s="38">
        <v>0</v>
      </c>
      <c r="AH47" s="43">
        <f t="shared" si="6"/>
        <v>0</v>
      </c>
      <c r="AS47" s="258"/>
      <c r="AT47" s="258"/>
    </row>
    <row r="48" spans="3:46" x14ac:dyDescent="0.25">
      <c r="C48" s="28" t="str">
        <f>'MP Calculations'!D75</f>
        <v>2031-32</v>
      </c>
      <c r="D48" s="184">
        <f>IF(LEFT($C48,4)*1&lt;LEFT('General inputs'!$I$16,4)+'General inputs'!$H$38,SUM(G48,J48,M48,P48,S48,V48,Y48,AB48,AE48,AH48),"")</f>
        <v>7731.2417721271395</v>
      </c>
      <c r="F48" s="224"/>
      <c r="G48" s="235">
        <v>887.00365951473827</v>
      </c>
      <c r="I48" s="38"/>
      <c r="J48" s="235">
        <v>4533.037276494937</v>
      </c>
      <c r="L48" s="224"/>
      <c r="M48" s="235">
        <v>2311.2008361174635</v>
      </c>
      <c r="O48" s="38">
        <v>0</v>
      </c>
      <c r="P48" s="43">
        <f t="shared" si="0"/>
        <v>0</v>
      </c>
      <c r="R48" s="38">
        <v>0</v>
      </c>
      <c r="S48" s="43">
        <f t="shared" si="1"/>
        <v>0</v>
      </c>
      <c r="U48" s="38">
        <v>0</v>
      </c>
      <c r="V48" s="43">
        <f t="shared" si="2"/>
        <v>0</v>
      </c>
      <c r="X48" s="38">
        <v>0</v>
      </c>
      <c r="Y48" s="43">
        <f t="shared" si="3"/>
        <v>0</v>
      </c>
      <c r="AA48" s="38">
        <v>0</v>
      </c>
      <c r="AB48" s="43">
        <f t="shared" si="4"/>
        <v>0</v>
      </c>
      <c r="AD48" s="38">
        <v>0</v>
      </c>
      <c r="AE48" s="43">
        <f t="shared" si="5"/>
        <v>0</v>
      </c>
      <c r="AG48" s="38">
        <v>0</v>
      </c>
      <c r="AH48" s="43">
        <f t="shared" si="6"/>
        <v>0</v>
      </c>
      <c r="AS48" s="258"/>
      <c r="AT48" s="258"/>
    </row>
    <row r="49" spans="3:46" x14ac:dyDescent="0.25">
      <c r="C49" s="28" t="str">
        <f>'MP Calculations'!D76</f>
        <v>2032-33</v>
      </c>
      <c r="D49" s="184">
        <f>IF(LEFT($C49,4)*1&lt;LEFT('General inputs'!$I$16,4)+'General inputs'!$H$38,SUM(G49,J49,M49,P49,S49,V49,Y49,AB49,AE49,AH49),"")</f>
        <v>8471.5632229311395</v>
      </c>
      <c r="F49" s="224"/>
      <c r="G49" s="235">
        <v>814.59519751353514</v>
      </c>
      <c r="I49" s="38"/>
      <c r="J49" s="235">
        <v>5104.7943327915282</v>
      </c>
      <c r="L49" s="224"/>
      <c r="M49" s="235">
        <v>2552.173692626076</v>
      </c>
      <c r="O49" s="38">
        <v>0</v>
      </c>
      <c r="P49" s="43">
        <f t="shared" si="0"/>
        <v>0</v>
      </c>
      <c r="R49" s="38">
        <v>0</v>
      </c>
      <c r="S49" s="43">
        <f t="shared" si="1"/>
        <v>0</v>
      </c>
      <c r="U49" s="38">
        <v>0</v>
      </c>
      <c r="V49" s="43">
        <f t="shared" si="2"/>
        <v>0</v>
      </c>
      <c r="X49" s="38">
        <v>0</v>
      </c>
      <c r="Y49" s="43">
        <f t="shared" si="3"/>
        <v>0</v>
      </c>
      <c r="AA49" s="38">
        <v>0</v>
      </c>
      <c r="AB49" s="43">
        <f t="shared" si="4"/>
        <v>0</v>
      </c>
      <c r="AD49" s="38">
        <v>0</v>
      </c>
      <c r="AE49" s="43">
        <f t="shared" si="5"/>
        <v>0</v>
      </c>
      <c r="AG49" s="38">
        <v>0</v>
      </c>
      <c r="AH49" s="43">
        <f t="shared" si="6"/>
        <v>0</v>
      </c>
      <c r="AS49" s="258"/>
      <c r="AT49" s="258"/>
    </row>
    <row r="50" spans="3:46" x14ac:dyDescent="0.25">
      <c r="C50" s="28" t="str">
        <f>'MP Calculations'!D77</f>
        <v>2033-34</v>
      </c>
      <c r="D50" s="184">
        <f>IF(LEFT($C50,4)*1&lt;LEFT('General inputs'!$I$16,4)+'General inputs'!$H$38,SUM(G50,J50,M50,P50,S50,V50,Y50,AB50,AE50,AH50),"")</f>
        <v>7855.1879313363042</v>
      </c>
      <c r="F50" s="224"/>
      <c r="G50" s="235">
        <v>818.77260878283539</v>
      </c>
      <c r="I50" s="38"/>
      <c r="J50" s="235">
        <v>4677.8600740634729</v>
      </c>
      <c r="L50" s="224"/>
      <c r="M50" s="235">
        <v>2358.5552484899958</v>
      </c>
      <c r="O50" s="38">
        <v>0</v>
      </c>
      <c r="P50" s="43">
        <f t="shared" si="0"/>
        <v>0</v>
      </c>
      <c r="R50" s="38">
        <v>0</v>
      </c>
      <c r="S50" s="43">
        <f t="shared" si="1"/>
        <v>0</v>
      </c>
      <c r="U50" s="38">
        <v>0</v>
      </c>
      <c r="V50" s="43">
        <f t="shared" si="2"/>
        <v>0</v>
      </c>
      <c r="X50" s="38">
        <v>0</v>
      </c>
      <c r="Y50" s="43">
        <f t="shared" si="3"/>
        <v>0</v>
      </c>
      <c r="AA50" s="38">
        <v>0</v>
      </c>
      <c r="AB50" s="43">
        <f t="shared" si="4"/>
        <v>0</v>
      </c>
      <c r="AD50" s="38">
        <v>0</v>
      </c>
      <c r="AE50" s="43">
        <f t="shared" si="5"/>
        <v>0</v>
      </c>
      <c r="AG50" s="38">
        <v>0</v>
      </c>
      <c r="AH50" s="43">
        <f t="shared" si="6"/>
        <v>0</v>
      </c>
      <c r="AS50" s="258"/>
      <c r="AT50" s="258"/>
    </row>
    <row r="51" spans="3:46" x14ac:dyDescent="0.25">
      <c r="C51" s="28" t="str">
        <f>'MP Calculations'!D78</f>
        <v>2034-35</v>
      </c>
      <c r="D51" s="184">
        <f>IF(LEFT($C51,4)*1&lt;LEFT('General inputs'!$I$16,4)+'General inputs'!$H$38,SUM(G51,J51,M51,P51,S51,V51,Y51,AB51,AE51,AH51),"")</f>
        <v>8289.4553463498996</v>
      </c>
      <c r="F51" s="224"/>
      <c r="G51" s="235">
        <v>779.7834369360337</v>
      </c>
      <c r="I51" s="38"/>
      <c r="J51" s="235">
        <v>5010.1990950733507</v>
      </c>
      <c r="L51" s="224"/>
      <c r="M51" s="235">
        <v>2499.4728143405159</v>
      </c>
      <c r="O51" s="38">
        <v>0</v>
      </c>
      <c r="P51" s="43">
        <f t="shared" si="0"/>
        <v>0</v>
      </c>
      <c r="R51" s="38">
        <v>0</v>
      </c>
      <c r="S51" s="43">
        <f t="shared" si="1"/>
        <v>0</v>
      </c>
      <c r="U51" s="38">
        <v>0</v>
      </c>
      <c r="V51" s="43">
        <f t="shared" si="2"/>
        <v>0</v>
      </c>
      <c r="X51" s="38">
        <v>0</v>
      </c>
      <c r="Y51" s="43">
        <f t="shared" si="3"/>
        <v>0</v>
      </c>
      <c r="AA51" s="38">
        <v>0</v>
      </c>
      <c r="AB51" s="43">
        <f t="shared" si="4"/>
        <v>0</v>
      </c>
      <c r="AD51" s="38">
        <v>0</v>
      </c>
      <c r="AE51" s="43">
        <f t="shared" si="5"/>
        <v>0</v>
      </c>
      <c r="AG51" s="38">
        <v>0</v>
      </c>
      <c r="AH51" s="43">
        <f t="shared" si="6"/>
        <v>0</v>
      </c>
      <c r="AS51" s="258"/>
      <c r="AT51" s="258"/>
    </row>
    <row r="52" spans="3:46" x14ac:dyDescent="0.25">
      <c r="C52" s="28" t="str">
        <f>'MP Calculations'!D79</f>
        <v>2035-36</v>
      </c>
      <c r="D52" s="184">
        <f>IF(LEFT($C52,4)*1&lt;LEFT('General inputs'!$I$16,4)+'General inputs'!$H$38,SUM(G52,J52,M52,P52,S52,V52,Y52,AB52,AE52,AH52),"")</f>
        <v>8027.9893683265418</v>
      </c>
      <c r="F52" s="224"/>
      <c r="G52" s="235">
        <v>732.43944255063161</v>
      </c>
      <c r="I52" s="38"/>
      <c r="J52" s="235">
        <v>4872.0733054848624</v>
      </c>
      <c r="L52" s="224"/>
      <c r="M52" s="235">
        <v>2423.4766202910482</v>
      </c>
      <c r="O52" s="38">
        <v>0</v>
      </c>
      <c r="P52" s="43">
        <f t="shared" si="0"/>
        <v>0</v>
      </c>
      <c r="R52" s="38">
        <v>0</v>
      </c>
      <c r="S52" s="43">
        <f t="shared" si="1"/>
        <v>0</v>
      </c>
      <c r="U52" s="38">
        <v>0</v>
      </c>
      <c r="V52" s="43">
        <f t="shared" si="2"/>
        <v>0</v>
      </c>
      <c r="X52" s="38">
        <v>0</v>
      </c>
      <c r="Y52" s="43">
        <f t="shared" si="3"/>
        <v>0</v>
      </c>
      <c r="AA52" s="38">
        <v>0</v>
      </c>
      <c r="AB52" s="43">
        <f t="shared" si="4"/>
        <v>0</v>
      </c>
      <c r="AD52" s="38">
        <v>0</v>
      </c>
      <c r="AE52" s="43">
        <f t="shared" si="5"/>
        <v>0</v>
      </c>
      <c r="AG52" s="38">
        <v>0</v>
      </c>
      <c r="AH52" s="43">
        <f t="shared" si="6"/>
        <v>0</v>
      </c>
      <c r="AS52" s="258"/>
      <c r="AT52" s="258"/>
    </row>
    <row r="53" spans="3:46" x14ac:dyDescent="0.25">
      <c r="C53" s="28" t="str">
        <f>'MP Calculations'!D80</f>
        <v>2036-37</v>
      </c>
      <c r="D53" s="184">
        <f>IF(LEFT($C53,4)*1&lt;LEFT('General inputs'!$I$16,4)+'General inputs'!$H$38,SUM(G53,J53,M53,P53,S53,V53,Y53,AB53,AE53,AH53),"")</f>
        <v>8712.7516135847109</v>
      </c>
      <c r="F53" s="224"/>
      <c r="G53" s="235">
        <v>740.794265089232</v>
      </c>
      <c r="I53" s="38"/>
      <c r="J53" s="235">
        <v>5335.0039821056753</v>
      </c>
      <c r="L53" s="224"/>
      <c r="M53" s="235">
        <v>2636.9533663898028</v>
      </c>
      <c r="O53" s="38">
        <v>0</v>
      </c>
      <c r="P53" s="43">
        <f t="shared" si="0"/>
        <v>0</v>
      </c>
      <c r="R53" s="38">
        <v>0</v>
      </c>
      <c r="S53" s="43">
        <f t="shared" si="1"/>
        <v>0</v>
      </c>
      <c r="U53" s="38">
        <v>0</v>
      </c>
      <c r="V53" s="43">
        <f t="shared" si="2"/>
        <v>0</v>
      </c>
      <c r="X53" s="38">
        <v>0</v>
      </c>
      <c r="Y53" s="43">
        <f t="shared" si="3"/>
        <v>0</v>
      </c>
      <c r="AA53" s="38">
        <v>0</v>
      </c>
      <c r="AB53" s="43">
        <f t="shared" si="4"/>
        <v>0</v>
      </c>
      <c r="AD53" s="38">
        <v>0</v>
      </c>
      <c r="AE53" s="43">
        <f t="shared" si="5"/>
        <v>0</v>
      </c>
      <c r="AG53" s="38">
        <v>0</v>
      </c>
      <c r="AH53" s="43">
        <f t="shared" si="6"/>
        <v>0</v>
      </c>
      <c r="AS53" s="258"/>
      <c r="AT53" s="258"/>
    </row>
    <row r="54" spans="3:46" x14ac:dyDescent="0.25">
      <c r="C54" s="28" t="str">
        <f>'MP Calculations'!D81</f>
        <v>2037-38</v>
      </c>
      <c r="D54" s="184">
        <f>IF(LEFT($C54,4)*1&lt;LEFT('General inputs'!$I$16,4)+'General inputs'!$H$38,SUM(G54,J54,M54,P54,S54,V54,Y54,AB54,AE54,AH54),"")</f>
        <v>8231.6460248482763</v>
      </c>
      <c r="F54" s="224"/>
      <c r="G54" s="235">
        <v>699.02015239623017</v>
      </c>
      <c r="I54" s="38"/>
      <c r="J54" s="235">
        <v>5041.1727569810728</v>
      </c>
      <c r="L54" s="224"/>
      <c r="M54" s="235">
        <v>2491.4531154709739</v>
      </c>
      <c r="O54" s="38">
        <v>0</v>
      </c>
      <c r="P54" s="43">
        <f t="shared" si="0"/>
        <v>0</v>
      </c>
      <c r="R54" s="38">
        <v>0</v>
      </c>
      <c r="S54" s="43">
        <f t="shared" si="1"/>
        <v>0</v>
      </c>
      <c r="U54" s="38">
        <v>0</v>
      </c>
      <c r="V54" s="43">
        <f t="shared" si="2"/>
        <v>0</v>
      </c>
      <c r="X54" s="38">
        <v>0</v>
      </c>
      <c r="Y54" s="43">
        <f t="shared" si="3"/>
        <v>0</v>
      </c>
      <c r="AA54" s="38">
        <v>0</v>
      </c>
      <c r="AB54" s="43">
        <f t="shared" si="4"/>
        <v>0</v>
      </c>
      <c r="AD54" s="38">
        <v>0</v>
      </c>
      <c r="AE54" s="43">
        <f t="shared" si="5"/>
        <v>0</v>
      </c>
      <c r="AG54" s="38">
        <v>0</v>
      </c>
      <c r="AH54" s="43">
        <f t="shared" si="6"/>
        <v>0</v>
      </c>
      <c r="AS54" s="258"/>
      <c r="AT54" s="258"/>
    </row>
    <row r="55" spans="3:46" x14ac:dyDescent="0.25">
      <c r="C55" s="28" t="str">
        <f>'MP Calculations'!D82</f>
        <v>2038-39</v>
      </c>
      <c r="D55" s="184">
        <f>IF(LEFT($C55,4)*1&lt;LEFT('General inputs'!$I$16,4)+'General inputs'!$H$38,SUM(G55,J55,M55,P55,S55,V55,Y55,AB55,AE55,AH55),"")</f>
        <v>8819.1982326410562</v>
      </c>
      <c r="F55" s="224"/>
      <c r="G55" s="235">
        <v>683.70297774212952</v>
      </c>
      <c r="I55" s="38"/>
      <c r="J55" s="235">
        <v>5458.0615037390562</v>
      </c>
      <c r="L55" s="224"/>
      <c r="M55" s="235">
        <v>2677.433751159871</v>
      </c>
      <c r="O55" s="38">
        <v>0</v>
      </c>
      <c r="P55" s="43">
        <f t="shared" si="0"/>
        <v>0</v>
      </c>
      <c r="R55" s="38">
        <v>0</v>
      </c>
      <c r="S55" s="43">
        <f t="shared" si="1"/>
        <v>0</v>
      </c>
      <c r="U55" s="38">
        <v>0</v>
      </c>
      <c r="V55" s="43">
        <f t="shared" si="2"/>
        <v>0</v>
      </c>
      <c r="X55" s="38">
        <v>0</v>
      </c>
      <c r="Y55" s="43">
        <f t="shared" si="3"/>
        <v>0</v>
      </c>
      <c r="AA55" s="38">
        <v>0</v>
      </c>
      <c r="AB55" s="43">
        <f t="shared" si="4"/>
        <v>0</v>
      </c>
      <c r="AD55" s="38">
        <v>0</v>
      </c>
      <c r="AE55" s="43">
        <f t="shared" si="5"/>
        <v>0</v>
      </c>
      <c r="AG55" s="38">
        <v>0</v>
      </c>
      <c r="AH55" s="43">
        <f t="shared" si="6"/>
        <v>0</v>
      </c>
      <c r="AS55" s="258"/>
      <c r="AT55" s="258"/>
    </row>
    <row r="56" spans="3:46" x14ac:dyDescent="0.25">
      <c r="C56" s="28" t="str">
        <f>'MP Calculations'!D83</f>
        <v>2039-40</v>
      </c>
      <c r="D56" s="184">
        <f>IF(LEFT($C56,4)*1&lt;LEFT('General inputs'!$I$16,4)+'General inputs'!$H$38,SUM(G56,J56,M56,P56,S56,V56,Y56,AB56,AE56,AH56),"")</f>
        <v>8508.5794072950139</v>
      </c>
      <c r="F56" s="224"/>
      <c r="G56" s="235">
        <v>693.45027070382991</v>
      </c>
      <c r="I56" s="38"/>
      <c r="J56" s="235">
        <v>5236.2231143999688</v>
      </c>
      <c r="L56" s="224"/>
      <c r="M56" s="235">
        <v>2578.9060221912146</v>
      </c>
      <c r="O56" s="38">
        <v>0</v>
      </c>
      <c r="P56" s="43">
        <f t="shared" si="0"/>
        <v>0</v>
      </c>
      <c r="R56" s="38">
        <v>0</v>
      </c>
      <c r="S56" s="43">
        <f t="shared" si="1"/>
        <v>0</v>
      </c>
      <c r="U56" s="38">
        <v>0</v>
      </c>
      <c r="V56" s="43">
        <f t="shared" si="2"/>
        <v>0</v>
      </c>
      <c r="X56" s="38">
        <v>0</v>
      </c>
      <c r="Y56" s="43">
        <f t="shared" si="3"/>
        <v>0</v>
      </c>
      <c r="AA56" s="38">
        <v>0</v>
      </c>
      <c r="AB56" s="43">
        <f t="shared" si="4"/>
        <v>0</v>
      </c>
      <c r="AD56" s="38">
        <v>0</v>
      </c>
      <c r="AE56" s="43">
        <f t="shared" si="5"/>
        <v>0</v>
      </c>
      <c r="AG56" s="38">
        <v>0</v>
      </c>
      <c r="AH56" s="43">
        <f t="shared" si="6"/>
        <v>0</v>
      </c>
      <c r="AS56" s="258"/>
      <c r="AT56" s="258"/>
    </row>
    <row r="57" spans="3:46" x14ac:dyDescent="0.25">
      <c r="C57" s="28" t="str">
        <f>'MP Calculations'!D84</f>
        <v>2040-41</v>
      </c>
      <c r="D57" s="184">
        <f>IF(LEFT($C57,4)*1&lt;LEFT('General inputs'!$I$16,4)+'General inputs'!$H$38,SUM(G57,J57,M57,P57,S57,V57,Y57,AB57,AE57,AH57),"")</f>
        <v>8811.5865645802533</v>
      </c>
      <c r="F57" s="224"/>
      <c r="G57" s="235">
        <v>722.69214958893122</v>
      </c>
      <c r="I57" s="38"/>
      <c r="J57" s="235">
        <v>5418.7165818562744</v>
      </c>
      <c r="L57" s="224"/>
      <c r="M57" s="235">
        <v>2670.1778331350474</v>
      </c>
      <c r="O57" s="38">
        <v>0</v>
      </c>
      <c r="P57" s="43">
        <f t="shared" si="0"/>
        <v>0</v>
      </c>
      <c r="R57" s="38">
        <v>0</v>
      </c>
      <c r="S57" s="43">
        <f t="shared" si="1"/>
        <v>0</v>
      </c>
      <c r="U57" s="38">
        <v>0</v>
      </c>
      <c r="V57" s="43">
        <f t="shared" si="2"/>
        <v>0</v>
      </c>
      <c r="X57" s="38">
        <v>0</v>
      </c>
      <c r="Y57" s="43">
        <f t="shared" si="3"/>
        <v>0</v>
      </c>
      <c r="AA57" s="38">
        <v>0</v>
      </c>
      <c r="AB57" s="43">
        <f t="shared" si="4"/>
        <v>0</v>
      </c>
      <c r="AD57" s="38">
        <v>0</v>
      </c>
      <c r="AE57" s="43">
        <f t="shared" si="5"/>
        <v>0</v>
      </c>
      <c r="AG57" s="38">
        <v>0</v>
      </c>
      <c r="AH57" s="43">
        <f t="shared" si="6"/>
        <v>0</v>
      </c>
      <c r="AS57" s="258"/>
      <c r="AT57" s="258"/>
    </row>
    <row r="58" spans="3:46" x14ac:dyDescent="0.25">
      <c r="C58" s="28" t="str">
        <f>'MP Calculations'!D85</f>
        <v>2041-42</v>
      </c>
      <c r="D58" s="184">
        <f>IF(LEFT($C58,4)*1&lt;LEFT('General inputs'!$I$16,4)+'General inputs'!$H$38,SUM(G58,J58,M58,P58,S58,V58,Y58,AB58,AE58,AH58),"")</f>
        <v>8986.6916187661227</v>
      </c>
      <c r="F58" s="224"/>
      <c r="G58" s="235">
        <v>733.83191297373173</v>
      </c>
      <c r="I58" s="38"/>
      <c r="J58" s="235">
        <v>5529.2172135270648</v>
      </c>
      <c r="L58" s="224"/>
      <c r="M58" s="235">
        <v>2723.6424922653259</v>
      </c>
      <c r="O58" s="38">
        <v>0</v>
      </c>
      <c r="P58" s="43">
        <f t="shared" si="0"/>
        <v>0</v>
      </c>
      <c r="R58" s="38">
        <v>0</v>
      </c>
      <c r="S58" s="43">
        <f t="shared" si="1"/>
        <v>0</v>
      </c>
      <c r="U58" s="38">
        <v>0</v>
      </c>
      <c r="V58" s="43">
        <f t="shared" si="2"/>
        <v>0</v>
      </c>
      <c r="X58" s="38">
        <v>0</v>
      </c>
      <c r="Y58" s="43">
        <f t="shared" si="3"/>
        <v>0</v>
      </c>
      <c r="AA58" s="38">
        <v>0</v>
      </c>
      <c r="AB58" s="43">
        <f t="shared" si="4"/>
        <v>0</v>
      </c>
      <c r="AD58" s="38">
        <v>0</v>
      </c>
      <c r="AE58" s="43">
        <f t="shared" si="5"/>
        <v>0</v>
      </c>
      <c r="AG58" s="38">
        <v>0</v>
      </c>
      <c r="AH58" s="43">
        <f t="shared" si="6"/>
        <v>0</v>
      </c>
      <c r="AS58" s="258"/>
      <c r="AT58" s="258"/>
    </row>
    <row r="59" spans="3:46" x14ac:dyDescent="0.25">
      <c r="C59" s="28" t="str">
        <f>'MP Calculations'!D86</f>
        <v>2042-43</v>
      </c>
      <c r="D59" s="184">
        <f>IF(LEFT($C59,4)*1&lt;LEFT('General inputs'!$I$16,4)+'General inputs'!$H$38,SUM(G59,J59,M59,P59,S59,V59,Y59,AB59,AE59,AH59),"")</f>
        <v>9087.7616540462514</v>
      </c>
      <c r="F59" s="224"/>
      <c r="G59" s="235">
        <v>736.61685381993186</v>
      </c>
      <c r="I59" s="38"/>
      <c r="J59" s="235">
        <v>5596.1872933275445</v>
      </c>
      <c r="L59" s="224"/>
      <c r="M59" s="235">
        <v>2754.9575068987742</v>
      </c>
      <c r="O59" s="38">
        <v>0</v>
      </c>
      <c r="P59" s="43">
        <f t="shared" si="0"/>
        <v>0</v>
      </c>
      <c r="R59" s="38">
        <v>0</v>
      </c>
      <c r="S59" s="43">
        <f t="shared" si="1"/>
        <v>0</v>
      </c>
      <c r="U59" s="38">
        <v>0</v>
      </c>
      <c r="V59" s="43">
        <f t="shared" si="2"/>
        <v>0</v>
      </c>
      <c r="X59" s="38">
        <v>0</v>
      </c>
      <c r="Y59" s="43">
        <f t="shared" si="3"/>
        <v>0</v>
      </c>
      <c r="AA59" s="38">
        <v>0</v>
      </c>
      <c r="AB59" s="43">
        <f t="shared" si="4"/>
        <v>0</v>
      </c>
      <c r="AD59" s="38">
        <v>0</v>
      </c>
      <c r="AE59" s="43">
        <f t="shared" si="5"/>
        <v>0</v>
      </c>
      <c r="AG59" s="38">
        <v>0</v>
      </c>
      <c r="AH59" s="43">
        <f t="shared" si="6"/>
        <v>0</v>
      </c>
      <c r="AS59" s="258"/>
      <c r="AT59" s="258"/>
    </row>
    <row r="60" spans="3:46" x14ac:dyDescent="0.25">
      <c r="C60" s="28" t="str">
        <f>'MP Calculations'!D87</f>
        <v>2043-44</v>
      </c>
      <c r="D60" s="184">
        <f>IF(LEFT($C60,4)*1&lt;LEFT('General inputs'!$I$16,4)+'General inputs'!$H$38,SUM(G60,J60,M60,P60,S60,V60,Y60,AB60,AE60,AH60),"")</f>
        <v>9190.0507057462455</v>
      </c>
      <c r="F60" s="224"/>
      <c r="G60" s="235">
        <v>739.40179466613199</v>
      </c>
      <c r="I60" s="38"/>
      <c r="J60" s="235">
        <v>5663.9944991255297</v>
      </c>
      <c r="L60" s="224"/>
      <c r="M60" s="235">
        <v>2786.6544119545824</v>
      </c>
      <c r="O60" s="38">
        <v>0</v>
      </c>
      <c r="P60" s="43">
        <f t="shared" si="0"/>
        <v>0</v>
      </c>
      <c r="R60" s="38">
        <v>0</v>
      </c>
      <c r="S60" s="43">
        <f t="shared" si="1"/>
        <v>0</v>
      </c>
      <c r="U60" s="38">
        <v>0</v>
      </c>
      <c r="V60" s="43">
        <f t="shared" si="2"/>
        <v>0</v>
      </c>
      <c r="X60" s="38">
        <v>0</v>
      </c>
      <c r="Y60" s="43">
        <f t="shared" si="3"/>
        <v>0</v>
      </c>
      <c r="AA60" s="38">
        <v>0</v>
      </c>
      <c r="AB60" s="43">
        <f t="shared" si="4"/>
        <v>0</v>
      </c>
      <c r="AD60" s="38">
        <v>0</v>
      </c>
      <c r="AE60" s="43">
        <f t="shared" si="5"/>
        <v>0</v>
      </c>
      <c r="AG60" s="38">
        <v>0</v>
      </c>
      <c r="AH60" s="43">
        <f t="shared" si="6"/>
        <v>0</v>
      </c>
      <c r="AS60" s="258"/>
      <c r="AT60" s="258"/>
    </row>
    <row r="61" spans="3:46" x14ac:dyDescent="0.25">
      <c r="C61" s="28" t="str">
        <f>'MP Calculations'!D88</f>
        <v>2044-45</v>
      </c>
      <c r="D61" s="184">
        <f>IF(LEFT($C61,4)*1&lt;LEFT('General inputs'!$I$16,4)+'General inputs'!$H$38,SUM(G61,J61,M61,P61,S61,V61,Y61,AB61,AE61,AH61),"")</f>
        <v>9293.5587738661015</v>
      </c>
      <c r="F61" s="224"/>
      <c r="G61" s="235">
        <v>742.18673551233201</v>
      </c>
      <c r="I61" s="38"/>
      <c r="J61" s="235">
        <v>5732.6388309210206</v>
      </c>
      <c r="L61" s="224"/>
      <c r="M61" s="235">
        <v>2818.7332074327496</v>
      </c>
      <c r="O61" s="38">
        <v>0</v>
      </c>
      <c r="P61" s="43">
        <f t="shared" si="0"/>
        <v>0</v>
      </c>
      <c r="R61" s="38">
        <v>0</v>
      </c>
      <c r="S61" s="43">
        <f t="shared" si="1"/>
        <v>0</v>
      </c>
      <c r="U61" s="38">
        <v>0</v>
      </c>
      <c r="V61" s="43">
        <f t="shared" si="2"/>
        <v>0</v>
      </c>
      <c r="X61" s="38">
        <v>0</v>
      </c>
      <c r="Y61" s="43">
        <f t="shared" si="3"/>
        <v>0</v>
      </c>
      <c r="AA61" s="38">
        <v>0</v>
      </c>
      <c r="AB61" s="43">
        <f t="shared" si="4"/>
        <v>0</v>
      </c>
      <c r="AD61" s="38">
        <v>0</v>
      </c>
      <c r="AE61" s="43">
        <f t="shared" si="5"/>
        <v>0</v>
      </c>
      <c r="AG61" s="38">
        <v>0</v>
      </c>
      <c r="AH61" s="43">
        <f t="shared" si="6"/>
        <v>0</v>
      </c>
      <c r="AS61" s="258"/>
      <c r="AT61" s="258"/>
    </row>
    <row r="62" spans="3:46" x14ac:dyDescent="0.25">
      <c r="C62" s="28" t="str">
        <f>'MP Calculations'!D89</f>
        <v>2045-46</v>
      </c>
      <c r="D62" s="184">
        <f>IF(LEFT($C62,4)*1&lt;LEFT('General inputs'!$I$16,4)+'General inputs'!$H$38,SUM(G62,J62,M62,P62,S62,V62,Y62,AB62,AE62,AH62),"")</f>
        <v>9399.5048748256904</v>
      </c>
      <c r="F62" s="224"/>
      <c r="G62" s="235">
        <v>744.97167635853214</v>
      </c>
      <c r="I62" s="38"/>
      <c r="J62" s="235">
        <v>5802.9574147115236</v>
      </c>
      <c r="L62" s="224"/>
      <c r="M62" s="235">
        <v>2851.5757837556343</v>
      </c>
      <c r="O62" s="38">
        <v>0</v>
      </c>
      <c r="P62" s="43">
        <f t="shared" si="0"/>
        <v>0</v>
      </c>
      <c r="R62" s="38">
        <v>0</v>
      </c>
      <c r="S62" s="43">
        <f t="shared" si="1"/>
        <v>0</v>
      </c>
      <c r="U62" s="38">
        <v>0</v>
      </c>
      <c r="V62" s="43">
        <f t="shared" si="2"/>
        <v>0</v>
      </c>
      <c r="X62" s="38">
        <v>0</v>
      </c>
      <c r="Y62" s="43">
        <f t="shared" si="3"/>
        <v>0</v>
      </c>
      <c r="AA62" s="38">
        <v>0</v>
      </c>
      <c r="AB62" s="43">
        <f t="shared" si="4"/>
        <v>0</v>
      </c>
      <c r="AD62" s="38">
        <v>0</v>
      </c>
      <c r="AE62" s="43">
        <f t="shared" si="5"/>
        <v>0</v>
      </c>
      <c r="AG62" s="38">
        <v>0</v>
      </c>
      <c r="AH62" s="43">
        <f t="shared" si="6"/>
        <v>0</v>
      </c>
      <c r="AS62" s="258"/>
      <c r="AT62" s="258"/>
    </row>
    <row r="63" spans="3:46" x14ac:dyDescent="0.25">
      <c r="C63" s="28" t="str">
        <f>'MP Calculations'!D90</f>
        <v>2046-47</v>
      </c>
      <c r="D63" s="184">
        <f>IF(LEFT($C63,4)*1&lt;LEFT('General inputs'!$I$16,4)+'General inputs'!$H$38,SUM(G63,J63,M63,P63,S63,V63,Y63,AB63,AE63,AH63),"")</f>
        <v>9506.6699922051448</v>
      </c>
      <c r="F63" s="224"/>
      <c r="G63" s="235">
        <v>747.75661720473227</v>
      </c>
      <c r="I63" s="38"/>
      <c r="J63" s="235">
        <v>5874.1131244995331</v>
      </c>
      <c r="L63" s="224"/>
      <c r="M63" s="235">
        <v>2884.8002505008794</v>
      </c>
      <c r="O63" s="38">
        <v>0</v>
      </c>
      <c r="P63" s="43">
        <f t="shared" si="0"/>
        <v>0</v>
      </c>
      <c r="R63" s="38">
        <v>0</v>
      </c>
      <c r="S63" s="43">
        <f t="shared" si="1"/>
        <v>0</v>
      </c>
      <c r="U63" s="38">
        <v>0</v>
      </c>
      <c r="V63" s="43">
        <f t="shared" si="2"/>
        <v>0</v>
      </c>
      <c r="X63" s="38">
        <v>0</v>
      </c>
      <c r="Y63" s="43">
        <f t="shared" si="3"/>
        <v>0</v>
      </c>
      <c r="AA63" s="38">
        <v>0</v>
      </c>
      <c r="AB63" s="43">
        <f t="shared" si="4"/>
        <v>0</v>
      </c>
      <c r="AD63" s="38">
        <v>0</v>
      </c>
      <c r="AE63" s="43">
        <f t="shared" si="5"/>
        <v>0</v>
      </c>
      <c r="AG63" s="38">
        <v>0</v>
      </c>
      <c r="AH63" s="43">
        <f t="shared" si="6"/>
        <v>0</v>
      </c>
      <c r="AS63" s="258"/>
      <c r="AT63" s="258"/>
    </row>
    <row r="64" spans="3:46" x14ac:dyDescent="0.25">
      <c r="C64" s="28" t="str">
        <f>'MP Calculations'!D91</f>
        <v>2047-48</v>
      </c>
      <c r="D64" s="184">
        <f>IF(LEFT($C64,4)*1&lt;LEFT('General inputs'!$I$16,4)+'General inputs'!$H$38,SUM(G64,J64,M64,P64,S64,V64,Y64,AB64,AE64,AH64),"")</f>
        <v>9615.0541260044629</v>
      </c>
      <c r="F64" s="224"/>
      <c r="G64" s="235">
        <v>750.54155805093239</v>
      </c>
      <c r="I64" s="38"/>
      <c r="J64" s="235">
        <v>5946.1059602850473</v>
      </c>
      <c r="L64" s="224"/>
      <c r="M64" s="235">
        <v>2918.4066076684826</v>
      </c>
      <c r="O64" s="38">
        <v>0</v>
      </c>
      <c r="P64" s="43">
        <f t="shared" si="0"/>
        <v>0</v>
      </c>
      <c r="R64" s="38">
        <v>0</v>
      </c>
      <c r="S64" s="43">
        <f t="shared" si="1"/>
        <v>0</v>
      </c>
      <c r="U64" s="38">
        <v>0</v>
      </c>
      <c r="V64" s="43">
        <f t="shared" si="2"/>
        <v>0</v>
      </c>
      <c r="X64" s="38">
        <v>0</v>
      </c>
      <c r="Y64" s="43">
        <f t="shared" si="3"/>
        <v>0</v>
      </c>
      <c r="AA64" s="38">
        <v>0</v>
      </c>
      <c r="AB64" s="43">
        <f t="shared" si="4"/>
        <v>0</v>
      </c>
      <c r="AD64" s="38">
        <v>0</v>
      </c>
      <c r="AE64" s="43">
        <f t="shared" si="5"/>
        <v>0</v>
      </c>
      <c r="AG64" s="38">
        <v>0</v>
      </c>
      <c r="AH64" s="43">
        <f t="shared" si="6"/>
        <v>0</v>
      </c>
      <c r="AS64" s="258"/>
      <c r="AT64" s="258"/>
    </row>
    <row r="65" spans="3:46" x14ac:dyDescent="0.25">
      <c r="C65" s="28" t="str">
        <f>'MP Calculations'!D92</f>
        <v>2048-49</v>
      </c>
      <c r="D65" s="184">
        <f>IF(LEFT($C65,4)*1&lt;LEFT('General inputs'!$I$16,4)+'General inputs'!$H$38,SUM(G65,J65,M65,P65,S65,V65,Y65,AB65,AE65,AH65),"")</f>
        <v>9725.876292643512</v>
      </c>
      <c r="F65" s="224"/>
      <c r="G65" s="235">
        <v>753.32649889713252</v>
      </c>
      <c r="I65" s="38"/>
      <c r="J65" s="235">
        <v>6019.7730480655755</v>
      </c>
      <c r="L65" s="224"/>
      <c r="M65" s="235">
        <v>2952.7767456808047</v>
      </c>
      <c r="O65" s="38"/>
      <c r="P65" s="43">
        <f t="shared" si="0"/>
        <v>0</v>
      </c>
      <c r="R65" s="38"/>
      <c r="S65" s="43">
        <f t="shared" si="1"/>
        <v>0</v>
      </c>
      <c r="U65" s="38"/>
      <c r="V65" s="43">
        <f t="shared" si="2"/>
        <v>0</v>
      </c>
      <c r="X65" s="38"/>
      <c r="Y65" s="43">
        <f t="shared" si="3"/>
        <v>0</v>
      </c>
      <c r="AA65" s="38"/>
      <c r="AB65" s="43">
        <f t="shared" si="4"/>
        <v>0</v>
      </c>
      <c r="AD65" s="38"/>
      <c r="AE65" s="43">
        <f t="shared" si="5"/>
        <v>0</v>
      </c>
      <c r="AG65" s="38"/>
      <c r="AH65" s="43">
        <f t="shared" si="6"/>
        <v>0</v>
      </c>
      <c r="AS65" s="258"/>
      <c r="AT65" s="258"/>
    </row>
    <row r="66" spans="3:46" x14ac:dyDescent="0.25">
      <c r="C66" s="28" t="str">
        <f>'MP Calculations'!D93</f>
        <v>2049-50</v>
      </c>
      <c r="D66" s="184">
        <f>IF(LEFT($C66,4)*1&lt;LEFT('General inputs'!$I$16,4)+'General inputs'!$H$38,SUM(G66,J66,M66,P66,S66,V66,Y66,AB66,AE66,AH66),"")</f>
        <v>9837.9174757024266</v>
      </c>
      <c r="F66" s="224"/>
      <c r="G66" s="235">
        <v>756.11143974333265</v>
      </c>
      <c r="I66" s="224"/>
      <c r="J66" s="235">
        <v>6094.2772618436093</v>
      </c>
      <c r="L66" s="224"/>
      <c r="M66" s="235">
        <v>2987.5287741154852</v>
      </c>
      <c r="O66" s="38"/>
      <c r="P66" s="43">
        <f t="shared" si="0"/>
        <v>0</v>
      </c>
      <c r="R66" s="38"/>
      <c r="S66" s="43">
        <f t="shared" si="1"/>
        <v>0</v>
      </c>
      <c r="U66" s="38"/>
      <c r="V66" s="43">
        <f t="shared" si="2"/>
        <v>0</v>
      </c>
      <c r="X66" s="38"/>
      <c r="Y66" s="43">
        <f t="shared" si="3"/>
        <v>0</v>
      </c>
      <c r="AA66" s="38"/>
      <c r="AB66" s="43">
        <f t="shared" si="4"/>
        <v>0</v>
      </c>
      <c r="AD66" s="38"/>
      <c r="AE66" s="43">
        <f t="shared" si="5"/>
        <v>0</v>
      </c>
      <c r="AG66" s="38"/>
      <c r="AH66" s="43">
        <f t="shared" si="6"/>
        <v>0</v>
      </c>
      <c r="AS66" s="258"/>
      <c r="AT66" s="258"/>
    </row>
    <row r="67" spans="3:46" x14ac:dyDescent="0.25">
      <c r="C67" s="28" t="str">
        <f>'MP Calculations'!D94</f>
        <v>2050-51</v>
      </c>
      <c r="D67" s="184">
        <f>IF(LEFT($C67,4)*1&lt;LEFT('General inputs'!$I$16,4)+'General inputs'!$H$38,SUM(G67,J67,M67,P67,S67,V67,Y67,AB67,AE67,AH67),"")</f>
        <v>9953.6157080209377</v>
      </c>
      <c r="F67" s="224"/>
      <c r="G67" s="235">
        <v>758.89638058953278</v>
      </c>
      <c r="I67" s="224"/>
      <c r="J67" s="235">
        <v>6171.2928536141599</v>
      </c>
      <c r="L67" s="224"/>
      <c r="M67" s="235">
        <v>3023.4264738172442</v>
      </c>
      <c r="O67" s="38"/>
      <c r="P67" s="43">
        <f t="shared" si="0"/>
        <v>0</v>
      </c>
      <c r="R67" s="38"/>
      <c r="S67" s="43">
        <f t="shared" si="1"/>
        <v>0</v>
      </c>
      <c r="U67" s="38"/>
      <c r="V67" s="43">
        <f t="shared" si="2"/>
        <v>0</v>
      </c>
      <c r="X67" s="38"/>
      <c r="Y67" s="43">
        <f t="shared" si="3"/>
        <v>0</v>
      </c>
      <c r="AA67" s="38"/>
      <c r="AB67" s="43">
        <f t="shared" si="4"/>
        <v>0</v>
      </c>
      <c r="AD67" s="38"/>
      <c r="AE67" s="43">
        <f t="shared" si="5"/>
        <v>0</v>
      </c>
      <c r="AG67" s="38"/>
      <c r="AH67" s="43">
        <f t="shared" si="6"/>
        <v>0</v>
      </c>
      <c r="AS67" s="258"/>
      <c r="AT67" s="258"/>
    </row>
    <row r="68" spans="3:46" x14ac:dyDescent="0.25">
      <c r="C68" s="28" t="str">
        <f>'MP Calculations'!D95</f>
        <v>2051-52</v>
      </c>
      <c r="D68" s="184">
        <f>IF(LEFT($C68,4)*1&lt;LEFT('General inputs'!$I$16,4)+'General inputs'!$H$38,SUM(G68,J68,M68,P68,S68,V68,Y68,AB68,AE68,AH68),"")</f>
        <v>0</v>
      </c>
      <c r="F68" s="224"/>
      <c r="G68" s="235"/>
      <c r="I68" s="224"/>
      <c r="J68" s="235"/>
      <c r="L68" s="224"/>
      <c r="M68" s="235"/>
      <c r="O68" s="38"/>
      <c r="P68" s="43">
        <f t="shared" si="0"/>
        <v>0</v>
      </c>
      <c r="R68" s="38"/>
      <c r="S68" s="43">
        <f t="shared" si="1"/>
        <v>0</v>
      </c>
      <c r="U68" s="38"/>
      <c r="V68" s="43">
        <f t="shared" si="2"/>
        <v>0</v>
      </c>
      <c r="X68" s="38"/>
      <c r="Y68" s="43">
        <f t="shared" si="3"/>
        <v>0</v>
      </c>
      <c r="AA68" s="38"/>
      <c r="AB68" s="43">
        <f t="shared" si="4"/>
        <v>0</v>
      </c>
      <c r="AD68" s="38"/>
      <c r="AE68" s="43">
        <f t="shared" si="5"/>
        <v>0</v>
      </c>
      <c r="AG68" s="38"/>
      <c r="AH68" s="43">
        <f t="shared" si="6"/>
        <v>0</v>
      </c>
      <c r="AS68" s="258"/>
      <c r="AT68" s="258"/>
    </row>
    <row r="69" spans="3:46" x14ac:dyDescent="0.25">
      <c r="C69" s="28" t="str">
        <f>'MP Calculations'!D96</f>
        <v>2052-53</v>
      </c>
      <c r="D69" s="43" t="str">
        <f>IF(LEFT($C69,4)*1&lt;LEFT('General inputs'!$I$16,4)+'General inputs'!$H$38,SUM(G69,J69,M69,P69,S69,V69,Y69,AB69,AE69,AH69),"")</f>
        <v/>
      </c>
      <c r="F69" s="38"/>
      <c r="G69" s="184"/>
      <c r="I69" s="38"/>
      <c r="J69" s="184"/>
      <c r="L69" s="185"/>
      <c r="M69" s="43"/>
      <c r="O69" s="38"/>
      <c r="P69" s="43">
        <f t="shared" ref="P69:P75" si="8">O69*$P$9/$F$6</f>
        <v>0</v>
      </c>
      <c r="R69" s="38"/>
      <c r="S69" s="43">
        <f t="shared" ref="S69:S75" si="9">R69*$S$9/$F$6</f>
        <v>0</v>
      </c>
      <c r="U69" s="38"/>
      <c r="V69" s="43">
        <f t="shared" ref="V69:V75" si="10">U69*$V$9/$F$6</f>
        <v>0</v>
      </c>
      <c r="X69" s="38"/>
      <c r="Y69" s="43">
        <f t="shared" ref="Y69:Y75" si="11">X69*$Y$9/$F$6</f>
        <v>0</v>
      </c>
      <c r="AA69" s="38"/>
      <c r="AB69" s="43">
        <f t="shared" ref="AB69:AB75" si="12">AA69*$AB$9/$F$6</f>
        <v>0</v>
      </c>
      <c r="AD69" s="38"/>
      <c r="AE69" s="43">
        <f t="shared" ref="AE69:AE75" si="13">AD69*$AE$9/$F$6</f>
        <v>0</v>
      </c>
      <c r="AG69" s="38"/>
      <c r="AH69" s="43">
        <f t="shared" ref="AH69:AH75" si="14">AG69*$AH$9/$F$6</f>
        <v>0</v>
      </c>
    </row>
    <row r="70" spans="3:46" x14ac:dyDescent="0.25">
      <c r="C70" s="28" t="str">
        <f>'MP Calculations'!D97</f>
        <v>2053-54</v>
      </c>
      <c r="D70" s="43" t="str">
        <f>IF(LEFT($C70,4)*1&lt;LEFT('General inputs'!$I$16,4)+'General inputs'!$H$38,SUM(G70,J70,M70,P70,S70,V70,Y70,AB70,AE70,AH70),"")</f>
        <v/>
      </c>
      <c r="F70" s="38"/>
      <c r="G70" s="184"/>
      <c r="I70" s="38"/>
      <c r="J70" s="184"/>
      <c r="L70" s="185"/>
      <c r="M70" s="43"/>
      <c r="O70" s="38"/>
      <c r="P70" s="43">
        <f t="shared" si="8"/>
        <v>0</v>
      </c>
      <c r="R70" s="38"/>
      <c r="S70" s="43">
        <f t="shared" si="9"/>
        <v>0</v>
      </c>
      <c r="U70" s="38"/>
      <c r="V70" s="43">
        <f t="shared" si="10"/>
        <v>0</v>
      </c>
      <c r="X70" s="38"/>
      <c r="Y70" s="43">
        <f t="shared" si="11"/>
        <v>0</v>
      </c>
      <c r="AA70" s="38"/>
      <c r="AB70" s="43">
        <f t="shared" si="12"/>
        <v>0</v>
      </c>
      <c r="AD70" s="38"/>
      <c r="AE70" s="43">
        <f t="shared" si="13"/>
        <v>0</v>
      </c>
      <c r="AG70" s="38"/>
      <c r="AH70" s="43">
        <f t="shared" si="14"/>
        <v>0</v>
      </c>
    </row>
    <row r="71" spans="3:46" x14ac:dyDescent="0.25">
      <c r="C71" s="28" t="str">
        <f>'MP Calculations'!D98</f>
        <v>2054-55</v>
      </c>
      <c r="D71" s="43" t="str">
        <f>IF(LEFT($C71,4)*1&lt;LEFT('General inputs'!$I$16,4)+'General inputs'!$H$38,SUM(G71,J71,M71,P71,S71,V71,Y71,AB71,AE71,AH71),"")</f>
        <v/>
      </c>
      <c r="F71" s="38"/>
      <c r="G71" s="184"/>
      <c r="I71" s="38"/>
      <c r="J71" s="184"/>
      <c r="L71" s="185"/>
      <c r="M71" s="43"/>
      <c r="O71" s="38"/>
      <c r="P71" s="43">
        <f t="shared" si="8"/>
        <v>0</v>
      </c>
      <c r="R71" s="38"/>
      <c r="S71" s="43">
        <f t="shared" si="9"/>
        <v>0</v>
      </c>
      <c r="U71" s="38"/>
      <c r="V71" s="43">
        <f t="shared" si="10"/>
        <v>0</v>
      </c>
      <c r="X71" s="38"/>
      <c r="Y71" s="43">
        <f t="shared" si="11"/>
        <v>0</v>
      </c>
      <c r="AA71" s="38"/>
      <c r="AB71" s="43">
        <f t="shared" si="12"/>
        <v>0</v>
      </c>
      <c r="AD71" s="38"/>
      <c r="AE71" s="43">
        <f t="shared" si="13"/>
        <v>0</v>
      </c>
      <c r="AG71" s="38"/>
      <c r="AH71" s="43">
        <f t="shared" si="14"/>
        <v>0</v>
      </c>
    </row>
    <row r="72" spans="3:46" x14ac:dyDescent="0.25">
      <c r="C72" s="28" t="str">
        <f>'MP Calculations'!D99</f>
        <v>2055-56</v>
      </c>
      <c r="D72" s="43" t="str">
        <f>IF(LEFT($C72,4)*1&lt;LEFT('General inputs'!$I$16,4)+'General inputs'!$H$38,SUM(G72,J72,M72,P72,S72,V72,Y72,AB72,AE72,AH72),"")</f>
        <v/>
      </c>
      <c r="F72" s="38"/>
      <c r="G72" s="184"/>
      <c r="I72" s="38"/>
      <c r="J72" s="184"/>
      <c r="L72" s="185"/>
      <c r="M72" s="43"/>
      <c r="O72" s="38"/>
      <c r="P72" s="43">
        <f t="shared" si="8"/>
        <v>0</v>
      </c>
      <c r="R72" s="38"/>
      <c r="S72" s="43">
        <f t="shared" si="9"/>
        <v>0</v>
      </c>
      <c r="U72" s="38"/>
      <c r="V72" s="43">
        <f t="shared" si="10"/>
        <v>0</v>
      </c>
      <c r="X72" s="38"/>
      <c r="Y72" s="43">
        <f t="shared" si="11"/>
        <v>0</v>
      </c>
      <c r="AA72" s="38"/>
      <c r="AB72" s="43">
        <f t="shared" si="12"/>
        <v>0</v>
      </c>
      <c r="AD72" s="38"/>
      <c r="AE72" s="43">
        <f t="shared" si="13"/>
        <v>0</v>
      </c>
      <c r="AG72" s="38"/>
      <c r="AH72" s="43">
        <f t="shared" si="14"/>
        <v>0</v>
      </c>
    </row>
    <row r="73" spans="3:46" x14ac:dyDescent="0.25">
      <c r="C73" s="28" t="str">
        <f>'MP Calculations'!D100</f>
        <v>2056-57</v>
      </c>
      <c r="D73" s="43" t="str">
        <f>IF(LEFT($C73,4)*1&lt;LEFT('General inputs'!$I$16,4)+'General inputs'!$H$38,SUM(G73,J73,M73,P73,S73,V73,Y73,AB73,AE73,AH73),"")</f>
        <v/>
      </c>
      <c r="F73" s="38"/>
      <c r="G73" s="184"/>
      <c r="I73" s="38"/>
      <c r="J73" s="184"/>
      <c r="L73" s="185"/>
      <c r="M73" s="43"/>
      <c r="O73" s="38"/>
      <c r="P73" s="43">
        <f t="shared" si="8"/>
        <v>0</v>
      </c>
      <c r="R73" s="38"/>
      <c r="S73" s="43">
        <f t="shared" si="9"/>
        <v>0</v>
      </c>
      <c r="U73" s="38"/>
      <c r="V73" s="43">
        <f t="shared" si="10"/>
        <v>0</v>
      </c>
      <c r="X73" s="38"/>
      <c r="Y73" s="43">
        <f t="shared" si="11"/>
        <v>0</v>
      </c>
      <c r="AA73" s="38"/>
      <c r="AB73" s="43">
        <f t="shared" si="12"/>
        <v>0</v>
      </c>
      <c r="AD73" s="38"/>
      <c r="AE73" s="43">
        <f t="shared" si="13"/>
        <v>0</v>
      </c>
      <c r="AG73" s="38"/>
      <c r="AH73" s="43">
        <f t="shared" si="14"/>
        <v>0</v>
      </c>
    </row>
    <row r="74" spans="3:46" x14ac:dyDescent="0.25">
      <c r="C74" s="28" t="str">
        <f>'MP Calculations'!D101</f>
        <v>2057-58</v>
      </c>
      <c r="D74" s="43" t="str">
        <f>IF(LEFT($C74,4)*1&lt;LEFT('General inputs'!$I$16,4)+'General inputs'!$H$38,SUM(G74,J74,M74,P74,S74,V74,Y74,AB74,AE74,AH74),"")</f>
        <v/>
      </c>
      <c r="F74" s="38"/>
      <c r="G74" s="184"/>
      <c r="I74" s="38"/>
      <c r="J74" s="184"/>
      <c r="L74" s="185"/>
      <c r="M74" s="43"/>
      <c r="O74" s="38"/>
      <c r="P74" s="43">
        <f t="shared" si="8"/>
        <v>0</v>
      </c>
      <c r="R74" s="38"/>
      <c r="S74" s="43">
        <f t="shared" si="9"/>
        <v>0</v>
      </c>
      <c r="U74" s="38"/>
      <c r="V74" s="43">
        <f t="shared" si="10"/>
        <v>0</v>
      </c>
      <c r="X74" s="38"/>
      <c r="Y74" s="43">
        <f t="shared" si="11"/>
        <v>0</v>
      </c>
      <c r="AA74" s="38"/>
      <c r="AB74" s="43">
        <f t="shared" si="12"/>
        <v>0</v>
      </c>
      <c r="AD74" s="38"/>
      <c r="AE74" s="43">
        <f t="shared" si="13"/>
        <v>0</v>
      </c>
      <c r="AG74" s="38"/>
      <c r="AH74" s="43">
        <f t="shared" si="14"/>
        <v>0</v>
      </c>
    </row>
    <row r="75" spans="3:46" x14ac:dyDescent="0.25">
      <c r="C75" s="28" t="str">
        <f>'MP Calculations'!D102</f>
        <v>2058-59</v>
      </c>
      <c r="D75" s="43" t="str">
        <f>IF(LEFT($C75,4)*1&lt;LEFT('General inputs'!$I$16,4)+'General inputs'!$H$38,SUM(G75,J75,M75,P75,S75,V75,Y75,AB75,AE75,AH75),"")</f>
        <v/>
      </c>
      <c r="F75" s="38"/>
      <c r="G75" s="184"/>
      <c r="I75" s="38"/>
      <c r="J75" s="184"/>
      <c r="L75" s="185"/>
      <c r="M75" s="43"/>
      <c r="O75" s="38"/>
      <c r="P75" s="43">
        <f t="shared" si="8"/>
        <v>0</v>
      </c>
      <c r="R75" s="38"/>
      <c r="S75" s="43">
        <f t="shared" si="9"/>
        <v>0</v>
      </c>
      <c r="U75" s="38"/>
      <c r="V75" s="43">
        <f t="shared" si="10"/>
        <v>0</v>
      </c>
      <c r="X75" s="38"/>
      <c r="Y75" s="43">
        <f t="shared" si="11"/>
        <v>0</v>
      </c>
      <c r="AA75" s="38"/>
      <c r="AB75" s="43">
        <f t="shared" si="12"/>
        <v>0</v>
      </c>
      <c r="AD75" s="38"/>
      <c r="AE75" s="43">
        <f t="shared" si="13"/>
        <v>0</v>
      </c>
      <c r="AG75" s="38"/>
      <c r="AH75" s="43">
        <f t="shared" si="14"/>
        <v>0</v>
      </c>
    </row>
    <row r="76" spans="3:46" x14ac:dyDescent="0.25">
      <c r="C76" s="28" t="str">
        <f>'MP Calculations'!D103</f>
        <v>2059-60</v>
      </c>
      <c r="D76" s="43" t="str">
        <f>IF(LEFT($C76,4)*1&lt;LEFT('General inputs'!$I$16,4)+'General inputs'!$H$38,SUM(G76,J76,M76,P76,S76,V76,Y76,AB76,AE76,AH76),"")</f>
        <v/>
      </c>
      <c r="F76" s="38"/>
      <c r="G76" s="184"/>
      <c r="I76" s="38"/>
      <c r="J76" s="184"/>
      <c r="L76" s="185"/>
      <c r="M76" s="43"/>
      <c r="O76" s="38"/>
      <c r="P76" s="43">
        <f t="shared" ref="P76:P102" si="15">O76*$P$9/$F$6</f>
        <v>0</v>
      </c>
      <c r="R76" s="38"/>
      <c r="S76" s="43">
        <f t="shared" ref="S76:S102" si="16">R76*$S$9/$F$6</f>
        <v>0</v>
      </c>
      <c r="U76" s="38"/>
      <c r="V76" s="43">
        <f t="shared" ref="V76:V102" si="17">U76*$V$9/$F$6</f>
        <v>0</v>
      </c>
      <c r="X76" s="38"/>
      <c r="Y76" s="43">
        <f t="shared" ref="Y76:Y102" si="18">X76*$Y$9/$F$6</f>
        <v>0</v>
      </c>
      <c r="AA76" s="38"/>
      <c r="AB76" s="43">
        <f t="shared" ref="AB76:AB102" si="19">AA76*$AB$9/$F$6</f>
        <v>0</v>
      </c>
      <c r="AD76" s="38"/>
      <c r="AE76" s="43">
        <f t="shared" ref="AE76:AE102" si="20">AD76*$AE$9/$F$6</f>
        <v>0</v>
      </c>
      <c r="AG76" s="38"/>
      <c r="AH76" s="43">
        <f t="shared" ref="AH76:AH102" si="21">AG76*$AH$9/$F$6</f>
        <v>0</v>
      </c>
    </row>
    <row r="77" spans="3:46" x14ac:dyDescent="0.25">
      <c r="C77" s="28" t="str">
        <f>'MP Calculations'!D104</f>
        <v>2060-61</v>
      </c>
      <c r="D77" s="43" t="str">
        <f>IF(LEFT($C77,4)*1&lt;LEFT('General inputs'!$I$16,4)+'General inputs'!$H$38,SUM(G77,J77,M77,P77,S77,V77,Y77,AB77,AE77,AH77),"")</f>
        <v/>
      </c>
      <c r="F77" s="38"/>
      <c r="G77" s="184"/>
      <c r="I77" s="38"/>
      <c r="J77" s="184"/>
      <c r="L77" s="185"/>
      <c r="M77" s="43"/>
      <c r="O77" s="38"/>
      <c r="P77" s="43">
        <f t="shared" si="15"/>
        <v>0</v>
      </c>
      <c r="R77" s="38"/>
      <c r="S77" s="43">
        <f t="shared" si="16"/>
        <v>0</v>
      </c>
      <c r="U77" s="38"/>
      <c r="V77" s="43">
        <f t="shared" si="17"/>
        <v>0</v>
      </c>
      <c r="X77" s="38"/>
      <c r="Y77" s="43">
        <f t="shared" si="18"/>
        <v>0</v>
      </c>
      <c r="AA77" s="38"/>
      <c r="AB77" s="43">
        <f t="shared" si="19"/>
        <v>0</v>
      </c>
      <c r="AD77" s="38"/>
      <c r="AE77" s="43">
        <f t="shared" si="20"/>
        <v>0</v>
      </c>
      <c r="AG77" s="38"/>
      <c r="AH77" s="43">
        <f t="shared" si="21"/>
        <v>0</v>
      </c>
    </row>
    <row r="78" spans="3:46" x14ac:dyDescent="0.25">
      <c r="C78" s="28" t="str">
        <f>'MP Calculations'!D105</f>
        <v>2061-62</v>
      </c>
      <c r="D78" s="43" t="str">
        <f>IF(LEFT($C78,4)*1&lt;LEFT('General inputs'!$I$16,4)+'General inputs'!$H$38,SUM(G78,J78,M78,P78,S78,V78,Y78,AB78,AE78,AH78),"")</f>
        <v/>
      </c>
      <c r="F78" s="38"/>
      <c r="G78" s="184"/>
      <c r="I78" s="38"/>
      <c r="J78" s="184"/>
      <c r="L78" s="185"/>
      <c r="M78" s="43"/>
      <c r="O78" s="38"/>
      <c r="P78" s="43">
        <f t="shared" si="15"/>
        <v>0</v>
      </c>
      <c r="R78" s="38"/>
      <c r="S78" s="43">
        <f t="shared" si="16"/>
        <v>0</v>
      </c>
      <c r="U78" s="38"/>
      <c r="V78" s="43">
        <f t="shared" si="17"/>
        <v>0</v>
      </c>
      <c r="X78" s="38"/>
      <c r="Y78" s="43">
        <f t="shared" si="18"/>
        <v>0</v>
      </c>
      <c r="AA78" s="38"/>
      <c r="AB78" s="43">
        <f t="shared" si="19"/>
        <v>0</v>
      </c>
      <c r="AD78" s="38"/>
      <c r="AE78" s="43">
        <f t="shared" si="20"/>
        <v>0</v>
      </c>
      <c r="AG78" s="38"/>
      <c r="AH78" s="43">
        <f t="shared" si="21"/>
        <v>0</v>
      </c>
    </row>
    <row r="79" spans="3:46" x14ac:dyDescent="0.25">
      <c r="C79" s="28" t="str">
        <f>'MP Calculations'!D106</f>
        <v>2062-63</v>
      </c>
      <c r="D79" s="43" t="str">
        <f>IF(LEFT($C79,4)*1&lt;LEFT('General inputs'!$I$16,4)+'General inputs'!$H$38,SUM(G79,J79,M79,P79,S79,V79,Y79,AB79,AE79,AH79),"")</f>
        <v/>
      </c>
      <c r="F79" s="38"/>
      <c r="G79" s="184"/>
      <c r="I79" s="38"/>
      <c r="J79" s="184"/>
      <c r="L79" s="185"/>
      <c r="M79" s="43"/>
      <c r="O79" s="38"/>
      <c r="P79" s="43">
        <f t="shared" si="15"/>
        <v>0</v>
      </c>
      <c r="R79" s="38"/>
      <c r="S79" s="43">
        <f t="shared" si="16"/>
        <v>0</v>
      </c>
      <c r="U79" s="38"/>
      <c r="V79" s="43">
        <f t="shared" si="17"/>
        <v>0</v>
      </c>
      <c r="X79" s="38"/>
      <c r="Y79" s="43">
        <f t="shared" si="18"/>
        <v>0</v>
      </c>
      <c r="AA79" s="38"/>
      <c r="AB79" s="43">
        <f t="shared" si="19"/>
        <v>0</v>
      </c>
      <c r="AD79" s="38"/>
      <c r="AE79" s="43">
        <f t="shared" si="20"/>
        <v>0</v>
      </c>
      <c r="AG79" s="38"/>
      <c r="AH79" s="43">
        <f t="shared" si="21"/>
        <v>0</v>
      </c>
    </row>
    <row r="80" spans="3:46" x14ac:dyDescent="0.25">
      <c r="C80" s="28" t="str">
        <f>'MP Calculations'!D107</f>
        <v>2063-64</v>
      </c>
      <c r="D80" s="43" t="str">
        <f>IF(LEFT($C80,4)*1&lt;LEFT('General inputs'!$I$16,4)+'General inputs'!$H$38,SUM(G80,J80,M80,P80,S80,V80,Y80,AB80,AE80,AH80),"")</f>
        <v/>
      </c>
      <c r="F80" s="38"/>
      <c r="G80" s="184"/>
      <c r="I80" s="38"/>
      <c r="J80" s="184"/>
      <c r="L80" s="185"/>
      <c r="M80" s="43"/>
      <c r="O80" s="38"/>
      <c r="P80" s="43">
        <f t="shared" si="15"/>
        <v>0</v>
      </c>
      <c r="R80" s="38"/>
      <c r="S80" s="43">
        <f t="shared" si="16"/>
        <v>0</v>
      </c>
      <c r="U80" s="38"/>
      <c r="V80" s="43">
        <f t="shared" si="17"/>
        <v>0</v>
      </c>
      <c r="X80" s="38"/>
      <c r="Y80" s="43">
        <f t="shared" si="18"/>
        <v>0</v>
      </c>
      <c r="AA80" s="38"/>
      <c r="AB80" s="43">
        <f t="shared" si="19"/>
        <v>0</v>
      </c>
      <c r="AD80" s="38"/>
      <c r="AE80" s="43">
        <f t="shared" si="20"/>
        <v>0</v>
      </c>
      <c r="AG80" s="38"/>
      <c r="AH80" s="43">
        <f t="shared" si="21"/>
        <v>0</v>
      </c>
    </row>
    <row r="81" spans="3:34" x14ac:dyDescent="0.25">
      <c r="C81" s="28" t="str">
        <f>'MP Calculations'!D108</f>
        <v>2064-65</v>
      </c>
      <c r="D81" s="43" t="str">
        <f>IF(LEFT($C81,4)*1&lt;LEFT('General inputs'!$I$16,4)+'General inputs'!$H$38,SUM(G81,J81,M81,P81,S81,V81,Y81,AB81,AE81,AH81),"")</f>
        <v/>
      </c>
      <c r="F81" s="38"/>
      <c r="G81" s="184"/>
      <c r="I81" s="38"/>
      <c r="J81" s="184"/>
      <c r="L81" s="185"/>
      <c r="M81" s="43"/>
      <c r="O81" s="38"/>
      <c r="P81" s="43">
        <f t="shared" si="15"/>
        <v>0</v>
      </c>
      <c r="R81" s="38"/>
      <c r="S81" s="43">
        <f t="shared" si="16"/>
        <v>0</v>
      </c>
      <c r="U81" s="38"/>
      <c r="V81" s="43">
        <f t="shared" si="17"/>
        <v>0</v>
      </c>
      <c r="X81" s="38"/>
      <c r="Y81" s="43">
        <f t="shared" si="18"/>
        <v>0</v>
      </c>
      <c r="AA81" s="38"/>
      <c r="AB81" s="43">
        <f t="shared" si="19"/>
        <v>0</v>
      </c>
      <c r="AD81" s="38"/>
      <c r="AE81" s="43">
        <f t="shared" si="20"/>
        <v>0</v>
      </c>
      <c r="AG81" s="38"/>
      <c r="AH81" s="43">
        <f t="shared" si="21"/>
        <v>0</v>
      </c>
    </row>
    <row r="82" spans="3:34" x14ac:dyDescent="0.25">
      <c r="C82" s="28" t="str">
        <f>'MP Calculations'!D109</f>
        <v>2065-66</v>
      </c>
      <c r="D82" s="43" t="str">
        <f>IF(LEFT($C82,4)*1&lt;LEFT('General inputs'!$I$16,4)+'General inputs'!$H$38,SUM(G82,J82,M82,P82,S82,V82,Y82,AB82,AE82,AH82),"")</f>
        <v/>
      </c>
      <c r="F82" s="38"/>
      <c r="G82" s="184"/>
      <c r="I82" s="38"/>
      <c r="J82" s="184"/>
      <c r="L82" s="185"/>
      <c r="M82" s="43"/>
      <c r="O82" s="38"/>
      <c r="P82" s="43">
        <f t="shared" si="15"/>
        <v>0</v>
      </c>
      <c r="R82" s="38"/>
      <c r="S82" s="43">
        <f t="shared" si="16"/>
        <v>0</v>
      </c>
      <c r="U82" s="38"/>
      <c r="V82" s="43">
        <f t="shared" si="17"/>
        <v>0</v>
      </c>
      <c r="X82" s="38"/>
      <c r="Y82" s="43">
        <f t="shared" si="18"/>
        <v>0</v>
      </c>
      <c r="AA82" s="38"/>
      <c r="AB82" s="43">
        <f t="shared" si="19"/>
        <v>0</v>
      </c>
      <c r="AD82" s="38"/>
      <c r="AE82" s="43">
        <f t="shared" si="20"/>
        <v>0</v>
      </c>
      <c r="AG82" s="38"/>
      <c r="AH82" s="43">
        <f t="shared" si="21"/>
        <v>0</v>
      </c>
    </row>
    <row r="83" spans="3:34" x14ac:dyDescent="0.25">
      <c r="C83" s="28" t="str">
        <f>'MP Calculations'!D110</f>
        <v>2066-67</v>
      </c>
      <c r="D83" s="43" t="str">
        <f>IF(LEFT($C83,4)*1&lt;LEFT('General inputs'!$I$16,4)+'General inputs'!$H$38,SUM(G83,J83,M83,P83,S83,V83,Y83,AB83,AE83,AH83),"")</f>
        <v/>
      </c>
      <c r="F83" s="38"/>
      <c r="G83" s="184"/>
      <c r="I83" s="38"/>
      <c r="J83" s="184"/>
      <c r="L83" s="185"/>
      <c r="M83" s="43"/>
      <c r="O83" s="38"/>
      <c r="P83" s="43">
        <f t="shared" si="15"/>
        <v>0</v>
      </c>
      <c r="R83" s="38"/>
      <c r="S83" s="43">
        <f t="shared" si="16"/>
        <v>0</v>
      </c>
      <c r="U83" s="38"/>
      <c r="V83" s="43">
        <f t="shared" si="17"/>
        <v>0</v>
      </c>
      <c r="X83" s="38"/>
      <c r="Y83" s="43">
        <f t="shared" si="18"/>
        <v>0</v>
      </c>
      <c r="AA83" s="38"/>
      <c r="AB83" s="43">
        <f t="shared" si="19"/>
        <v>0</v>
      </c>
      <c r="AD83" s="38"/>
      <c r="AE83" s="43">
        <f t="shared" si="20"/>
        <v>0</v>
      </c>
      <c r="AG83" s="38"/>
      <c r="AH83" s="43">
        <f t="shared" si="21"/>
        <v>0</v>
      </c>
    </row>
    <row r="84" spans="3:34" x14ac:dyDescent="0.25">
      <c r="C84" s="28" t="str">
        <f>'MP Calculations'!D111</f>
        <v>2067-68</v>
      </c>
      <c r="D84" s="43" t="str">
        <f>IF(LEFT($C84,4)*1&lt;LEFT('General inputs'!$I$16,4)+'General inputs'!$H$38,SUM(G84,J84,M84,P84,S84,V84,Y84,AB84,AE84,AH84),"")</f>
        <v/>
      </c>
      <c r="F84" s="38"/>
      <c r="G84" s="184"/>
      <c r="I84" s="38"/>
      <c r="J84" s="184"/>
      <c r="L84" s="185"/>
      <c r="M84" s="43"/>
      <c r="O84" s="38"/>
      <c r="P84" s="43">
        <f t="shared" si="15"/>
        <v>0</v>
      </c>
      <c r="R84" s="38"/>
      <c r="S84" s="43">
        <f t="shared" si="16"/>
        <v>0</v>
      </c>
      <c r="U84" s="38"/>
      <c r="V84" s="43">
        <f t="shared" si="17"/>
        <v>0</v>
      </c>
      <c r="X84" s="38"/>
      <c r="Y84" s="43">
        <f t="shared" si="18"/>
        <v>0</v>
      </c>
      <c r="AA84" s="38"/>
      <c r="AB84" s="43">
        <f t="shared" si="19"/>
        <v>0</v>
      </c>
      <c r="AD84" s="38"/>
      <c r="AE84" s="43">
        <f t="shared" si="20"/>
        <v>0</v>
      </c>
      <c r="AG84" s="38"/>
      <c r="AH84" s="43">
        <f t="shared" si="21"/>
        <v>0</v>
      </c>
    </row>
    <row r="85" spans="3:34" x14ac:dyDescent="0.25">
      <c r="C85" s="28" t="str">
        <f>'MP Calculations'!D112</f>
        <v>2068-69</v>
      </c>
      <c r="D85" s="43" t="str">
        <f>IF(LEFT($C85,4)*1&lt;LEFT('General inputs'!$I$16,4)+'General inputs'!$H$38,SUM(G85,J85,M85,P85,S85,V85,Y85,AB85,AE85,AH85),"")</f>
        <v/>
      </c>
      <c r="F85" s="38"/>
      <c r="G85" s="184"/>
      <c r="I85" s="38"/>
      <c r="J85" s="184"/>
      <c r="L85" s="185"/>
      <c r="M85" s="43"/>
      <c r="O85" s="38"/>
      <c r="P85" s="43">
        <f t="shared" si="15"/>
        <v>0</v>
      </c>
      <c r="R85" s="38"/>
      <c r="S85" s="43">
        <f t="shared" si="16"/>
        <v>0</v>
      </c>
      <c r="U85" s="38"/>
      <c r="V85" s="43">
        <f t="shared" si="17"/>
        <v>0</v>
      </c>
      <c r="X85" s="38"/>
      <c r="Y85" s="43">
        <f t="shared" si="18"/>
        <v>0</v>
      </c>
      <c r="AA85" s="38"/>
      <c r="AB85" s="43">
        <f t="shared" si="19"/>
        <v>0</v>
      </c>
      <c r="AD85" s="38"/>
      <c r="AE85" s="43">
        <f t="shared" si="20"/>
        <v>0</v>
      </c>
      <c r="AG85" s="38"/>
      <c r="AH85" s="43">
        <f t="shared" si="21"/>
        <v>0</v>
      </c>
    </row>
    <row r="86" spans="3:34" x14ac:dyDescent="0.25">
      <c r="C86" s="28" t="str">
        <f>'MP Calculations'!D113</f>
        <v>2069-70</v>
      </c>
      <c r="D86" s="43" t="str">
        <f>IF(LEFT($C86,4)*1&lt;LEFT('General inputs'!$I$16,4)+'General inputs'!$H$38,SUM(G86,J86,M86,P86,S86,V86,Y86,AB86,AE86,AH86),"")</f>
        <v/>
      </c>
      <c r="F86" s="38"/>
      <c r="G86" s="184"/>
      <c r="I86" s="38"/>
      <c r="J86" s="184"/>
      <c r="L86" s="185"/>
      <c r="M86" s="43"/>
      <c r="O86" s="38"/>
      <c r="P86" s="43">
        <f t="shared" si="15"/>
        <v>0</v>
      </c>
      <c r="R86" s="38"/>
      <c r="S86" s="43">
        <f t="shared" si="16"/>
        <v>0</v>
      </c>
      <c r="U86" s="38"/>
      <c r="V86" s="43">
        <f t="shared" si="17"/>
        <v>0</v>
      </c>
      <c r="X86" s="38"/>
      <c r="Y86" s="43">
        <f t="shared" si="18"/>
        <v>0</v>
      </c>
      <c r="AA86" s="38"/>
      <c r="AB86" s="43">
        <f t="shared" si="19"/>
        <v>0</v>
      </c>
      <c r="AD86" s="38"/>
      <c r="AE86" s="43">
        <f t="shared" si="20"/>
        <v>0</v>
      </c>
      <c r="AG86" s="38"/>
      <c r="AH86" s="43">
        <f t="shared" si="21"/>
        <v>0</v>
      </c>
    </row>
    <row r="87" spans="3:34" x14ac:dyDescent="0.25">
      <c r="C87" s="28" t="str">
        <f>'MP Calculations'!D114</f>
        <v>2070-71</v>
      </c>
      <c r="D87" s="43" t="str">
        <f>IF(LEFT($C87,4)*1&lt;LEFT('General inputs'!$I$16,4)+'General inputs'!$H$38,SUM(G87,J87,M87,P87,S87,V87,Y87,AB87,AE87,AH87),"")</f>
        <v/>
      </c>
      <c r="F87" s="38"/>
      <c r="G87" s="184"/>
      <c r="I87" s="38"/>
      <c r="J87" s="184"/>
      <c r="L87" s="185"/>
      <c r="M87" s="43"/>
      <c r="O87" s="38"/>
      <c r="P87" s="43">
        <f t="shared" si="15"/>
        <v>0</v>
      </c>
      <c r="R87" s="38"/>
      <c r="S87" s="43">
        <f t="shared" si="16"/>
        <v>0</v>
      </c>
      <c r="U87" s="38"/>
      <c r="V87" s="43">
        <f t="shared" si="17"/>
        <v>0</v>
      </c>
      <c r="X87" s="38"/>
      <c r="Y87" s="43">
        <f t="shared" si="18"/>
        <v>0</v>
      </c>
      <c r="AA87" s="38"/>
      <c r="AB87" s="43">
        <f t="shared" si="19"/>
        <v>0</v>
      </c>
      <c r="AD87" s="38"/>
      <c r="AE87" s="43">
        <f t="shared" si="20"/>
        <v>0</v>
      </c>
      <c r="AG87" s="38"/>
      <c r="AH87" s="43">
        <f t="shared" si="21"/>
        <v>0</v>
      </c>
    </row>
    <row r="88" spans="3:34" x14ac:dyDescent="0.25">
      <c r="C88" s="28" t="str">
        <f>'MP Calculations'!D115</f>
        <v>2071-72</v>
      </c>
      <c r="D88" s="43" t="str">
        <f>IF(LEFT($C88,4)*1&lt;LEFT('General inputs'!$I$16,4)+'General inputs'!$H$38,SUM(G88,J88,M88,P88,S88,V88,Y88,AB88,AE88,AH88),"")</f>
        <v/>
      </c>
      <c r="F88" s="38"/>
      <c r="G88" s="184"/>
      <c r="I88" s="38"/>
      <c r="J88" s="184"/>
      <c r="L88" s="185"/>
      <c r="M88" s="43"/>
      <c r="O88" s="38"/>
      <c r="P88" s="43">
        <f t="shared" si="15"/>
        <v>0</v>
      </c>
      <c r="R88" s="38"/>
      <c r="S88" s="43">
        <f t="shared" si="16"/>
        <v>0</v>
      </c>
      <c r="U88" s="38"/>
      <c r="V88" s="43">
        <f t="shared" si="17"/>
        <v>0</v>
      </c>
      <c r="X88" s="38"/>
      <c r="Y88" s="43">
        <f t="shared" si="18"/>
        <v>0</v>
      </c>
      <c r="AA88" s="38"/>
      <c r="AB88" s="43">
        <f t="shared" si="19"/>
        <v>0</v>
      </c>
      <c r="AD88" s="38"/>
      <c r="AE88" s="43">
        <f t="shared" si="20"/>
        <v>0</v>
      </c>
      <c r="AG88" s="38"/>
      <c r="AH88" s="43">
        <f t="shared" si="21"/>
        <v>0</v>
      </c>
    </row>
    <row r="89" spans="3:34" x14ac:dyDescent="0.25">
      <c r="C89" s="28" t="str">
        <f>'MP Calculations'!D116</f>
        <v>2072-73</v>
      </c>
      <c r="D89" s="43" t="str">
        <f>IF(LEFT($C89,4)*1&lt;LEFT('General inputs'!$I$16,4)+'General inputs'!$H$38,SUM(G89,J89,M89,P89,S89,V89,Y89,AB89,AE89,AH89),"")</f>
        <v/>
      </c>
      <c r="F89" s="38"/>
      <c r="G89" s="184"/>
      <c r="I89" s="38"/>
      <c r="J89" s="184"/>
      <c r="L89" s="185"/>
      <c r="M89" s="43"/>
      <c r="O89" s="38"/>
      <c r="P89" s="43">
        <f t="shared" si="15"/>
        <v>0</v>
      </c>
      <c r="R89" s="38"/>
      <c r="S89" s="43">
        <f t="shared" si="16"/>
        <v>0</v>
      </c>
      <c r="U89" s="38"/>
      <c r="V89" s="43">
        <f t="shared" si="17"/>
        <v>0</v>
      </c>
      <c r="X89" s="38"/>
      <c r="Y89" s="43">
        <f t="shared" si="18"/>
        <v>0</v>
      </c>
      <c r="AA89" s="38"/>
      <c r="AB89" s="43">
        <f t="shared" si="19"/>
        <v>0</v>
      </c>
      <c r="AD89" s="38"/>
      <c r="AE89" s="43">
        <f t="shared" si="20"/>
        <v>0</v>
      </c>
      <c r="AG89" s="38"/>
      <c r="AH89" s="43">
        <f t="shared" si="21"/>
        <v>0</v>
      </c>
    </row>
    <row r="90" spans="3:34" x14ac:dyDescent="0.25">
      <c r="C90" s="28" t="str">
        <f>'MP Calculations'!D117</f>
        <v>2073-74</v>
      </c>
      <c r="D90" s="43" t="str">
        <f>IF(LEFT($C90,4)*1&lt;LEFT('General inputs'!$I$16,4)+'General inputs'!$H$38,SUM(G90,J90,M90,P90,S90,V90,Y90,AB90,AE90,AH90),"")</f>
        <v/>
      </c>
      <c r="F90" s="38"/>
      <c r="G90" s="184"/>
      <c r="I90" s="38"/>
      <c r="J90" s="184"/>
      <c r="L90" s="185"/>
      <c r="M90" s="43"/>
      <c r="O90" s="38"/>
      <c r="P90" s="43">
        <f t="shared" si="15"/>
        <v>0</v>
      </c>
      <c r="R90" s="38"/>
      <c r="S90" s="43">
        <f t="shared" si="16"/>
        <v>0</v>
      </c>
      <c r="U90" s="38"/>
      <c r="V90" s="43">
        <f t="shared" si="17"/>
        <v>0</v>
      </c>
      <c r="X90" s="38"/>
      <c r="Y90" s="43">
        <f t="shared" si="18"/>
        <v>0</v>
      </c>
      <c r="AA90" s="38"/>
      <c r="AB90" s="43">
        <f t="shared" si="19"/>
        <v>0</v>
      </c>
      <c r="AD90" s="38"/>
      <c r="AE90" s="43">
        <f t="shared" si="20"/>
        <v>0</v>
      </c>
      <c r="AG90" s="38"/>
      <c r="AH90" s="43">
        <f t="shared" si="21"/>
        <v>0</v>
      </c>
    </row>
    <row r="91" spans="3:34" x14ac:dyDescent="0.25">
      <c r="C91" s="28" t="str">
        <f>'MP Calculations'!D118</f>
        <v>2074-75</v>
      </c>
      <c r="D91" s="43" t="str">
        <f>IF(LEFT($C91,4)*1&lt;LEFT('General inputs'!$I$16,4)+'General inputs'!$H$38,SUM(G91,J91,M91,P91,S91,V91,Y91,AB91,AE91,AH91),"")</f>
        <v/>
      </c>
      <c r="F91" s="38"/>
      <c r="G91" s="184"/>
      <c r="I91" s="38"/>
      <c r="J91" s="184"/>
      <c r="L91" s="185"/>
      <c r="M91" s="43"/>
      <c r="O91" s="38"/>
      <c r="P91" s="43">
        <f t="shared" si="15"/>
        <v>0</v>
      </c>
      <c r="R91" s="38"/>
      <c r="S91" s="43">
        <f t="shared" si="16"/>
        <v>0</v>
      </c>
      <c r="U91" s="38"/>
      <c r="V91" s="43">
        <f t="shared" si="17"/>
        <v>0</v>
      </c>
      <c r="X91" s="38"/>
      <c r="Y91" s="43">
        <f t="shared" si="18"/>
        <v>0</v>
      </c>
      <c r="AA91" s="38"/>
      <c r="AB91" s="43">
        <f t="shared" si="19"/>
        <v>0</v>
      </c>
      <c r="AD91" s="38"/>
      <c r="AE91" s="43">
        <f t="shared" si="20"/>
        <v>0</v>
      </c>
      <c r="AG91" s="38"/>
      <c r="AH91" s="43">
        <f t="shared" si="21"/>
        <v>0</v>
      </c>
    </row>
    <row r="92" spans="3:34" x14ac:dyDescent="0.25">
      <c r="C92" s="28" t="str">
        <f>'MP Calculations'!D119</f>
        <v>2075-76</v>
      </c>
      <c r="D92" s="43" t="str">
        <f>IF(LEFT($C92,4)*1&lt;LEFT('General inputs'!$I$16,4)+'General inputs'!$H$38,SUM(G92,J92,M92,P92,S92,V92,Y92,AB92,AE92,AH92),"")</f>
        <v/>
      </c>
      <c r="F92" s="38"/>
      <c r="G92" s="184"/>
      <c r="I92" s="38"/>
      <c r="J92" s="184"/>
      <c r="L92" s="185"/>
      <c r="M92" s="43"/>
      <c r="O92" s="38"/>
      <c r="P92" s="43">
        <f t="shared" si="15"/>
        <v>0</v>
      </c>
      <c r="R92" s="38"/>
      <c r="S92" s="43">
        <f t="shared" si="16"/>
        <v>0</v>
      </c>
      <c r="U92" s="38"/>
      <c r="V92" s="43">
        <f t="shared" si="17"/>
        <v>0</v>
      </c>
      <c r="X92" s="38"/>
      <c r="Y92" s="43">
        <f t="shared" si="18"/>
        <v>0</v>
      </c>
      <c r="AA92" s="38"/>
      <c r="AB92" s="43">
        <f t="shared" si="19"/>
        <v>0</v>
      </c>
      <c r="AD92" s="38"/>
      <c r="AE92" s="43">
        <f t="shared" si="20"/>
        <v>0</v>
      </c>
      <c r="AG92" s="38"/>
      <c r="AH92" s="43">
        <f t="shared" si="21"/>
        <v>0</v>
      </c>
    </row>
    <row r="93" spans="3:34" x14ac:dyDescent="0.25">
      <c r="C93" s="28" t="str">
        <f>'MP Calculations'!D120</f>
        <v>2076-77</v>
      </c>
      <c r="D93" s="43" t="str">
        <f>IF(LEFT($C93,4)*1&lt;LEFT('General inputs'!$I$16,4)+'General inputs'!$H$38,SUM(G93,J93,M93,P93,S93,V93,Y93,AB93,AE93,AH93),"")</f>
        <v/>
      </c>
      <c r="F93" s="38"/>
      <c r="G93" s="184"/>
      <c r="I93" s="38"/>
      <c r="J93" s="184"/>
      <c r="L93" s="185"/>
      <c r="M93" s="43"/>
      <c r="O93" s="38"/>
      <c r="P93" s="43">
        <f t="shared" si="15"/>
        <v>0</v>
      </c>
      <c r="R93" s="38"/>
      <c r="S93" s="43">
        <f t="shared" si="16"/>
        <v>0</v>
      </c>
      <c r="U93" s="38"/>
      <c r="V93" s="43">
        <f t="shared" si="17"/>
        <v>0</v>
      </c>
      <c r="X93" s="38"/>
      <c r="Y93" s="43">
        <f t="shared" si="18"/>
        <v>0</v>
      </c>
      <c r="AA93" s="38"/>
      <c r="AB93" s="43">
        <f t="shared" si="19"/>
        <v>0</v>
      </c>
      <c r="AD93" s="38"/>
      <c r="AE93" s="43">
        <f t="shared" si="20"/>
        <v>0</v>
      </c>
      <c r="AG93" s="38"/>
      <c r="AH93" s="43">
        <f t="shared" si="21"/>
        <v>0</v>
      </c>
    </row>
    <row r="94" spans="3:34" x14ac:dyDescent="0.25">
      <c r="C94" s="28" t="str">
        <f>'MP Calculations'!D121</f>
        <v>2077-78</v>
      </c>
      <c r="D94" s="43" t="str">
        <f>IF(LEFT($C94,4)*1&lt;LEFT('General inputs'!$I$16,4)+'General inputs'!$H$38,SUM(G94,J94,M94,P94,S94,V94,Y94,AB94,AE94,AH94),"")</f>
        <v/>
      </c>
      <c r="F94" s="38"/>
      <c r="G94" s="184"/>
      <c r="I94" s="38"/>
      <c r="J94" s="184"/>
      <c r="L94" s="185"/>
      <c r="M94" s="43"/>
      <c r="O94" s="38"/>
      <c r="P94" s="43">
        <f t="shared" si="15"/>
        <v>0</v>
      </c>
      <c r="R94" s="38"/>
      <c r="S94" s="43">
        <f t="shared" si="16"/>
        <v>0</v>
      </c>
      <c r="U94" s="38"/>
      <c r="V94" s="43">
        <f t="shared" si="17"/>
        <v>0</v>
      </c>
      <c r="X94" s="38"/>
      <c r="Y94" s="43">
        <f t="shared" si="18"/>
        <v>0</v>
      </c>
      <c r="AA94" s="38"/>
      <c r="AB94" s="43">
        <f t="shared" si="19"/>
        <v>0</v>
      </c>
      <c r="AD94" s="38"/>
      <c r="AE94" s="43">
        <f t="shared" si="20"/>
        <v>0</v>
      </c>
      <c r="AG94" s="38"/>
      <c r="AH94" s="43">
        <f t="shared" si="21"/>
        <v>0</v>
      </c>
    </row>
    <row r="95" spans="3:34" x14ac:dyDescent="0.25">
      <c r="C95" s="28" t="str">
        <f>'MP Calculations'!D122</f>
        <v>2078-79</v>
      </c>
      <c r="D95" s="43" t="str">
        <f>IF(LEFT($C95,4)*1&lt;LEFT('General inputs'!$I$16,4)+'General inputs'!$H$38,SUM(G95,J95,M95,P95,S95,V95,Y95,AB95,AE95,AH95),"")</f>
        <v/>
      </c>
      <c r="F95" s="38"/>
      <c r="G95" s="184"/>
      <c r="I95" s="38"/>
      <c r="J95" s="184"/>
      <c r="L95" s="185"/>
      <c r="M95" s="43"/>
      <c r="O95" s="38"/>
      <c r="P95" s="43">
        <f t="shared" si="15"/>
        <v>0</v>
      </c>
      <c r="R95" s="38"/>
      <c r="S95" s="43">
        <f t="shared" si="16"/>
        <v>0</v>
      </c>
      <c r="U95" s="38"/>
      <c r="V95" s="43">
        <f t="shared" si="17"/>
        <v>0</v>
      </c>
      <c r="X95" s="38"/>
      <c r="Y95" s="43">
        <f t="shared" si="18"/>
        <v>0</v>
      </c>
      <c r="AA95" s="38"/>
      <c r="AB95" s="43">
        <f t="shared" si="19"/>
        <v>0</v>
      </c>
      <c r="AD95" s="38"/>
      <c r="AE95" s="43">
        <f t="shared" si="20"/>
        <v>0</v>
      </c>
      <c r="AG95" s="38"/>
      <c r="AH95" s="43">
        <f t="shared" si="21"/>
        <v>0</v>
      </c>
    </row>
    <row r="96" spans="3:34" x14ac:dyDescent="0.25">
      <c r="C96" s="28" t="str">
        <f>'MP Calculations'!D123</f>
        <v>2079-80</v>
      </c>
      <c r="D96" s="43" t="str">
        <f>IF(LEFT($C96,4)*1&lt;LEFT('General inputs'!$I$16,4)+'General inputs'!$H$38,SUM(G96,J96,M96,P96,S96,V96,Y96,AB96,AE96,AH96),"")</f>
        <v/>
      </c>
      <c r="F96" s="38"/>
      <c r="G96" s="184"/>
      <c r="I96" s="38"/>
      <c r="J96" s="184"/>
      <c r="L96" s="185"/>
      <c r="M96" s="43"/>
      <c r="O96" s="38"/>
      <c r="P96" s="43">
        <f t="shared" si="15"/>
        <v>0</v>
      </c>
      <c r="R96" s="38"/>
      <c r="S96" s="43">
        <f t="shared" si="16"/>
        <v>0</v>
      </c>
      <c r="U96" s="38"/>
      <c r="V96" s="43">
        <f t="shared" si="17"/>
        <v>0</v>
      </c>
      <c r="X96" s="38"/>
      <c r="Y96" s="43">
        <f t="shared" si="18"/>
        <v>0</v>
      </c>
      <c r="AA96" s="38"/>
      <c r="AB96" s="43">
        <f t="shared" si="19"/>
        <v>0</v>
      </c>
      <c r="AD96" s="38"/>
      <c r="AE96" s="43">
        <f t="shared" si="20"/>
        <v>0</v>
      </c>
      <c r="AG96" s="38"/>
      <c r="AH96" s="43">
        <f t="shared" si="21"/>
        <v>0</v>
      </c>
    </row>
    <row r="97" spans="3:34" x14ac:dyDescent="0.25">
      <c r="C97" s="28" t="str">
        <f>'MP Calculations'!D124</f>
        <v>2080-81</v>
      </c>
      <c r="D97" s="43" t="str">
        <f>IF(LEFT($C97,4)*1&lt;LEFT('General inputs'!$I$16,4)+'General inputs'!$H$38,SUM(G97,J97,M97,P97,S97,V97,Y97,AB97,AE97,AH97),"")</f>
        <v/>
      </c>
      <c r="F97" s="38"/>
      <c r="G97" s="184"/>
      <c r="I97" s="38"/>
      <c r="J97" s="184"/>
      <c r="L97" s="185"/>
      <c r="M97" s="43"/>
      <c r="O97" s="38"/>
      <c r="P97" s="43">
        <f t="shared" si="15"/>
        <v>0</v>
      </c>
      <c r="R97" s="38"/>
      <c r="S97" s="43">
        <f t="shared" si="16"/>
        <v>0</v>
      </c>
      <c r="U97" s="38"/>
      <c r="V97" s="43">
        <f t="shared" si="17"/>
        <v>0</v>
      </c>
      <c r="X97" s="38"/>
      <c r="Y97" s="43">
        <f t="shared" si="18"/>
        <v>0</v>
      </c>
      <c r="AA97" s="38"/>
      <c r="AB97" s="43">
        <f t="shared" si="19"/>
        <v>0</v>
      </c>
      <c r="AD97" s="38"/>
      <c r="AE97" s="43">
        <f t="shared" si="20"/>
        <v>0</v>
      </c>
      <c r="AG97" s="38"/>
      <c r="AH97" s="43">
        <f t="shared" si="21"/>
        <v>0</v>
      </c>
    </row>
    <row r="98" spans="3:34" x14ac:dyDescent="0.25">
      <c r="C98" s="28" t="str">
        <f>'MP Calculations'!D125</f>
        <v>2081-82</v>
      </c>
      <c r="D98" s="43" t="str">
        <f>IF(LEFT($C98,4)*1&lt;LEFT('General inputs'!$I$16,4)+'General inputs'!$H$38,SUM(G98,J98,M98,P98,S98,V98,Y98,AB98,AE98,AH98),"")</f>
        <v/>
      </c>
      <c r="F98" s="38"/>
      <c r="G98" s="184"/>
      <c r="I98" s="38"/>
      <c r="J98" s="184"/>
      <c r="L98" s="185"/>
      <c r="M98" s="43"/>
      <c r="O98" s="38"/>
      <c r="P98" s="43">
        <f t="shared" si="15"/>
        <v>0</v>
      </c>
      <c r="R98" s="38"/>
      <c r="S98" s="43">
        <f t="shared" si="16"/>
        <v>0</v>
      </c>
      <c r="U98" s="38"/>
      <c r="V98" s="43">
        <f t="shared" si="17"/>
        <v>0</v>
      </c>
      <c r="X98" s="38"/>
      <c r="Y98" s="43">
        <f t="shared" si="18"/>
        <v>0</v>
      </c>
      <c r="AA98" s="38"/>
      <c r="AB98" s="43">
        <f t="shared" si="19"/>
        <v>0</v>
      </c>
      <c r="AD98" s="38"/>
      <c r="AE98" s="43">
        <f t="shared" si="20"/>
        <v>0</v>
      </c>
      <c r="AG98" s="38"/>
      <c r="AH98" s="43">
        <f t="shared" si="21"/>
        <v>0</v>
      </c>
    </row>
    <row r="99" spans="3:34" x14ac:dyDescent="0.25">
      <c r="C99" s="28" t="str">
        <f>'MP Calculations'!D126</f>
        <v>2082-83</v>
      </c>
      <c r="D99" s="43" t="str">
        <f>IF(LEFT($C99,4)*1&lt;LEFT('General inputs'!$I$16,4)+'General inputs'!$H$38,SUM(G99,J99,M99,P99,S99,V99,Y99,AB99,AE99,AH99),"")</f>
        <v/>
      </c>
      <c r="F99" s="38"/>
      <c r="G99" s="184"/>
      <c r="I99" s="38"/>
      <c r="J99" s="184"/>
      <c r="L99" s="185"/>
      <c r="M99" s="43"/>
      <c r="O99" s="38"/>
      <c r="P99" s="43">
        <f t="shared" si="15"/>
        <v>0</v>
      </c>
      <c r="R99" s="38"/>
      <c r="S99" s="43">
        <f t="shared" si="16"/>
        <v>0</v>
      </c>
      <c r="U99" s="38"/>
      <c r="V99" s="43">
        <f t="shared" si="17"/>
        <v>0</v>
      </c>
      <c r="X99" s="38"/>
      <c r="Y99" s="43">
        <f t="shared" si="18"/>
        <v>0</v>
      </c>
      <c r="AA99" s="38"/>
      <c r="AB99" s="43">
        <f t="shared" si="19"/>
        <v>0</v>
      </c>
      <c r="AD99" s="38"/>
      <c r="AE99" s="43">
        <f t="shared" si="20"/>
        <v>0</v>
      </c>
      <c r="AG99" s="38"/>
      <c r="AH99" s="43">
        <f t="shared" si="21"/>
        <v>0</v>
      </c>
    </row>
    <row r="100" spans="3:34" x14ac:dyDescent="0.25">
      <c r="C100" s="28" t="str">
        <f>'MP Calculations'!D127</f>
        <v>2083-84</v>
      </c>
      <c r="D100" s="43" t="str">
        <f>IF(LEFT($C100,4)*1&lt;LEFT('General inputs'!$I$16,4)+'General inputs'!$H$38,SUM(G100,J100,M100,P100,S100,V100,Y100,AB100,AE100,AH100),"")</f>
        <v/>
      </c>
      <c r="F100" s="38"/>
      <c r="G100" s="184"/>
      <c r="I100" s="38"/>
      <c r="J100" s="184"/>
      <c r="L100" s="185"/>
      <c r="M100" s="43"/>
      <c r="O100" s="38"/>
      <c r="P100" s="43">
        <f t="shared" si="15"/>
        <v>0</v>
      </c>
      <c r="R100" s="38"/>
      <c r="S100" s="43">
        <f t="shared" si="16"/>
        <v>0</v>
      </c>
      <c r="U100" s="38"/>
      <c r="V100" s="43">
        <f t="shared" si="17"/>
        <v>0</v>
      </c>
      <c r="X100" s="38"/>
      <c r="Y100" s="43">
        <f t="shared" si="18"/>
        <v>0</v>
      </c>
      <c r="AA100" s="38"/>
      <c r="AB100" s="43">
        <f t="shared" si="19"/>
        <v>0</v>
      </c>
      <c r="AD100" s="38"/>
      <c r="AE100" s="43">
        <f t="shared" si="20"/>
        <v>0</v>
      </c>
      <c r="AG100" s="38"/>
      <c r="AH100" s="43">
        <f t="shared" si="21"/>
        <v>0</v>
      </c>
    </row>
    <row r="101" spans="3:34" x14ac:dyDescent="0.25">
      <c r="C101" s="28" t="str">
        <f>'MP Calculations'!D128</f>
        <v>2084-85</v>
      </c>
      <c r="D101" s="43" t="str">
        <f>IF(LEFT($C101,4)*1&lt;LEFT('General inputs'!$I$16,4)+'General inputs'!$H$38,SUM(G101,J101,M101,P101,S101,V101,Y101,AB101,AE101,AH101),"")</f>
        <v/>
      </c>
      <c r="F101" s="38"/>
      <c r="G101" s="184"/>
      <c r="I101" s="38"/>
      <c r="J101" s="184"/>
      <c r="L101" s="185"/>
      <c r="M101" s="43"/>
      <c r="O101" s="38"/>
      <c r="P101" s="43">
        <f t="shared" si="15"/>
        <v>0</v>
      </c>
      <c r="R101" s="38"/>
      <c r="S101" s="43">
        <f t="shared" si="16"/>
        <v>0</v>
      </c>
      <c r="U101" s="38"/>
      <c r="V101" s="43">
        <f t="shared" si="17"/>
        <v>0</v>
      </c>
      <c r="X101" s="38"/>
      <c r="Y101" s="43">
        <f t="shared" si="18"/>
        <v>0</v>
      </c>
      <c r="AA101" s="38"/>
      <c r="AB101" s="43">
        <f t="shared" si="19"/>
        <v>0</v>
      </c>
      <c r="AD101" s="38"/>
      <c r="AE101" s="43">
        <f t="shared" si="20"/>
        <v>0</v>
      </c>
      <c r="AG101" s="38"/>
      <c r="AH101" s="43">
        <f t="shared" si="21"/>
        <v>0</v>
      </c>
    </row>
    <row r="102" spans="3:34" x14ac:dyDescent="0.25">
      <c r="C102" s="28" t="str">
        <f>'MP Calculations'!D129</f>
        <v>2085-86</v>
      </c>
      <c r="D102" s="43" t="str">
        <f>IF(LEFT($C102,4)*1&lt;LEFT('General inputs'!$I$16,4)+'General inputs'!$H$38,SUM(G102,J102,M102,P102,S102,V102,Y102,AB102,AE102,AH102),"")</f>
        <v/>
      </c>
      <c r="F102" s="38"/>
      <c r="G102" s="184"/>
      <c r="I102" s="38"/>
      <c r="J102" s="184"/>
      <c r="L102" s="185"/>
      <c r="M102" s="43"/>
      <c r="O102" s="38"/>
      <c r="P102" s="43">
        <f t="shared" si="15"/>
        <v>0</v>
      </c>
      <c r="R102" s="38"/>
      <c r="S102" s="43">
        <f t="shared" si="16"/>
        <v>0</v>
      </c>
      <c r="U102" s="38"/>
      <c r="V102" s="43">
        <f t="shared" si="17"/>
        <v>0</v>
      </c>
      <c r="X102" s="38"/>
      <c r="Y102" s="43">
        <f t="shared" si="18"/>
        <v>0</v>
      </c>
      <c r="AA102" s="38"/>
      <c r="AB102" s="43">
        <f t="shared" si="19"/>
        <v>0</v>
      </c>
      <c r="AD102" s="38"/>
      <c r="AE102" s="43">
        <f t="shared" si="20"/>
        <v>0</v>
      </c>
      <c r="AG102" s="38"/>
      <c r="AH102" s="43">
        <f t="shared" si="21"/>
        <v>0</v>
      </c>
    </row>
    <row r="103" spans="3:34" x14ac:dyDescent="0.25">
      <c r="D103" s="44"/>
      <c r="F103" s="44"/>
      <c r="G103" s="44"/>
      <c r="I103" s="44"/>
      <c r="J103" s="44"/>
      <c r="L103" s="55"/>
      <c r="M103" s="44"/>
      <c r="O103" s="44"/>
      <c r="P103" s="44"/>
      <c r="R103" s="44"/>
      <c r="S103" s="44"/>
      <c r="U103" s="44"/>
      <c r="V103" s="44"/>
      <c r="X103" s="44"/>
      <c r="Y103" s="44"/>
      <c r="AA103" s="44"/>
      <c r="AB103" s="44"/>
      <c r="AD103" s="44"/>
      <c r="AE103" s="44"/>
      <c r="AG103" s="44"/>
      <c r="AH103" s="44"/>
    </row>
  </sheetData>
  <mergeCells count="8">
    <mergeCell ref="AD8:AE8"/>
    <mergeCell ref="AG8:AH8"/>
    <mergeCell ref="L8:M8"/>
    <mergeCell ref="O8:P8"/>
    <mergeCell ref="R8:S8"/>
    <mergeCell ref="U8:V8"/>
    <mergeCell ref="X8:Y8"/>
    <mergeCell ref="AA8:AB8"/>
  </mergeCells>
  <dataValidations count="2">
    <dataValidation type="list" allowBlank="1" showInputMessage="1" showErrorMessage="1" sqref="O9 R9 U9 X9 AA9 AD9 AG9 L9" xr:uid="{00000000-0002-0000-0800-000000000000}">
      <formula1>$AJ$12:$AJ$19</formula1>
    </dataValidation>
    <dataValidation type="list" allowBlank="1" showInputMessage="1" showErrorMessage="1" sqref="AP9" xr:uid="{0331D8F2-839E-4B4F-A278-14CAC42478FF}">
      <formula1>$AS$9:$AS$10</formula1>
    </dataValidation>
  </dataValidations>
  <pageMargins left="0.7" right="0.7" top="0.75" bottom="0.75" header="0.3" footer="0.3"/>
  <pageSetup paperSize="9" orientation="portrait" horizontalDpi="200" verticalDpi="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0" id="{9AED8FE6-1E3F-40FA-BC8D-6814ADDD04B9}">
            <xm:f>LEFT($C69,4)*1&gt;LEFT('General inputs'!$I$16,4)+'General inputs'!$H$38-1</xm:f>
            <x14:dxf>
              <fill>
                <patternFill>
                  <bgColor rgb="FFDDDDDD"/>
                </patternFill>
              </fill>
            </x14:dxf>
          </x14:cfRule>
          <xm:sqref>D69:D102</xm:sqref>
        </x14:conditionalFormatting>
        <x14:conditionalFormatting xmlns:xm="http://schemas.microsoft.com/office/excel/2006/main">
          <x14:cfRule type="expression" priority="49" id="{95E9D61C-41DD-450B-B9C3-0D029F26CA69}">
            <xm:f>LEFT($C69,4)*1&gt;LEFT('General inputs'!$I$16,4)*1+'General inputs'!$H$38-1</xm:f>
            <x14:dxf>
              <fill>
                <patternFill>
                  <bgColor rgb="FFDDDDDD"/>
                </patternFill>
              </fill>
            </x14:dxf>
          </x14:cfRule>
          <xm:sqref>F69:F102 I69:I102 L69:L102 O69:O102 R69:R102 U69:U102 X69:X102 AA69:AA102 AD69:AD102 AG69:AG102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dbf6c8-2d13-4cc8-b9cc-158f7eeca08b">
      <Terms xmlns="http://schemas.microsoft.com/office/infopath/2007/PartnerControls"/>
    </lcf76f155ced4ddcb4097134ff3c332f>
    <TaxCatchAll xmlns="adaf1f68-63ae-4574-8325-2993fa162e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F227C087376F544BCF146733A4D3C15" ma:contentTypeVersion="13" ma:contentTypeDescription="Create a new document." ma:contentTypeScope="" ma:versionID="4a5daac12f2786c72c4ed817587f2975">
  <xsd:schema xmlns:xsd="http://www.w3.org/2001/XMLSchema" xmlns:xs="http://www.w3.org/2001/XMLSchema" xmlns:p="http://schemas.microsoft.com/office/2006/metadata/properties" xmlns:ns2="37dbf6c8-2d13-4cc8-b9cc-158f7eeca08b" xmlns:ns3="adaf1f68-63ae-4574-8325-2993fa162e81" targetNamespace="http://schemas.microsoft.com/office/2006/metadata/properties" ma:root="true" ma:fieldsID="0ea82f889cdaacf919345218f0512068" ns2:_="" ns3:_="">
    <xsd:import namespace="37dbf6c8-2d13-4cc8-b9cc-158f7eeca08b"/>
    <xsd:import namespace="adaf1f68-63ae-4574-8325-2993fa162e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dbf6c8-2d13-4cc8-b9cc-158f7eec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9e01b71-7c18-4006-bfa5-456d3a880d6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af1f68-63ae-4574-8325-2993fa162e8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46b6394-ac87-40e3-9345-b5559cd1061e}" ma:internalName="TaxCatchAll" ma:showField="CatchAllData" ma:web="adaf1f68-63ae-4574-8325-2993fa162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2.xml><?xml version="1.0" encoding="utf-8"?>
<ds:datastoreItem xmlns:ds="http://schemas.openxmlformats.org/officeDocument/2006/customXml" ds:itemID="{4E92686B-109C-4C2E-9EB9-58A7DA8EFFF0}">
  <ds:schemaRefs>
    <ds:schemaRef ds:uri="http://schemas.openxmlformats.org/package/2006/metadata/core-properties"/>
    <ds:schemaRef ds:uri="37dbf6c8-2d13-4cc8-b9cc-158f7eeca08b"/>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adaf1f68-63ae-4574-8325-2993fa162e81"/>
    <ds:schemaRef ds:uri="http://www.w3.org/XML/1998/namespace"/>
    <ds:schemaRef ds:uri="http://purl.org/dc/dcmitype/"/>
  </ds:schemaRefs>
</ds:datastoreItem>
</file>

<file path=customXml/itemProps3.xml><?xml version="1.0" encoding="utf-8"?>
<ds:datastoreItem xmlns:ds="http://schemas.openxmlformats.org/officeDocument/2006/customXml" ds:itemID="{7F852D87-9D0C-43FE-BBE6-B7F3531CE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dbf6c8-2d13-4cc8-b9cc-158f7eeca08b"/>
    <ds:schemaRef ds:uri="adaf1f68-63ae-4574-8325-2993fa162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Cover</vt:lpstr>
      <vt:lpstr>Journal of changes</vt:lpstr>
      <vt:lpstr>Summary of result</vt:lpstr>
      <vt:lpstr>MP Calculations</vt:lpstr>
      <vt:lpstr>General inputs</vt:lpstr>
      <vt:lpstr>Pre-1996 assets</vt:lpstr>
      <vt:lpstr>Post-1996 commissioned assets</vt:lpstr>
      <vt:lpstr>Uncommissioned assets</vt:lpstr>
      <vt:lpstr>ET inputs</vt:lpstr>
      <vt:lpstr>Reduction amount</vt:lpstr>
      <vt:lpstr>Headwork assets</vt:lpstr>
      <vt:lpstr>Scheme cost allocation</vt:lpstr>
      <vt:lpstr>Asset exclusions</vt:lpstr>
      <vt:lpstr>Cover!Print_Area</vt:lpstr>
    </vt:vector>
  </TitlesOfParts>
  <Manager/>
  <Company>IPART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McLennan</dc:creator>
  <cp:keywords/>
  <dc:description/>
  <cp:lastModifiedBy>Maria Tortura</cp:lastModifiedBy>
  <cp:revision/>
  <dcterms:created xsi:type="dcterms:W3CDTF">2014-05-19T07:21:06Z</dcterms:created>
  <dcterms:modified xsi:type="dcterms:W3CDTF">2023-11-30T23:47:38Z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0x0101001F227C087376F544BCF146733A4D3C15</vt:lpwstr>
  </property>
  <property fmtid="{D5CDD505-2E9C-101B-9397-08002B2CF9AE}" pid="3" name="MediaServiceImageTags">
    <vt:lpwstr/>
  </property>
</Properties>
</file>