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4FF6D083-DAEB-45BE-92A4-D61DF8D37A11}" xr6:coauthVersionLast="47" xr6:coauthVersionMax="47" xr10:uidLastSave="{00000000-0000-0000-0000-000000000000}"/>
  <bookViews>
    <workbookView xWindow="-110" yWindow="-110" windowWidth="19420" windowHeight="10420" tabRatio="722" firstSheet="1" activeTab="3" xr2:uid="{00000000-000D-0000-FFFF-FFFF00000000}"/>
  </bookViews>
  <sheets>
    <sheet name="Cover" sheetId="12" r:id="rId1"/>
    <sheet name="Journal of changes" sheetId="27"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Scheme cost allocation" sheetId="26" r:id="rId11"/>
    <sheet name="Headwork assets" sheetId="23" r:id="rId12"/>
    <sheet name="Asset exclusions" sheetId="24" r:id="rId13"/>
  </sheets>
  <definedNames>
    <definedName name="_xlnm._FilterDatabase" localSheetId="6" hidden="1">'Post-1996 commissioned assets'!$L$21:$R$313</definedName>
    <definedName name="_xlnm.Print_Area" localSheetId="0">Cover!$B$1:$E$100</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36" i="16" l="1"/>
  <c r="F634" i="16"/>
  <c r="F633" i="16"/>
  <c r="F632" i="16"/>
  <c r="F630" i="16"/>
  <c r="F629" i="16"/>
  <c r="F628" i="16"/>
  <c r="F627" i="16"/>
  <c r="F625" i="16"/>
  <c r="F624" i="16"/>
  <c r="F623" i="16"/>
  <c r="F622" i="16"/>
  <c r="F621" i="16"/>
  <c r="F620" i="16"/>
  <c r="F619" i="16"/>
  <c r="F618" i="16"/>
  <c r="F617" i="16"/>
  <c r="F616" i="16"/>
  <c r="F615" i="16"/>
  <c r="F614" i="16"/>
  <c r="F613" i="16"/>
  <c r="F612" i="16"/>
  <c r="F611" i="16"/>
  <c r="F610" i="16"/>
  <c r="H48" i="22"/>
  <c r="H43" i="22"/>
  <c r="F608" i="16"/>
  <c r="F607" i="16"/>
  <c r="F606" i="16"/>
  <c r="F605" i="16"/>
  <c r="F604" i="16"/>
  <c r="F603" i="16"/>
  <c r="F602" i="16"/>
  <c r="F601" i="16"/>
  <c r="F600" i="16"/>
  <c r="F599" i="16"/>
  <c r="F598" i="16"/>
  <c r="F597" i="16"/>
  <c r="F596" i="16"/>
  <c r="F595" i="16"/>
  <c r="F594" i="16"/>
  <c r="F593" i="16"/>
  <c r="F592" i="16"/>
  <c r="F591" i="16"/>
  <c r="F590" i="16"/>
  <c r="F589" i="16"/>
  <c r="F588" i="16"/>
  <c r="F587" i="16"/>
  <c r="F586" i="16"/>
  <c r="F585" i="16"/>
  <c r="F584" i="16"/>
  <c r="F583" i="16"/>
  <c r="F582" i="16"/>
  <c r="F581" i="16"/>
  <c r="F580" i="16"/>
  <c r="F579" i="16"/>
  <c r="F578" i="16"/>
  <c r="F577" i="16"/>
  <c r="F576" i="16"/>
  <c r="F575" i="16"/>
  <c r="F574" i="16"/>
  <c r="F573" i="16"/>
  <c r="F572" i="16"/>
  <c r="F571" i="16"/>
  <c r="F570" i="16"/>
  <c r="F569" i="16"/>
  <c r="F568" i="16"/>
  <c r="F567" i="16"/>
  <c r="F566" i="16"/>
  <c r="F565" i="16"/>
  <c r="F564" i="16"/>
  <c r="F563" i="16"/>
  <c r="F562" i="16"/>
  <c r="F561" i="16"/>
  <c r="F560" i="16"/>
  <c r="F559" i="16"/>
  <c r="F558" i="16"/>
  <c r="F557" i="16"/>
  <c r="F556" i="16"/>
  <c r="F555" i="16"/>
  <c r="F554" i="16"/>
  <c r="F553" i="16"/>
  <c r="F552" i="16"/>
  <c r="F551" i="16"/>
  <c r="F550" i="16"/>
  <c r="F549" i="16"/>
  <c r="F548" i="16"/>
  <c r="F547" i="16"/>
  <c r="F546" i="16"/>
  <c r="F545" i="16"/>
  <c r="F544" i="16"/>
  <c r="F543" i="16"/>
  <c r="F542" i="16"/>
  <c r="F541" i="16"/>
  <c r="F540" i="16"/>
  <c r="F539" i="16"/>
  <c r="F538" i="16"/>
  <c r="F537" i="16"/>
  <c r="F536" i="16"/>
  <c r="F535" i="16"/>
  <c r="F534" i="16"/>
  <c r="F533" i="16"/>
  <c r="F532" i="16"/>
  <c r="F531" i="16"/>
  <c r="F530" i="16"/>
  <c r="F529" i="16"/>
  <c r="F528" i="16"/>
  <c r="F527" i="16"/>
  <c r="F526" i="16"/>
  <c r="F525" i="16"/>
  <c r="F524" i="16"/>
  <c r="F523" i="16"/>
  <c r="F522" i="16"/>
  <c r="F521" i="16"/>
  <c r="F520" i="16"/>
  <c r="F519" i="16"/>
  <c r="F518" i="16"/>
  <c r="F517" i="16"/>
  <c r="F516" i="16"/>
  <c r="F515" i="16"/>
  <c r="F514" i="16"/>
  <c r="F513" i="16"/>
  <c r="F512" i="16"/>
  <c r="F511" i="16"/>
  <c r="F510" i="16"/>
  <c r="F509" i="16"/>
  <c r="F508" i="16"/>
  <c r="F507" i="16"/>
  <c r="F506" i="16"/>
  <c r="F505" i="16"/>
  <c r="F504" i="16"/>
  <c r="F503" i="16"/>
  <c r="F502" i="16"/>
  <c r="F501" i="16"/>
  <c r="F500" i="16"/>
  <c r="F499" i="16"/>
  <c r="F498" i="16"/>
  <c r="F497" i="16"/>
  <c r="F496" i="16"/>
  <c r="F495" i="16"/>
  <c r="F494" i="16"/>
  <c r="F493" i="16"/>
  <c r="F492" i="16"/>
  <c r="F491" i="16"/>
  <c r="F490" i="16"/>
  <c r="F489" i="16"/>
  <c r="F488" i="16"/>
  <c r="F487" i="16"/>
  <c r="F486" i="16"/>
  <c r="F485" i="16"/>
  <c r="F484" i="16"/>
  <c r="F483" i="16"/>
  <c r="F482" i="16"/>
  <c r="F481" i="16"/>
  <c r="F480" i="16"/>
  <c r="F479" i="16"/>
  <c r="F478" i="16"/>
  <c r="F477" i="16"/>
  <c r="F476" i="16"/>
  <c r="F475" i="16"/>
  <c r="F474" i="16"/>
  <c r="F473" i="16"/>
  <c r="F472" i="16"/>
  <c r="F471" i="16"/>
  <c r="F470" i="16"/>
  <c r="F469" i="16"/>
  <c r="F468" i="16"/>
  <c r="F467" i="16"/>
  <c r="F466" i="16"/>
  <c r="F465" i="16"/>
  <c r="F464" i="16"/>
  <c r="F463" i="16"/>
  <c r="F462" i="16"/>
  <c r="F461" i="16"/>
  <c r="F460" i="16"/>
  <c r="F459" i="16"/>
  <c r="F458" i="16"/>
  <c r="F457" i="16"/>
  <c r="F456" i="16"/>
  <c r="F455" i="16"/>
  <c r="F454" i="16"/>
  <c r="F453" i="16"/>
  <c r="F452" i="16"/>
  <c r="F451" i="16"/>
  <c r="F450" i="16"/>
  <c r="F449" i="16"/>
  <c r="F448" i="16"/>
  <c r="F447" i="16"/>
  <c r="F446" i="16"/>
  <c r="F445" i="16"/>
  <c r="F444" i="16"/>
  <c r="F443" i="16"/>
  <c r="F442" i="16"/>
  <c r="F441" i="16"/>
  <c r="F440" i="16"/>
  <c r="F439" i="16"/>
  <c r="F438" i="16"/>
  <c r="F437" i="16"/>
  <c r="F436" i="16"/>
  <c r="F435" i="16"/>
  <c r="F434" i="16"/>
  <c r="F433" i="16"/>
  <c r="F432" i="16"/>
  <c r="F431" i="16"/>
  <c r="F430" i="16"/>
  <c r="F429" i="16"/>
  <c r="F428" i="16"/>
  <c r="F427" i="16"/>
  <c r="F426" i="16"/>
  <c r="F425" i="16"/>
  <c r="F424" i="16"/>
  <c r="F423" i="16"/>
  <c r="F422" i="16"/>
  <c r="F421" i="16"/>
  <c r="F420" i="16"/>
  <c r="F419" i="16"/>
  <c r="F418" i="16"/>
  <c r="F417" i="16"/>
  <c r="F416" i="16"/>
  <c r="F415" i="16"/>
  <c r="F414" i="16"/>
  <c r="F413" i="16"/>
  <c r="F412" i="16"/>
  <c r="F411" i="16"/>
  <c r="F410" i="16"/>
  <c r="F409" i="16"/>
  <c r="F408" i="16"/>
  <c r="F407" i="16"/>
  <c r="F406" i="16"/>
  <c r="F405" i="16"/>
  <c r="F404" i="16"/>
  <c r="F403" i="16"/>
  <c r="F402" i="16"/>
  <c r="F401" i="16"/>
  <c r="F400" i="16"/>
  <c r="F399" i="16"/>
  <c r="F398" i="16"/>
  <c r="F397" i="16"/>
  <c r="F396" i="16"/>
  <c r="F395" i="16"/>
  <c r="F394" i="16"/>
  <c r="F393" i="16"/>
  <c r="F392" i="16"/>
  <c r="F391" i="16"/>
  <c r="F390" i="16"/>
  <c r="F389" i="16"/>
  <c r="F388" i="16"/>
  <c r="F387" i="16"/>
  <c r="F386" i="16"/>
  <c r="F385" i="16"/>
  <c r="F384" i="16"/>
  <c r="F383" i="16"/>
  <c r="F382" i="16"/>
  <c r="F381" i="16"/>
  <c r="F380" i="16"/>
  <c r="F379" i="16"/>
  <c r="F378" i="16"/>
  <c r="F377" i="16"/>
  <c r="F376" i="16"/>
  <c r="F375" i="16"/>
  <c r="F374" i="16"/>
  <c r="F373" i="16"/>
  <c r="F372" i="16"/>
  <c r="F371" i="16"/>
  <c r="F370" i="16"/>
  <c r="F369" i="16"/>
  <c r="F368" i="16"/>
  <c r="F367" i="16"/>
  <c r="F366" i="16"/>
  <c r="F365" i="16"/>
  <c r="F364" i="16"/>
  <c r="F363" i="16"/>
  <c r="F362" i="16"/>
  <c r="F361" i="16"/>
  <c r="F360" i="16"/>
  <c r="F359" i="16"/>
  <c r="F358" i="16"/>
  <c r="F357" i="16"/>
  <c r="F356" i="16"/>
  <c r="F355" i="16"/>
  <c r="F354" i="16"/>
  <c r="F353" i="16"/>
  <c r="F352" i="16"/>
  <c r="F351" i="16"/>
  <c r="F350" i="16"/>
  <c r="F349" i="16"/>
  <c r="F348" i="16"/>
  <c r="F347" i="16"/>
  <c r="F346" i="16"/>
  <c r="F345" i="16"/>
  <c r="F344" i="16"/>
  <c r="F343" i="16"/>
  <c r="F342" i="16"/>
  <c r="F341" i="16"/>
  <c r="F340" i="16"/>
  <c r="F339" i="16"/>
  <c r="F338" i="16"/>
  <c r="F337" i="16"/>
  <c r="F336" i="16"/>
  <c r="F335" i="16"/>
  <c r="F334" i="16"/>
  <c r="F333" i="16"/>
  <c r="F332" i="16"/>
  <c r="F331" i="16"/>
  <c r="F330" i="16"/>
  <c r="F329" i="16"/>
  <c r="F328" i="16"/>
  <c r="F327" i="16"/>
  <c r="F326" i="16"/>
  <c r="F325" i="16"/>
  <c r="F324" i="16"/>
  <c r="F323" i="16"/>
  <c r="F322" i="16"/>
  <c r="F321" i="16"/>
  <c r="F320" i="16"/>
  <c r="F319" i="16"/>
  <c r="F318" i="16"/>
  <c r="F317" i="16"/>
  <c r="F316" i="16"/>
  <c r="F315" i="16"/>
  <c r="F314" i="16"/>
  <c r="F313" i="16"/>
  <c r="F312" i="16"/>
  <c r="F311" i="16"/>
  <c r="F310" i="16"/>
  <c r="F309" i="16"/>
  <c r="F308" i="16"/>
  <c r="F307" i="16"/>
  <c r="F306" i="16"/>
  <c r="F305" i="16"/>
  <c r="F304" i="16"/>
  <c r="F303" i="16"/>
  <c r="F302" i="16"/>
  <c r="F301" i="16"/>
  <c r="F300" i="16"/>
  <c r="F299" i="16"/>
  <c r="F298" i="16"/>
  <c r="F297" i="16"/>
  <c r="F296" i="16"/>
  <c r="F295" i="16"/>
  <c r="F294" i="16"/>
  <c r="F293" i="16"/>
  <c r="F292" i="16"/>
  <c r="F291" i="16"/>
  <c r="F290" i="16"/>
  <c r="F289" i="16"/>
  <c r="F288" i="16"/>
  <c r="F287" i="16"/>
  <c r="F286" i="16"/>
  <c r="F285" i="16"/>
  <c r="F284" i="16"/>
  <c r="F283" i="16"/>
  <c r="F282" i="16"/>
  <c r="F281" i="16"/>
  <c r="F280" i="16"/>
  <c r="F279" i="16"/>
  <c r="F278" i="16"/>
  <c r="F277" i="16"/>
  <c r="F276" i="16"/>
  <c r="F275" i="16"/>
  <c r="F274" i="16"/>
  <c r="F273" i="16"/>
  <c r="F272" i="16"/>
  <c r="F271" i="16"/>
  <c r="F270" i="16"/>
  <c r="F269" i="16"/>
  <c r="F268" i="16"/>
  <c r="F267" i="16"/>
  <c r="F266" i="16"/>
  <c r="F265" i="16"/>
  <c r="F264" i="16"/>
  <c r="F263" i="16"/>
  <c r="F262" i="16"/>
  <c r="F261" i="16"/>
  <c r="F260" i="16"/>
  <c r="F259" i="16"/>
  <c r="F258" i="16"/>
  <c r="F257" i="16"/>
  <c r="F256" i="16"/>
  <c r="F255" i="16"/>
  <c r="F254" i="16"/>
  <c r="F253" i="16"/>
  <c r="F252" i="16"/>
  <c r="F251" i="16"/>
  <c r="F250" i="16"/>
  <c r="F249" i="16"/>
  <c r="F248" i="16"/>
  <c r="F247" i="16"/>
  <c r="F246" i="16"/>
  <c r="F245" i="16"/>
  <c r="F244" i="16"/>
  <c r="F243" i="16"/>
  <c r="F242" i="16"/>
  <c r="F241" i="16"/>
  <c r="F240" i="16"/>
  <c r="F239" i="16"/>
  <c r="F238" i="16"/>
  <c r="F237" i="16"/>
  <c r="F236" i="16"/>
  <c r="F235" i="16"/>
  <c r="F234" i="16"/>
  <c r="F233" i="16"/>
  <c r="F232" i="16"/>
  <c r="F231" i="16"/>
  <c r="F230" i="16"/>
  <c r="F229" i="16"/>
  <c r="F228" i="16"/>
  <c r="F227" i="16"/>
  <c r="F226" i="16"/>
  <c r="F225" i="16"/>
  <c r="F224" i="16"/>
  <c r="F223" i="16"/>
  <c r="F222" i="16"/>
  <c r="F221" i="16"/>
  <c r="F220" i="16"/>
  <c r="F219" i="16"/>
  <c r="F218" i="16"/>
  <c r="F217" i="16"/>
  <c r="F216" i="16"/>
  <c r="F215" i="16"/>
  <c r="F214" i="16"/>
  <c r="F213" i="16"/>
  <c r="F212" i="16"/>
  <c r="F211" i="16"/>
  <c r="F210" i="16"/>
  <c r="F209" i="16"/>
  <c r="F208" i="16"/>
  <c r="F207" i="16"/>
  <c r="F206" i="16"/>
  <c r="F205" i="16"/>
  <c r="F204" i="16"/>
  <c r="F203" i="16"/>
  <c r="F202" i="16"/>
  <c r="F201" i="16"/>
  <c r="F200" i="16"/>
  <c r="F199" i="16"/>
  <c r="F198" i="16"/>
  <c r="F197" i="16"/>
  <c r="F196" i="16"/>
  <c r="F195" i="16"/>
  <c r="F194" i="16"/>
  <c r="F193" i="16"/>
  <c r="F192" i="16"/>
  <c r="F191" i="16"/>
  <c r="F190" i="16"/>
  <c r="F189" i="16"/>
  <c r="F188" i="16"/>
  <c r="F187" i="16"/>
  <c r="F186" i="16"/>
  <c r="F185" i="16"/>
  <c r="F184" i="16"/>
  <c r="F183" i="16"/>
  <c r="F182" i="16"/>
  <c r="F181" i="16"/>
  <c r="F180" i="16"/>
  <c r="F179" i="16"/>
  <c r="F178" i="16"/>
  <c r="F177" i="16"/>
  <c r="F176" i="16"/>
  <c r="F175" i="16"/>
  <c r="F174" i="16"/>
  <c r="F173" i="16"/>
  <c r="F172" i="16"/>
  <c r="F171" i="16"/>
  <c r="F170" i="16"/>
  <c r="F169" i="16"/>
  <c r="F168" i="16"/>
  <c r="F167" i="16"/>
  <c r="F166" i="16"/>
  <c r="F165" i="16"/>
  <c r="F164" i="16"/>
  <c r="F163" i="16"/>
  <c r="F162" i="16"/>
  <c r="F161" i="16"/>
  <c r="F160" i="16"/>
  <c r="F159" i="16"/>
  <c r="F158" i="16"/>
  <c r="F157" i="16"/>
  <c r="F156" i="16"/>
  <c r="F155" i="16"/>
  <c r="F154" i="16"/>
  <c r="F153" i="16"/>
  <c r="F152" i="16"/>
  <c r="F151" i="16"/>
  <c r="F150" i="16"/>
  <c r="F149" i="16"/>
  <c r="F148" i="16"/>
  <c r="F147" i="16"/>
  <c r="F146" i="16"/>
  <c r="F145" i="16"/>
  <c r="F144" i="16"/>
  <c r="F143" i="16"/>
  <c r="F142" i="16"/>
  <c r="F141" i="16"/>
  <c r="F140" i="16"/>
  <c r="F139" i="16"/>
  <c r="F138" i="16"/>
  <c r="F137" i="16"/>
  <c r="F136" i="16"/>
  <c r="F135" i="16"/>
  <c r="F134" i="16"/>
  <c r="F133" i="16"/>
  <c r="F132" i="16"/>
  <c r="F131" i="16"/>
  <c r="F130" i="16"/>
  <c r="F129" i="16"/>
  <c r="F128" i="16"/>
  <c r="F127" i="16"/>
  <c r="F126" i="16"/>
  <c r="F125" i="16"/>
  <c r="F124" i="16"/>
  <c r="F123" i="16"/>
  <c r="F122" i="16"/>
  <c r="F121" i="16"/>
  <c r="F120" i="16"/>
  <c r="F119" i="16"/>
  <c r="F118" i="16"/>
  <c r="F117" i="16"/>
  <c r="F116"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I18" i="17"/>
  <c r="I15" i="17"/>
  <c r="O36" i="14"/>
  <c r="O636" i="16"/>
  <c r="E636" i="16"/>
  <c r="O84" i="14"/>
  <c r="O83" i="14"/>
  <c r="O82" i="14"/>
  <c r="O634" i="16"/>
  <c r="O633" i="16"/>
  <c r="O632" i="16"/>
  <c r="O631" i="16"/>
  <c r="O630" i="16"/>
  <c r="O629" i="16"/>
  <c r="O628" i="16"/>
  <c r="O627" i="16"/>
  <c r="O625" i="16"/>
  <c r="O624" i="16"/>
  <c r="O623" i="16"/>
  <c r="O622" i="16"/>
  <c r="O621" i="16"/>
  <c r="O620" i="16"/>
  <c r="O619" i="16"/>
  <c r="O618" i="16"/>
  <c r="O617" i="16"/>
  <c r="O616" i="16"/>
  <c r="O615" i="16"/>
  <c r="O614" i="16"/>
  <c r="O613" i="16"/>
  <c r="O612" i="16"/>
  <c r="O611" i="16"/>
  <c r="O610" i="16"/>
  <c r="O608" i="16"/>
  <c r="E634" i="16"/>
  <c r="E633" i="16"/>
  <c r="E632" i="16"/>
  <c r="F87" i="14"/>
  <c r="F86" i="14"/>
  <c r="F85" i="14"/>
  <c r="F84" i="14"/>
  <c r="F83" i="14"/>
  <c r="F82" i="14"/>
  <c r="E84" i="14"/>
  <c r="E83" i="14"/>
  <c r="E82" i="14"/>
  <c r="E630" i="16"/>
  <c r="E629" i="16"/>
  <c r="E628" i="16"/>
  <c r="E627" i="16"/>
  <c r="E73" i="14"/>
  <c r="F73" i="14"/>
  <c r="E74" i="14"/>
  <c r="F74" i="14"/>
  <c r="E75" i="14"/>
  <c r="F75" i="14"/>
  <c r="E76" i="14"/>
  <c r="F76" i="14"/>
  <c r="E77" i="14"/>
  <c r="F77" i="14"/>
  <c r="E78" i="14"/>
  <c r="F78" i="14"/>
  <c r="E79" i="14"/>
  <c r="F79" i="14"/>
  <c r="E80" i="14"/>
  <c r="F80" i="14"/>
  <c r="E85" i="14"/>
  <c r="E86" i="14"/>
  <c r="E87" i="14"/>
  <c r="E88" i="14"/>
  <c r="F88" i="14"/>
  <c r="O73" i="14"/>
  <c r="O74" i="14"/>
  <c r="O75" i="14"/>
  <c r="O76" i="14"/>
  <c r="O77" i="14"/>
  <c r="O78" i="14"/>
  <c r="O79" i="14"/>
  <c r="O80" i="14"/>
  <c r="O85" i="14"/>
  <c r="O86" i="14"/>
  <c r="O87" i="14"/>
  <c r="O88" i="14"/>
  <c r="E625" i="16"/>
  <c r="E624" i="16"/>
  <c r="E623" i="16"/>
  <c r="E622" i="16"/>
  <c r="E621" i="16"/>
  <c r="E620" i="16"/>
  <c r="E619" i="16"/>
  <c r="E618" i="16"/>
  <c r="E617" i="16"/>
  <c r="E616" i="16"/>
  <c r="E615" i="16"/>
  <c r="E614" i="16"/>
  <c r="E613" i="16"/>
  <c r="E612" i="16"/>
  <c r="E611" i="16"/>
  <c r="E610" i="16"/>
  <c r="E608" i="16"/>
  <c r="O607" i="16"/>
  <c r="E607" i="16"/>
  <c r="O606" i="16"/>
  <c r="E606" i="16"/>
  <c r="O605" i="16"/>
  <c r="E605" i="16"/>
  <c r="O604" i="16"/>
  <c r="E604" i="16"/>
  <c r="O603" i="16"/>
  <c r="E603" i="16"/>
  <c r="O602" i="16"/>
  <c r="E602" i="16"/>
  <c r="O601" i="16"/>
  <c r="E601" i="16"/>
  <c r="O600" i="16"/>
  <c r="E600" i="16"/>
  <c r="O599" i="16"/>
  <c r="E599" i="16"/>
  <c r="O598" i="16"/>
  <c r="E598" i="16"/>
  <c r="O597" i="16"/>
  <c r="E597" i="16"/>
  <c r="O596" i="16"/>
  <c r="E596" i="16"/>
  <c r="O595" i="16"/>
  <c r="E595" i="16"/>
  <c r="O594" i="16"/>
  <c r="E594" i="16"/>
  <c r="O593" i="16"/>
  <c r="E593" i="16"/>
  <c r="O592" i="16"/>
  <c r="E592" i="16"/>
  <c r="O591" i="16"/>
  <c r="E591" i="16"/>
  <c r="O590" i="16"/>
  <c r="E590" i="16"/>
  <c r="O589" i="16"/>
  <c r="E589" i="16"/>
  <c r="O588" i="16"/>
  <c r="E588" i="16"/>
  <c r="O587" i="16"/>
  <c r="E587" i="16"/>
  <c r="O586" i="16"/>
  <c r="E586" i="16"/>
  <c r="O585" i="16"/>
  <c r="E585" i="16"/>
  <c r="O584" i="16"/>
  <c r="E584" i="16"/>
  <c r="O583" i="16"/>
  <c r="E583" i="16"/>
  <c r="O582" i="16"/>
  <c r="E582" i="16"/>
  <c r="O581" i="16"/>
  <c r="E581" i="16"/>
  <c r="O580" i="16"/>
  <c r="E580" i="16"/>
  <c r="O579" i="16"/>
  <c r="E579" i="16"/>
  <c r="O578" i="16"/>
  <c r="E578" i="16"/>
  <c r="O577" i="16"/>
  <c r="E577" i="16"/>
  <c r="O576" i="16"/>
  <c r="E576" i="16"/>
  <c r="O575" i="16"/>
  <c r="E575" i="16"/>
  <c r="O574" i="16"/>
  <c r="E574" i="16"/>
  <c r="O573" i="16"/>
  <c r="E573" i="16"/>
  <c r="O572" i="16"/>
  <c r="E572" i="16"/>
  <c r="O571" i="16"/>
  <c r="E571" i="16"/>
  <c r="O570" i="16"/>
  <c r="E570" i="16"/>
  <c r="O569" i="16"/>
  <c r="E569" i="16"/>
  <c r="O568" i="16"/>
  <c r="E568" i="16"/>
  <c r="O567" i="16"/>
  <c r="E567" i="16"/>
  <c r="O566" i="16"/>
  <c r="E566" i="16"/>
  <c r="O565" i="16"/>
  <c r="E565" i="16"/>
  <c r="O564" i="16"/>
  <c r="E564" i="16"/>
  <c r="O563" i="16"/>
  <c r="E563" i="16"/>
  <c r="O562" i="16"/>
  <c r="E562" i="16"/>
  <c r="O561" i="16"/>
  <c r="E561" i="16"/>
  <c r="O560" i="16"/>
  <c r="E560" i="16"/>
  <c r="O559" i="16"/>
  <c r="E559" i="16"/>
  <c r="O558" i="16"/>
  <c r="E558" i="16"/>
  <c r="O557" i="16"/>
  <c r="E557" i="16"/>
  <c r="O556" i="16"/>
  <c r="E556" i="16"/>
  <c r="O555" i="16"/>
  <c r="E555" i="16"/>
  <c r="O554" i="16"/>
  <c r="E554" i="16"/>
  <c r="O553" i="16"/>
  <c r="E553" i="16"/>
  <c r="O552" i="16"/>
  <c r="E552" i="16"/>
  <c r="O551" i="16"/>
  <c r="E551" i="16"/>
  <c r="O550" i="16"/>
  <c r="E550" i="16"/>
  <c r="O549" i="16"/>
  <c r="E549" i="16"/>
  <c r="O548" i="16"/>
  <c r="E548" i="16"/>
  <c r="O547" i="16"/>
  <c r="E547" i="16"/>
  <c r="O546" i="16"/>
  <c r="E546" i="16"/>
  <c r="O545" i="16"/>
  <c r="E545" i="16"/>
  <c r="O544" i="16"/>
  <c r="E544" i="16"/>
  <c r="O543" i="16"/>
  <c r="E543" i="16"/>
  <c r="O542" i="16"/>
  <c r="E542" i="16"/>
  <c r="O541" i="16"/>
  <c r="E541" i="16"/>
  <c r="O540" i="16"/>
  <c r="E540" i="16"/>
  <c r="O539" i="16"/>
  <c r="E539" i="16"/>
  <c r="O538" i="16"/>
  <c r="E538" i="16"/>
  <c r="O537" i="16"/>
  <c r="E537" i="16"/>
  <c r="O536" i="16"/>
  <c r="E536" i="16"/>
  <c r="O535" i="16"/>
  <c r="E535" i="16"/>
  <c r="O534" i="16"/>
  <c r="E534" i="16"/>
  <c r="O533" i="16"/>
  <c r="E533" i="16"/>
  <c r="O532" i="16"/>
  <c r="E532" i="16"/>
  <c r="O531" i="16"/>
  <c r="E531" i="16"/>
  <c r="O530" i="16"/>
  <c r="E530" i="16"/>
  <c r="O529" i="16"/>
  <c r="E529" i="16"/>
  <c r="O528" i="16"/>
  <c r="E528" i="16"/>
  <c r="O527" i="16"/>
  <c r="E527" i="16"/>
  <c r="O526" i="16"/>
  <c r="E526" i="16"/>
  <c r="O525" i="16"/>
  <c r="E525" i="16"/>
  <c r="O524" i="16"/>
  <c r="E524" i="16"/>
  <c r="O523" i="16"/>
  <c r="E523" i="16"/>
  <c r="O522" i="16"/>
  <c r="E522" i="16"/>
  <c r="O521" i="16"/>
  <c r="E521" i="16"/>
  <c r="O520" i="16"/>
  <c r="E520" i="16"/>
  <c r="O519" i="16"/>
  <c r="E519" i="16"/>
  <c r="O518" i="16"/>
  <c r="E518" i="16"/>
  <c r="O517" i="16"/>
  <c r="E517" i="16"/>
  <c r="O516" i="16"/>
  <c r="E516" i="16"/>
  <c r="O515" i="16"/>
  <c r="E515" i="16"/>
  <c r="O514" i="16"/>
  <c r="E514" i="16"/>
  <c r="O513" i="16"/>
  <c r="E513" i="16"/>
  <c r="O512" i="16"/>
  <c r="E512" i="16"/>
  <c r="O511" i="16"/>
  <c r="E511" i="16"/>
  <c r="O510" i="16"/>
  <c r="E510" i="16"/>
  <c r="O509" i="16"/>
  <c r="E509" i="16"/>
  <c r="O508" i="16"/>
  <c r="E508" i="16"/>
  <c r="O507" i="16"/>
  <c r="E507" i="16"/>
  <c r="O506" i="16"/>
  <c r="E506" i="16"/>
  <c r="O505" i="16"/>
  <c r="E505" i="16"/>
  <c r="O504" i="16"/>
  <c r="E504" i="16"/>
  <c r="O503" i="16"/>
  <c r="E503" i="16"/>
  <c r="O502" i="16"/>
  <c r="E502" i="16"/>
  <c r="O501" i="16"/>
  <c r="E501" i="16"/>
  <c r="O500" i="16"/>
  <c r="E500" i="16"/>
  <c r="O499" i="16"/>
  <c r="E499" i="16"/>
  <c r="O498" i="16"/>
  <c r="E498" i="16"/>
  <c r="O497" i="16"/>
  <c r="E497" i="16"/>
  <c r="O496" i="16"/>
  <c r="E496" i="16"/>
  <c r="O495" i="16"/>
  <c r="E495" i="16"/>
  <c r="O494" i="16"/>
  <c r="E494" i="16"/>
  <c r="O493" i="16"/>
  <c r="E493" i="16"/>
  <c r="O492" i="16"/>
  <c r="E492" i="16"/>
  <c r="O491" i="16"/>
  <c r="E491" i="16"/>
  <c r="O490" i="16"/>
  <c r="E490" i="16"/>
  <c r="O489" i="16"/>
  <c r="E489" i="16"/>
  <c r="O488" i="16"/>
  <c r="E488" i="16"/>
  <c r="O487" i="16"/>
  <c r="E487" i="16"/>
  <c r="O486" i="16"/>
  <c r="E486" i="16"/>
  <c r="O485" i="16"/>
  <c r="E485" i="16"/>
  <c r="O484" i="16"/>
  <c r="E484" i="16"/>
  <c r="O483" i="16"/>
  <c r="E483" i="16"/>
  <c r="O482" i="16"/>
  <c r="E482" i="16"/>
  <c r="O481" i="16"/>
  <c r="E481" i="16"/>
  <c r="O480" i="16"/>
  <c r="E480" i="16"/>
  <c r="O479" i="16"/>
  <c r="E479" i="16"/>
  <c r="O478" i="16"/>
  <c r="E478" i="16"/>
  <c r="O477" i="16"/>
  <c r="E477" i="16"/>
  <c r="O476" i="16"/>
  <c r="E476" i="16"/>
  <c r="O475" i="16"/>
  <c r="E475" i="16"/>
  <c r="O474" i="16"/>
  <c r="E474" i="16"/>
  <c r="O473" i="16"/>
  <c r="E473" i="16"/>
  <c r="O472" i="16"/>
  <c r="E472" i="16"/>
  <c r="O471" i="16"/>
  <c r="E471" i="16"/>
  <c r="O470" i="16"/>
  <c r="E470" i="16"/>
  <c r="O469" i="16"/>
  <c r="E469" i="16"/>
  <c r="O468" i="16"/>
  <c r="E468" i="16"/>
  <c r="O467" i="16"/>
  <c r="E467" i="16"/>
  <c r="O466" i="16"/>
  <c r="E466" i="16"/>
  <c r="O465" i="16"/>
  <c r="E465" i="16"/>
  <c r="O464" i="16"/>
  <c r="E464" i="16"/>
  <c r="O463" i="16"/>
  <c r="E463" i="16"/>
  <c r="O462" i="16"/>
  <c r="E462" i="16"/>
  <c r="O461" i="16"/>
  <c r="E461" i="16"/>
  <c r="O460" i="16"/>
  <c r="E460" i="16"/>
  <c r="O459" i="16"/>
  <c r="E459" i="16"/>
  <c r="O458" i="16"/>
  <c r="E458" i="16"/>
  <c r="O457" i="16"/>
  <c r="E457" i="16"/>
  <c r="O456" i="16"/>
  <c r="E456" i="16"/>
  <c r="O455" i="16"/>
  <c r="E455" i="16"/>
  <c r="O454" i="16"/>
  <c r="E454" i="16"/>
  <c r="O453" i="16"/>
  <c r="E453" i="16"/>
  <c r="O452" i="16"/>
  <c r="E452" i="16"/>
  <c r="O451" i="16"/>
  <c r="E451" i="16"/>
  <c r="O450" i="16"/>
  <c r="E450" i="16"/>
  <c r="O449" i="16"/>
  <c r="E449" i="16"/>
  <c r="O448" i="16"/>
  <c r="E448" i="16"/>
  <c r="O447" i="16"/>
  <c r="E447" i="16"/>
  <c r="O446" i="16"/>
  <c r="E446" i="16"/>
  <c r="O445" i="16"/>
  <c r="E445" i="16"/>
  <c r="O444" i="16"/>
  <c r="E444" i="16"/>
  <c r="O443" i="16"/>
  <c r="E443" i="16"/>
  <c r="O442" i="16"/>
  <c r="E442" i="16"/>
  <c r="O441" i="16"/>
  <c r="E441" i="16"/>
  <c r="O440" i="16"/>
  <c r="E440" i="16"/>
  <c r="O439" i="16"/>
  <c r="E439" i="16"/>
  <c r="O438" i="16"/>
  <c r="E438" i="16"/>
  <c r="O437" i="16"/>
  <c r="E437" i="16"/>
  <c r="O436" i="16"/>
  <c r="E436" i="16"/>
  <c r="O435" i="16"/>
  <c r="E435" i="16"/>
  <c r="O434" i="16"/>
  <c r="E434" i="16"/>
  <c r="O433" i="16"/>
  <c r="E433" i="16"/>
  <c r="O432" i="16"/>
  <c r="E432" i="16"/>
  <c r="O431" i="16"/>
  <c r="E431" i="16"/>
  <c r="O430" i="16"/>
  <c r="E430" i="16"/>
  <c r="O429" i="16"/>
  <c r="E429" i="16"/>
  <c r="O428" i="16"/>
  <c r="E428" i="16"/>
  <c r="O427" i="16"/>
  <c r="E427" i="16"/>
  <c r="O426" i="16"/>
  <c r="E426" i="16"/>
  <c r="O425" i="16"/>
  <c r="E425" i="16"/>
  <c r="O424" i="16"/>
  <c r="E424" i="16"/>
  <c r="O423" i="16"/>
  <c r="E423" i="16"/>
  <c r="O422" i="16"/>
  <c r="E422" i="16"/>
  <c r="O421" i="16"/>
  <c r="E421" i="16"/>
  <c r="O420" i="16"/>
  <c r="E420" i="16"/>
  <c r="O419" i="16"/>
  <c r="E419" i="16"/>
  <c r="O418" i="16"/>
  <c r="E418" i="16"/>
  <c r="O417" i="16"/>
  <c r="E417" i="16"/>
  <c r="O416" i="16"/>
  <c r="E416" i="16"/>
  <c r="O415" i="16"/>
  <c r="E415" i="16"/>
  <c r="O414" i="16"/>
  <c r="E414" i="16"/>
  <c r="O413" i="16"/>
  <c r="E413" i="16"/>
  <c r="O412" i="16"/>
  <c r="E412" i="16"/>
  <c r="O411" i="16"/>
  <c r="E411" i="16"/>
  <c r="O410" i="16"/>
  <c r="E410" i="16"/>
  <c r="O409" i="16"/>
  <c r="E409" i="16"/>
  <c r="O408" i="16"/>
  <c r="E408" i="16"/>
  <c r="O407" i="16"/>
  <c r="E407" i="16"/>
  <c r="O406" i="16"/>
  <c r="E406" i="16"/>
  <c r="O405" i="16"/>
  <c r="E405" i="16"/>
  <c r="O404" i="16"/>
  <c r="E404" i="16"/>
  <c r="O403" i="16"/>
  <c r="E403" i="16"/>
  <c r="O402" i="16"/>
  <c r="E402" i="16"/>
  <c r="O401" i="16"/>
  <c r="E401" i="16"/>
  <c r="O400" i="16"/>
  <c r="E400" i="16"/>
  <c r="O399" i="16"/>
  <c r="E399" i="16"/>
  <c r="O398" i="16"/>
  <c r="E398" i="16"/>
  <c r="O397" i="16"/>
  <c r="E397" i="16"/>
  <c r="O396" i="16"/>
  <c r="E396" i="16"/>
  <c r="O395" i="16"/>
  <c r="E395" i="16"/>
  <c r="O394" i="16"/>
  <c r="E394" i="16"/>
  <c r="O393" i="16"/>
  <c r="E393" i="16"/>
  <c r="O392" i="16"/>
  <c r="E392" i="16"/>
  <c r="O391" i="16"/>
  <c r="E391" i="16"/>
  <c r="O390" i="16"/>
  <c r="E390" i="16"/>
  <c r="O389" i="16"/>
  <c r="E389" i="16"/>
  <c r="O388" i="16"/>
  <c r="E388" i="16"/>
  <c r="O387" i="16"/>
  <c r="E387" i="16"/>
  <c r="O386" i="16"/>
  <c r="E386" i="16"/>
  <c r="O385" i="16"/>
  <c r="E385" i="16"/>
  <c r="O384" i="16"/>
  <c r="E384" i="16"/>
  <c r="O383" i="16"/>
  <c r="E383" i="16"/>
  <c r="O382" i="16"/>
  <c r="E382" i="16"/>
  <c r="O381" i="16"/>
  <c r="E381" i="16"/>
  <c r="O380" i="16"/>
  <c r="E380" i="16"/>
  <c r="O379" i="16"/>
  <c r="E379" i="16"/>
  <c r="O378" i="16"/>
  <c r="E378" i="16"/>
  <c r="O377" i="16"/>
  <c r="E377" i="16"/>
  <c r="O376" i="16"/>
  <c r="E376" i="16"/>
  <c r="O375" i="16"/>
  <c r="E375" i="16"/>
  <c r="O374" i="16"/>
  <c r="E374" i="16"/>
  <c r="O373" i="16"/>
  <c r="E373" i="16"/>
  <c r="O372" i="16"/>
  <c r="E372" i="16"/>
  <c r="O371" i="16"/>
  <c r="E371" i="16"/>
  <c r="O370" i="16"/>
  <c r="E370" i="16"/>
  <c r="O369" i="16"/>
  <c r="E369" i="16"/>
  <c r="O368" i="16"/>
  <c r="E368" i="16"/>
  <c r="O367" i="16"/>
  <c r="E367" i="16"/>
  <c r="O366" i="16"/>
  <c r="E366" i="16"/>
  <c r="O365" i="16"/>
  <c r="E365" i="16"/>
  <c r="O364" i="16"/>
  <c r="E364" i="16"/>
  <c r="O363" i="16"/>
  <c r="E363" i="16"/>
  <c r="O362" i="16"/>
  <c r="E362" i="16"/>
  <c r="O361" i="16"/>
  <c r="E361" i="16"/>
  <c r="O360" i="16"/>
  <c r="E360" i="16"/>
  <c r="O359" i="16"/>
  <c r="E359" i="16"/>
  <c r="O358" i="16"/>
  <c r="E358" i="16"/>
  <c r="O357" i="16"/>
  <c r="E357" i="16"/>
  <c r="O356" i="16"/>
  <c r="E356" i="16"/>
  <c r="O355" i="16"/>
  <c r="E355" i="16"/>
  <c r="O354" i="16"/>
  <c r="E354" i="16"/>
  <c r="O353" i="16"/>
  <c r="E353" i="16"/>
  <c r="O352" i="16"/>
  <c r="E352" i="16"/>
  <c r="O351" i="16"/>
  <c r="E351" i="16"/>
  <c r="O350" i="16"/>
  <c r="E350" i="16"/>
  <c r="O349" i="16"/>
  <c r="E349" i="16"/>
  <c r="O348" i="16"/>
  <c r="E348" i="16"/>
  <c r="O347" i="16"/>
  <c r="E347" i="16"/>
  <c r="O346" i="16"/>
  <c r="E346" i="16"/>
  <c r="O345" i="16"/>
  <c r="E345" i="16"/>
  <c r="O344" i="16"/>
  <c r="E344" i="16"/>
  <c r="O343" i="16"/>
  <c r="E343" i="16"/>
  <c r="O342" i="16"/>
  <c r="E342" i="16"/>
  <c r="O341" i="16"/>
  <c r="E341" i="16"/>
  <c r="O340" i="16"/>
  <c r="E340" i="16"/>
  <c r="O339" i="16"/>
  <c r="E339" i="16"/>
  <c r="O338" i="16"/>
  <c r="E338" i="16"/>
  <c r="O337" i="16"/>
  <c r="E337" i="16"/>
  <c r="O336" i="16"/>
  <c r="E336" i="16"/>
  <c r="O335" i="16"/>
  <c r="E335" i="16"/>
  <c r="O334" i="16"/>
  <c r="E334" i="16"/>
  <c r="O333" i="16"/>
  <c r="E333" i="16"/>
  <c r="O332" i="16"/>
  <c r="E332" i="16"/>
  <c r="O331" i="16"/>
  <c r="E331" i="16"/>
  <c r="O330" i="16"/>
  <c r="E330" i="16"/>
  <c r="O329" i="16"/>
  <c r="E329" i="16"/>
  <c r="O328" i="16"/>
  <c r="E328" i="16"/>
  <c r="O327" i="16"/>
  <c r="E327" i="16"/>
  <c r="O326" i="16"/>
  <c r="E326" i="16"/>
  <c r="O325" i="16"/>
  <c r="E325" i="16"/>
  <c r="O324" i="16"/>
  <c r="E324" i="16"/>
  <c r="O323" i="16"/>
  <c r="E323" i="16"/>
  <c r="O322" i="16"/>
  <c r="E322" i="16"/>
  <c r="O321" i="16"/>
  <c r="E321" i="16"/>
  <c r="O320" i="16"/>
  <c r="E320" i="16"/>
  <c r="O319" i="16"/>
  <c r="E319" i="16"/>
  <c r="O318" i="16"/>
  <c r="E318" i="16"/>
  <c r="O317" i="16"/>
  <c r="E317" i="16"/>
  <c r="O316" i="16"/>
  <c r="E316" i="16"/>
  <c r="O315" i="16"/>
  <c r="E315" i="16"/>
  <c r="O314" i="16"/>
  <c r="E314" i="16"/>
  <c r="O313" i="16"/>
  <c r="E313" i="16"/>
  <c r="O312" i="16"/>
  <c r="E312" i="16"/>
  <c r="O311" i="16"/>
  <c r="E311" i="16"/>
  <c r="O310" i="16"/>
  <c r="E310" i="16"/>
  <c r="O309" i="16"/>
  <c r="E309" i="16"/>
  <c r="O308" i="16"/>
  <c r="E308" i="16"/>
  <c r="O307" i="16"/>
  <c r="E307" i="16"/>
  <c r="O306" i="16"/>
  <c r="E306" i="16"/>
  <c r="O305" i="16"/>
  <c r="E305" i="16"/>
  <c r="O304" i="16"/>
  <c r="E304" i="16"/>
  <c r="O303" i="16"/>
  <c r="E303" i="16"/>
  <c r="O302" i="16"/>
  <c r="E302" i="16"/>
  <c r="O301" i="16"/>
  <c r="E301" i="16"/>
  <c r="O300" i="16"/>
  <c r="E300" i="16"/>
  <c r="O299" i="16"/>
  <c r="E299" i="16"/>
  <c r="O298" i="16"/>
  <c r="E298" i="16"/>
  <c r="O297" i="16"/>
  <c r="E297" i="16"/>
  <c r="O296" i="16"/>
  <c r="E296" i="16"/>
  <c r="O295" i="16"/>
  <c r="E295" i="16"/>
  <c r="O294" i="16"/>
  <c r="E294" i="16"/>
  <c r="O293" i="16"/>
  <c r="E293" i="16"/>
  <c r="O292" i="16"/>
  <c r="E292" i="16"/>
  <c r="O291" i="16"/>
  <c r="E291" i="16"/>
  <c r="O290" i="16"/>
  <c r="E290" i="16"/>
  <c r="O289" i="16"/>
  <c r="E289" i="16"/>
  <c r="O288" i="16"/>
  <c r="E288" i="16"/>
  <c r="O287" i="16"/>
  <c r="E287" i="16"/>
  <c r="O286" i="16"/>
  <c r="E286" i="16"/>
  <c r="O285" i="16"/>
  <c r="E285" i="16"/>
  <c r="O284" i="16"/>
  <c r="E284" i="16"/>
  <c r="O283" i="16"/>
  <c r="E283" i="16"/>
  <c r="O282" i="16"/>
  <c r="E282" i="16"/>
  <c r="O281" i="16"/>
  <c r="E281" i="16"/>
  <c r="O280" i="16"/>
  <c r="E280" i="16"/>
  <c r="O279" i="16"/>
  <c r="E279" i="16"/>
  <c r="O278" i="16"/>
  <c r="E278" i="16"/>
  <c r="O277" i="16"/>
  <c r="E277" i="16"/>
  <c r="O276" i="16"/>
  <c r="E276" i="16"/>
  <c r="O275" i="16"/>
  <c r="E275" i="16"/>
  <c r="O274" i="16"/>
  <c r="E274" i="16"/>
  <c r="O273" i="16"/>
  <c r="E273" i="16"/>
  <c r="O272" i="16"/>
  <c r="E272" i="16"/>
  <c r="O271" i="16"/>
  <c r="E271" i="16"/>
  <c r="O270" i="16"/>
  <c r="E270" i="16"/>
  <c r="O269" i="16"/>
  <c r="E269" i="16"/>
  <c r="O268" i="16"/>
  <c r="E268" i="16"/>
  <c r="O267" i="16"/>
  <c r="E267" i="16"/>
  <c r="O266" i="16"/>
  <c r="E266" i="16"/>
  <c r="O265" i="16"/>
  <c r="E265" i="16"/>
  <c r="O264" i="16"/>
  <c r="E264" i="16"/>
  <c r="O263" i="16"/>
  <c r="E263" i="16"/>
  <c r="O262" i="16"/>
  <c r="E262" i="16"/>
  <c r="O261" i="16"/>
  <c r="E261" i="16"/>
  <c r="O260" i="16"/>
  <c r="E260" i="16"/>
  <c r="O259" i="16"/>
  <c r="E259" i="16"/>
  <c r="O258" i="16"/>
  <c r="E258" i="16"/>
  <c r="O257" i="16"/>
  <c r="E257" i="16"/>
  <c r="O256" i="16"/>
  <c r="E256" i="16"/>
  <c r="O255" i="16"/>
  <c r="E255" i="16"/>
  <c r="O254" i="16"/>
  <c r="E254" i="16"/>
  <c r="O253" i="16"/>
  <c r="E253" i="16"/>
  <c r="O252" i="16"/>
  <c r="E252" i="16"/>
  <c r="O251" i="16"/>
  <c r="E251" i="16"/>
  <c r="O250" i="16"/>
  <c r="E250" i="16"/>
  <c r="O249" i="16"/>
  <c r="E249" i="16"/>
  <c r="O248" i="16"/>
  <c r="E248" i="16"/>
  <c r="O247" i="16"/>
  <c r="E247" i="16"/>
  <c r="O246" i="16"/>
  <c r="E246" i="16"/>
  <c r="O245" i="16"/>
  <c r="E245" i="16"/>
  <c r="O244" i="16"/>
  <c r="E244" i="16"/>
  <c r="O243" i="16"/>
  <c r="E243" i="16"/>
  <c r="O242" i="16"/>
  <c r="E242" i="16"/>
  <c r="O241" i="16"/>
  <c r="E241" i="16"/>
  <c r="O240" i="16"/>
  <c r="E240" i="16"/>
  <c r="O239" i="16"/>
  <c r="E239" i="16"/>
  <c r="O238" i="16"/>
  <c r="E238" i="16"/>
  <c r="O237" i="16"/>
  <c r="E237" i="16"/>
  <c r="O236" i="16"/>
  <c r="E236" i="16"/>
  <c r="O235" i="16"/>
  <c r="E235" i="16"/>
  <c r="O234" i="16"/>
  <c r="E234" i="16"/>
  <c r="O233" i="16"/>
  <c r="E233" i="16"/>
  <c r="O232" i="16"/>
  <c r="E232" i="16"/>
  <c r="O231" i="16"/>
  <c r="E231" i="16"/>
  <c r="O230" i="16"/>
  <c r="E230" i="16"/>
  <c r="O229" i="16"/>
  <c r="E229" i="16"/>
  <c r="O228" i="16"/>
  <c r="E228" i="16"/>
  <c r="O227" i="16"/>
  <c r="E227" i="16"/>
  <c r="O226" i="16"/>
  <c r="E226" i="16"/>
  <c r="O225" i="16"/>
  <c r="E225" i="16"/>
  <c r="O224" i="16"/>
  <c r="E224" i="16"/>
  <c r="O223" i="16"/>
  <c r="E223" i="16"/>
  <c r="O222" i="16"/>
  <c r="E222" i="16"/>
  <c r="O221" i="16"/>
  <c r="E221" i="16"/>
  <c r="O220" i="16"/>
  <c r="E220" i="16"/>
  <c r="O219" i="16"/>
  <c r="E219" i="16"/>
  <c r="O218" i="16"/>
  <c r="E218" i="16"/>
  <c r="O217" i="16"/>
  <c r="E217" i="16"/>
  <c r="O216" i="16"/>
  <c r="E216" i="16"/>
  <c r="O215" i="16"/>
  <c r="E215" i="16"/>
  <c r="O214" i="16"/>
  <c r="E214" i="16"/>
  <c r="O213" i="16"/>
  <c r="E213" i="16"/>
  <c r="O212" i="16"/>
  <c r="E212" i="16"/>
  <c r="O211" i="16"/>
  <c r="E211" i="16"/>
  <c r="O210" i="16"/>
  <c r="E210" i="16"/>
  <c r="O209" i="16"/>
  <c r="E209" i="16"/>
  <c r="O208" i="16"/>
  <c r="E208" i="16"/>
  <c r="O207" i="16"/>
  <c r="E207" i="16"/>
  <c r="O206" i="16"/>
  <c r="E206" i="16"/>
  <c r="O205" i="16"/>
  <c r="E205" i="16"/>
  <c r="O204" i="16"/>
  <c r="E204" i="16"/>
  <c r="O203" i="16"/>
  <c r="E203" i="16"/>
  <c r="O202" i="16"/>
  <c r="E202" i="16"/>
  <c r="O201" i="16"/>
  <c r="E201" i="16"/>
  <c r="O200" i="16"/>
  <c r="E200" i="16"/>
  <c r="O199" i="16"/>
  <c r="E199" i="16"/>
  <c r="O198" i="16"/>
  <c r="E198" i="16"/>
  <c r="O197" i="16"/>
  <c r="E197" i="16"/>
  <c r="O196" i="16"/>
  <c r="E196" i="16"/>
  <c r="O195" i="16"/>
  <c r="E195" i="16"/>
  <c r="O194" i="16"/>
  <c r="E194" i="16"/>
  <c r="O193" i="16"/>
  <c r="E193" i="16"/>
  <c r="O192" i="16"/>
  <c r="E192" i="16"/>
  <c r="O191" i="16"/>
  <c r="E191" i="16"/>
  <c r="O190" i="16"/>
  <c r="E190" i="16"/>
  <c r="O189" i="16"/>
  <c r="E189" i="16"/>
  <c r="O188" i="16"/>
  <c r="E188" i="16"/>
  <c r="O187" i="16"/>
  <c r="E187" i="16"/>
  <c r="O186" i="16"/>
  <c r="E186" i="16"/>
  <c r="O185" i="16"/>
  <c r="E185" i="16"/>
  <c r="O184" i="16"/>
  <c r="E184" i="16"/>
  <c r="O183" i="16"/>
  <c r="E183" i="16"/>
  <c r="O182" i="16"/>
  <c r="E182" i="16"/>
  <c r="O181" i="16"/>
  <c r="E181" i="16"/>
  <c r="O180" i="16"/>
  <c r="E180" i="16"/>
  <c r="O179" i="16"/>
  <c r="E179" i="16"/>
  <c r="O178" i="16"/>
  <c r="E178" i="16"/>
  <c r="O177" i="16"/>
  <c r="E177" i="16"/>
  <c r="O176" i="16"/>
  <c r="E176" i="16"/>
  <c r="O175" i="16"/>
  <c r="E175" i="16"/>
  <c r="O174" i="16"/>
  <c r="E174" i="16"/>
  <c r="O173" i="16"/>
  <c r="E173" i="16"/>
  <c r="O172" i="16"/>
  <c r="E172" i="16"/>
  <c r="O171" i="16"/>
  <c r="E171" i="16"/>
  <c r="O170" i="16"/>
  <c r="E170" i="16"/>
  <c r="O169" i="16"/>
  <c r="E169" i="16"/>
  <c r="O168" i="16"/>
  <c r="E168" i="16"/>
  <c r="O167" i="16"/>
  <c r="E167" i="16"/>
  <c r="O166" i="16"/>
  <c r="E166" i="16"/>
  <c r="O165" i="16"/>
  <c r="E165" i="16"/>
  <c r="O164" i="16"/>
  <c r="E164" i="16"/>
  <c r="O163" i="16"/>
  <c r="E163" i="16"/>
  <c r="O162" i="16"/>
  <c r="E162" i="16"/>
  <c r="O161" i="16"/>
  <c r="E161" i="16"/>
  <c r="O160" i="16"/>
  <c r="E160" i="16"/>
  <c r="O159" i="16"/>
  <c r="E159" i="16"/>
  <c r="O158" i="16"/>
  <c r="E158" i="16"/>
  <c r="O157" i="16"/>
  <c r="E157" i="16"/>
  <c r="O156" i="16"/>
  <c r="E156" i="16"/>
  <c r="O155" i="16"/>
  <c r="E155" i="16"/>
  <c r="O154" i="16"/>
  <c r="E154" i="16"/>
  <c r="O153" i="16"/>
  <c r="E153" i="16"/>
  <c r="O152" i="16"/>
  <c r="E152" i="16"/>
  <c r="O151" i="16"/>
  <c r="E151" i="16"/>
  <c r="O150" i="16"/>
  <c r="E150" i="16"/>
  <c r="O149" i="16"/>
  <c r="E149" i="16"/>
  <c r="O148" i="16"/>
  <c r="E148" i="16"/>
  <c r="O147" i="16"/>
  <c r="E147" i="16"/>
  <c r="O146" i="16"/>
  <c r="E146" i="16"/>
  <c r="O145" i="16"/>
  <c r="E145" i="16"/>
  <c r="O144" i="16"/>
  <c r="E144" i="16"/>
  <c r="O143" i="16"/>
  <c r="E143" i="16"/>
  <c r="O142" i="16"/>
  <c r="E142" i="16"/>
  <c r="O141" i="16"/>
  <c r="E141" i="16"/>
  <c r="O140" i="16"/>
  <c r="E140" i="16"/>
  <c r="O139" i="16"/>
  <c r="E139" i="16"/>
  <c r="O138" i="16"/>
  <c r="E138" i="16"/>
  <c r="O137" i="16"/>
  <c r="E137" i="16"/>
  <c r="O136" i="16"/>
  <c r="E136" i="16"/>
  <c r="O135" i="16"/>
  <c r="E135" i="16"/>
  <c r="O134" i="16"/>
  <c r="E134" i="16"/>
  <c r="O133" i="16"/>
  <c r="E133" i="16"/>
  <c r="O132" i="16"/>
  <c r="E132" i="16"/>
  <c r="O131" i="16"/>
  <c r="E131" i="16"/>
  <c r="O130" i="16"/>
  <c r="E130" i="16"/>
  <c r="O129" i="16"/>
  <c r="E129" i="16"/>
  <c r="O128" i="16"/>
  <c r="E128" i="16"/>
  <c r="O127" i="16"/>
  <c r="E127" i="16"/>
  <c r="O126" i="16"/>
  <c r="E126" i="16"/>
  <c r="O125" i="16"/>
  <c r="E125" i="16"/>
  <c r="O124" i="16"/>
  <c r="E124" i="16"/>
  <c r="O123" i="16"/>
  <c r="E123" i="16"/>
  <c r="O122" i="16"/>
  <c r="E122" i="16"/>
  <c r="O121" i="16"/>
  <c r="E121" i="16"/>
  <c r="O120" i="16"/>
  <c r="E120" i="16"/>
  <c r="O119" i="16"/>
  <c r="E119" i="16"/>
  <c r="O118" i="16"/>
  <c r="E118" i="16"/>
  <c r="O117" i="16"/>
  <c r="E117" i="16"/>
  <c r="O116" i="16"/>
  <c r="E116" i="16"/>
  <c r="O115" i="16"/>
  <c r="E115" i="16"/>
  <c r="O114" i="16"/>
  <c r="E114" i="16"/>
  <c r="O113" i="16"/>
  <c r="E113" i="16"/>
  <c r="O112" i="16"/>
  <c r="E112" i="16"/>
  <c r="O111" i="16"/>
  <c r="E111" i="16"/>
  <c r="O110" i="16"/>
  <c r="E110" i="16"/>
  <c r="O109" i="16"/>
  <c r="E109" i="16"/>
  <c r="O108" i="16"/>
  <c r="E108" i="16"/>
  <c r="O107" i="16"/>
  <c r="E107" i="16"/>
  <c r="O106" i="16"/>
  <c r="E106" i="16"/>
  <c r="O105" i="16"/>
  <c r="E105" i="16"/>
  <c r="O104" i="16"/>
  <c r="E104" i="16"/>
  <c r="O103" i="16"/>
  <c r="E103" i="16"/>
  <c r="O102" i="16"/>
  <c r="E102" i="16"/>
  <c r="O101" i="16"/>
  <c r="E101" i="16"/>
  <c r="O100" i="16"/>
  <c r="E100" i="16"/>
  <c r="O99" i="16"/>
  <c r="E99" i="16"/>
  <c r="O98" i="16"/>
  <c r="E98" i="16"/>
  <c r="O97" i="16"/>
  <c r="E97" i="16"/>
  <c r="O96" i="16"/>
  <c r="E96" i="16"/>
  <c r="O95" i="16"/>
  <c r="E95" i="16"/>
  <c r="O94" i="16"/>
  <c r="E94" i="16"/>
  <c r="O93" i="16"/>
  <c r="E93" i="16"/>
  <c r="O92" i="16"/>
  <c r="E92" i="16"/>
  <c r="O91" i="16"/>
  <c r="E91" i="16"/>
  <c r="O90" i="16"/>
  <c r="E90" i="16"/>
  <c r="O89" i="16"/>
  <c r="E89" i="16"/>
  <c r="O88" i="16"/>
  <c r="E88" i="16"/>
  <c r="O87" i="16"/>
  <c r="E87" i="16"/>
  <c r="O86" i="16"/>
  <c r="E86" i="16"/>
  <c r="O85" i="16"/>
  <c r="E85" i="16"/>
  <c r="O84" i="16"/>
  <c r="E84" i="16"/>
  <c r="O83" i="16"/>
  <c r="E83" i="16"/>
  <c r="O82" i="16"/>
  <c r="E82" i="16"/>
  <c r="O81" i="16"/>
  <c r="E81" i="16"/>
  <c r="O80" i="16"/>
  <c r="E80" i="16"/>
  <c r="O79" i="16"/>
  <c r="E79" i="16"/>
  <c r="O78" i="16"/>
  <c r="E78" i="16"/>
  <c r="O77" i="16"/>
  <c r="E77" i="16"/>
  <c r="O76" i="16"/>
  <c r="E76" i="16"/>
  <c r="O75" i="16"/>
  <c r="E75" i="16"/>
  <c r="O74" i="16"/>
  <c r="E74" i="16"/>
  <c r="O73" i="16"/>
  <c r="E73" i="16"/>
  <c r="O72" i="16"/>
  <c r="E72" i="16"/>
  <c r="O71" i="16"/>
  <c r="E71" i="16"/>
  <c r="O70" i="16"/>
  <c r="E70" i="16"/>
  <c r="O69" i="16"/>
  <c r="E69" i="16"/>
  <c r="O68" i="16"/>
  <c r="E68" i="16"/>
  <c r="O67" i="16"/>
  <c r="E67" i="16"/>
  <c r="O66" i="16"/>
  <c r="E66" i="16"/>
  <c r="O65" i="16"/>
  <c r="E65" i="16"/>
  <c r="O64" i="16"/>
  <c r="E64" i="16"/>
  <c r="O63" i="16"/>
  <c r="E63" i="16"/>
  <c r="O62" i="16"/>
  <c r="E62" i="16"/>
  <c r="O61" i="16"/>
  <c r="E61" i="16"/>
  <c r="O60" i="16"/>
  <c r="E60" i="16"/>
  <c r="O59" i="16"/>
  <c r="E59" i="16"/>
  <c r="O58" i="16"/>
  <c r="E58" i="16"/>
  <c r="O57" i="16"/>
  <c r="E57" i="16"/>
  <c r="O56" i="16"/>
  <c r="E56" i="16"/>
  <c r="O55" i="16"/>
  <c r="E55" i="16"/>
  <c r="O54" i="16"/>
  <c r="E54" i="16"/>
  <c r="O53" i="16"/>
  <c r="E53" i="16"/>
  <c r="O52" i="16"/>
  <c r="E52" i="16"/>
  <c r="O51" i="16"/>
  <c r="E51" i="16"/>
  <c r="O50" i="16"/>
  <c r="E50" i="16"/>
  <c r="O49" i="16"/>
  <c r="E49" i="16"/>
  <c r="O48" i="16"/>
  <c r="E48" i="16"/>
  <c r="O47" i="16"/>
  <c r="E47" i="16"/>
  <c r="O46" i="16"/>
  <c r="E46" i="16"/>
  <c r="O45" i="16"/>
  <c r="E45" i="16"/>
  <c r="O44" i="16"/>
  <c r="E44" i="16"/>
  <c r="O43" i="16"/>
  <c r="E43" i="16"/>
  <c r="O42" i="16"/>
  <c r="E42" i="16"/>
  <c r="O41" i="16"/>
  <c r="E41" i="16"/>
  <c r="O40" i="16"/>
  <c r="E40" i="16"/>
  <c r="O39" i="16"/>
  <c r="E39" i="16"/>
  <c r="O38" i="16"/>
  <c r="E38" i="16"/>
  <c r="O37" i="16"/>
  <c r="E37" i="16"/>
  <c r="O36" i="16"/>
  <c r="E36" i="16"/>
  <c r="O35" i="16"/>
  <c r="E35" i="16"/>
  <c r="O34" i="16"/>
  <c r="E34" i="16"/>
  <c r="O33" i="16"/>
  <c r="E33" i="16"/>
  <c r="O32" i="16"/>
  <c r="E32" i="16"/>
  <c r="O31" i="16"/>
  <c r="E31" i="16"/>
  <c r="O30" i="16"/>
  <c r="E30" i="16"/>
  <c r="O29" i="16"/>
  <c r="E29" i="16"/>
  <c r="O28" i="16"/>
  <c r="E28" i="16"/>
  <c r="O27" i="16"/>
  <c r="E27" i="16"/>
  <c r="O26" i="16"/>
  <c r="E26" i="16"/>
  <c r="O25" i="16"/>
  <c r="E25" i="16"/>
  <c r="O24" i="16"/>
  <c r="E24" i="16"/>
  <c r="O23" i="16"/>
  <c r="E23" i="16"/>
  <c r="O22" i="16"/>
  <c r="E22" i="16"/>
  <c r="O40" i="14"/>
  <c r="O41" i="14"/>
  <c r="O42" i="14"/>
  <c r="O43" i="14"/>
  <c r="O44" i="14"/>
  <c r="O45" i="14"/>
  <c r="O46" i="14"/>
  <c r="O47" i="14"/>
  <c r="O48" i="14"/>
  <c r="O50" i="14"/>
  <c r="O51" i="14"/>
  <c r="O52" i="14"/>
  <c r="O53" i="14"/>
  <c r="O54" i="14"/>
  <c r="O55" i="14"/>
  <c r="O56" i="14"/>
  <c r="O57" i="14"/>
  <c r="O58" i="14"/>
  <c r="O59" i="14"/>
  <c r="O60" i="14"/>
  <c r="O61" i="14"/>
  <c r="O62" i="14"/>
  <c r="O63" i="14"/>
  <c r="O64" i="14"/>
  <c r="O65" i="14"/>
  <c r="O66" i="14"/>
  <c r="O67" i="14"/>
  <c r="O68" i="14"/>
  <c r="O69" i="14"/>
  <c r="O70" i="14"/>
  <c r="O71" i="14"/>
  <c r="F71" i="14"/>
  <c r="E71" i="14"/>
  <c r="E70" i="14"/>
  <c r="F70" i="14"/>
  <c r="F69" i="14"/>
  <c r="E69" i="14"/>
  <c r="E68" i="14"/>
  <c r="F68" i="14"/>
  <c r="F67" i="14"/>
  <c r="E67" i="14"/>
  <c r="E66" i="14"/>
  <c r="F66" i="14"/>
  <c r="F65" i="14"/>
  <c r="E65" i="14"/>
  <c r="E64" i="14"/>
  <c r="F64" i="14"/>
  <c r="F63" i="14"/>
  <c r="E63" i="14"/>
  <c r="E62" i="14"/>
  <c r="F62" i="14"/>
  <c r="F61" i="14"/>
  <c r="E61" i="14"/>
  <c r="E60" i="14"/>
  <c r="F60" i="14"/>
  <c r="F59" i="14"/>
  <c r="E59" i="14"/>
  <c r="E58" i="14"/>
  <c r="F58" i="14"/>
  <c r="F57" i="14"/>
  <c r="E57" i="14"/>
  <c r="E56" i="14"/>
  <c r="F56" i="14"/>
  <c r="F55" i="14"/>
  <c r="E55" i="14"/>
  <c r="E54" i="14"/>
  <c r="F54" i="14"/>
  <c r="F53" i="14"/>
  <c r="E53" i="14"/>
  <c r="E52" i="14"/>
  <c r="F52" i="14"/>
  <c r="F51" i="14"/>
  <c r="E51" i="14"/>
  <c r="E50" i="14"/>
  <c r="F50" i="14"/>
  <c r="E48" i="14"/>
  <c r="F48" i="14"/>
  <c r="F47" i="14"/>
  <c r="E47" i="14"/>
  <c r="E46" i="14"/>
  <c r="F46" i="14"/>
  <c r="F45" i="14"/>
  <c r="E45" i="14"/>
  <c r="E44" i="14"/>
  <c r="F44" i="14"/>
  <c r="F43" i="14"/>
  <c r="E43" i="14"/>
  <c r="E42" i="14"/>
  <c r="F42" i="14"/>
  <c r="F41" i="14"/>
  <c r="E41" i="14"/>
  <c r="E40" i="14"/>
  <c r="F40" i="14"/>
  <c r="F39" i="14"/>
  <c r="E39" i="14"/>
  <c r="E38" i="14"/>
  <c r="F38" i="14"/>
  <c r="F37" i="14"/>
  <c r="E37" i="14"/>
  <c r="E36" i="14"/>
  <c r="F36" i="14"/>
  <c r="F35" i="14"/>
  <c r="E35" i="14"/>
  <c r="E34" i="14"/>
  <c r="F34" i="14"/>
  <c r="F33" i="14"/>
  <c r="E33" i="14"/>
  <c r="E32" i="14"/>
  <c r="F32" i="14"/>
  <c r="F31" i="14"/>
  <c r="E31" i="14"/>
  <c r="E30" i="14"/>
  <c r="F30" i="14"/>
  <c r="F29" i="14"/>
  <c r="E29" i="14"/>
  <c r="E28" i="14"/>
  <c r="F28" i="14"/>
  <c r="F27" i="14"/>
  <c r="E27" i="14"/>
  <c r="E26" i="14"/>
  <c r="F26" i="14"/>
  <c r="F25" i="14"/>
  <c r="E25" i="14"/>
  <c r="E24" i="14"/>
  <c r="F24" i="14"/>
  <c r="F23" i="14"/>
  <c r="E23" i="14"/>
  <c r="E22" i="14"/>
  <c r="J92" i="14"/>
  <c r="J93" i="14"/>
  <c r="J94" i="14"/>
  <c r="J95" i="14"/>
  <c r="E44" i="22"/>
  <c r="G40" i="22"/>
  <c r="F54" i="22"/>
  <c r="D47" i="22"/>
  <c r="I39" i="22"/>
  <c r="F6" i="19"/>
  <c r="S64" i="19"/>
  <c r="M9" i="22"/>
  <c r="O37" i="17"/>
  <c r="P37" i="17"/>
  <c r="O38" i="17"/>
  <c r="P38" i="17"/>
  <c r="O39" i="17"/>
  <c r="P39" i="17"/>
  <c r="O40" i="17"/>
  <c r="P40" i="17"/>
  <c r="J37" i="17"/>
  <c r="J38" i="17"/>
  <c r="J39" i="17"/>
  <c r="J40" i="17"/>
  <c r="J41" i="17"/>
  <c r="F37" i="17"/>
  <c r="F38" i="17"/>
  <c r="F39" i="17"/>
  <c r="F40" i="17"/>
  <c r="AO11" i="19"/>
  <c r="O48" i="17"/>
  <c r="O49" i="17"/>
  <c r="O50" i="17"/>
  <c r="O51" i="17"/>
  <c r="O59" i="17"/>
  <c r="O58" i="17"/>
  <c r="O56" i="17"/>
  <c r="O55" i="17"/>
  <c r="O54" i="17"/>
  <c r="O53" i="17"/>
  <c r="O47" i="17"/>
  <c r="O46" i="17"/>
  <c r="O45" i="17"/>
  <c r="O44" i="17"/>
  <c r="O43" i="17"/>
  <c r="O42" i="17"/>
  <c r="O41" i="17"/>
  <c r="O36" i="17"/>
  <c r="O35" i="17"/>
  <c r="O34" i="17"/>
  <c r="O33" i="17"/>
  <c r="O32" i="17"/>
  <c r="O31" i="17"/>
  <c r="O30" i="17"/>
  <c r="O29" i="17"/>
  <c r="O28" i="17"/>
  <c r="O27" i="17"/>
  <c r="O26" i="17"/>
  <c r="O25" i="17"/>
  <c r="O24" i="17"/>
  <c r="O23" i="17"/>
  <c r="O22" i="17"/>
  <c r="L129" i="20"/>
  <c r="M129" i="20"/>
  <c r="L128" i="20"/>
  <c r="M128" i="20"/>
  <c r="L127" i="20"/>
  <c r="M127" i="20"/>
  <c r="L126" i="20"/>
  <c r="M126" i="20"/>
  <c r="L125" i="20"/>
  <c r="M125" i="20"/>
  <c r="L124" i="20"/>
  <c r="M124" i="20"/>
  <c r="L123" i="20"/>
  <c r="M123" i="20"/>
  <c r="L122" i="20"/>
  <c r="M122" i="20"/>
  <c r="L121" i="20"/>
  <c r="M121" i="20"/>
  <c r="L120" i="20"/>
  <c r="M120" i="20"/>
  <c r="L119" i="20"/>
  <c r="M119" i="20"/>
  <c r="L118" i="20"/>
  <c r="M118" i="20"/>
  <c r="L117" i="20"/>
  <c r="M117" i="20"/>
  <c r="L116" i="20"/>
  <c r="M116" i="20"/>
  <c r="L115" i="20"/>
  <c r="M115" i="20"/>
  <c r="L114" i="20"/>
  <c r="M114" i="20"/>
  <c r="L113" i="20"/>
  <c r="M113" i="20"/>
  <c r="L112" i="20"/>
  <c r="M112" i="20"/>
  <c r="L111" i="20"/>
  <c r="M111" i="20"/>
  <c r="L110" i="20"/>
  <c r="M110" i="20"/>
  <c r="L109" i="20"/>
  <c r="M109" i="20"/>
  <c r="L108" i="20"/>
  <c r="M108" i="20"/>
  <c r="L107" i="20"/>
  <c r="M107" i="20"/>
  <c r="L106" i="20"/>
  <c r="M106" i="20"/>
  <c r="L105" i="20"/>
  <c r="M105" i="20"/>
  <c r="L104" i="20"/>
  <c r="M104" i="20"/>
  <c r="L103" i="20"/>
  <c r="M103" i="20"/>
  <c r="L102" i="20"/>
  <c r="M102" i="20"/>
  <c r="L101" i="20"/>
  <c r="M101" i="20"/>
  <c r="L100" i="20"/>
  <c r="M100" i="20"/>
  <c r="L99" i="20"/>
  <c r="M99" i="20"/>
  <c r="L98" i="20"/>
  <c r="M98" i="20"/>
  <c r="L97" i="20"/>
  <c r="M97" i="20"/>
  <c r="L96" i="20"/>
  <c r="M96" i="20"/>
  <c r="L95" i="20"/>
  <c r="L94" i="20"/>
  <c r="L93" i="20"/>
  <c r="L92" i="20"/>
  <c r="L91" i="20"/>
  <c r="L90" i="20"/>
  <c r="L89" i="20"/>
  <c r="L88" i="20"/>
  <c r="L87" i="20"/>
  <c r="L86" i="20"/>
  <c r="L85" i="20"/>
  <c r="L84" i="20"/>
  <c r="L83" i="20"/>
  <c r="L82" i="20"/>
  <c r="L81" i="20"/>
  <c r="L80" i="20"/>
  <c r="L79" i="20"/>
  <c r="L78" i="20"/>
  <c r="L77" i="20"/>
  <c r="L76" i="20"/>
  <c r="L75" i="20"/>
  <c r="L74" i="20"/>
  <c r="L73" i="20"/>
  <c r="L72" i="20"/>
  <c r="L71" i="20"/>
  <c r="L70" i="20"/>
  <c r="L69" i="20"/>
  <c r="L68" i="20"/>
  <c r="L67" i="20"/>
  <c r="L66" i="20"/>
  <c r="L65" i="20"/>
  <c r="C39" i="22"/>
  <c r="R39" i="22"/>
  <c r="B40" i="22"/>
  <c r="B41" i="22"/>
  <c r="C40" i="22"/>
  <c r="R40" i="22"/>
  <c r="O37" i="14"/>
  <c r="O38" i="14"/>
  <c r="O39" i="14"/>
  <c r="O24" i="14"/>
  <c r="O25" i="14"/>
  <c r="O26" i="14"/>
  <c r="O27" i="14"/>
  <c r="O28" i="14"/>
  <c r="O29" i="14"/>
  <c r="O30" i="14"/>
  <c r="O31" i="14"/>
  <c r="O32" i="14"/>
  <c r="O33" i="14"/>
  <c r="O34" i="14"/>
  <c r="O35" i="14"/>
  <c r="O23" i="14"/>
  <c r="B42" i="22"/>
  <c r="C41" i="22"/>
  <c r="R41" i="22"/>
  <c r="B43" i="22"/>
  <c r="C42" i="22"/>
  <c r="R42" i="22"/>
  <c r="B44" i="22"/>
  <c r="C43" i="22"/>
  <c r="R43" i="22"/>
  <c r="C66" i="20"/>
  <c r="D17" i="22"/>
  <c r="B45" i="22"/>
  <c r="C44" i="22"/>
  <c r="R44" i="22"/>
  <c r="K10" i="26"/>
  <c r="K10" i="23"/>
  <c r="C15" i="22"/>
  <c r="B46" i="22"/>
  <c r="C45" i="22"/>
  <c r="R45" i="22"/>
  <c r="B15" i="20"/>
  <c r="B14" i="20"/>
  <c r="C18" i="12"/>
  <c r="D60" i="12"/>
  <c r="C66" i="12"/>
  <c r="J10" i="26"/>
  <c r="D14" i="26"/>
  <c r="B47" i="22"/>
  <c r="C46" i="22"/>
  <c r="R46" i="22"/>
  <c r="O22" i="14"/>
  <c r="B48" i="22"/>
  <c r="C47" i="22"/>
  <c r="R47" i="22"/>
  <c r="D300" i="17"/>
  <c r="D901" i="16"/>
  <c r="B49" i="22"/>
  <c r="C48" i="22"/>
  <c r="R48" i="22"/>
  <c r="C9" i="20"/>
  <c r="C20" i="12"/>
  <c r="C54" i="12"/>
  <c r="C42" i="12"/>
  <c r="D8" i="25"/>
  <c r="B50" i="22"/>
  <c r="C49" i="22"/>
  <c r="R49" i="22"/>
  <c r="C7" i="17"/>
  <c r="C6" i="17"/>
  <c r="C7" i="16"/>
  <c r="C6" i="16"/>
  <c r="C6" i="14"/>
  <c r="B51" i="22"/>
  <c r="C50" i="22"/>
  <c r="R50" i="22"/>
  <c r="L12" i="15"/>
  <c r="B52" i="22"/>
  <c r="C51" i="22"/>
  <c r="R51" i="22"/>
  <c r="C7" i="14"/>
  <c r="B53" i="22"/>
  <c r="C52" i="22"/>
  <c r="R52" i="22"/>
  <c r="O300" i="17"/>
  <c r="O299" i="17"/>
  <c r="J10" i="23"/>
  <c r="B54" i="22"/>
  <c r="C53" i="22"/>
  <c r="R53" i="22"/>
  <c r="D39" i="20"/>
  <c r="H39" i="20"/>
  <c r="B55" i="22"/>
  <c r="C54" i="22"/>
  <c r="R54" i="22"/>
  <c r="L5" i="15"/>
  <c r="B56" i="22"/>
  <c r="C55" i="22"/>
  <c r="R55" i="22"/>
  <c r="I18" i="15"/>
  <c r="H30" i="15"/>
  <c r="B57" i="22"/>
  <c r="C56" i="22"/>
  <c r="R56" i="22"/>
  <c r="N39" i="20"/>
  <c r="O39" i="20"/>
  <c r="G6" i="19"/>
  <c r="B58" i="22"/>
  <c r="C57" i="22"/>
  <c r="R57" i="22"/>
  <c r="D24" i="22"/>
  <c r="B59" i="22"/>
  <c r="C58" i="22"/>
  <c r="R58" i="22"/>
  <c r="P299" i="17"/>
  <c r="F299" i="17"/>
  <c r="B60" i="22"/>
  <c r="C59" i="22"/>
  <c r="R59" i="22"/>
  <c r="AL15" i="19"/>
  <c r="B61" i="22"/>
  <c r="C60" i="22"/>
  <c r="R60" i="22"/>
  <c r="D38" i="12"/>
  <c r="C40" i="12"/>
  <c r="D81" i="12"/>
  <c r="D73" i="12"/>
  <c r="D72" i="12"/>
  <c r="D48" i="12"/>
  <c r="B62" i="22"/>
  <c r="C61" i="22"/>
  <c r="R61" i="22"/>
  <c r="F300" i="17"/>
  <c r="P300" i="17"/>
  <c r="B63" i="22"/>
  <c r="C62" i="22"/>
  <c r="R62" i="22"/>
  <c r="AG11" i="19"/>
  <c r="AD11" i="19"/>
  <c r="AA11" i="19"/>
  <c r="X11" i="19"/>
  <c r="U11" i="19"/>
  <c r="R11" i="19"/>
  <c r="B64" i="22"/>
  <c r="C63" i="22"/>
  <c r="R63" i="22"/>
  <c r="P21" i="14"/>
  <c r="O21" i="14"/>
  <c r="N21" i="14"/>
  <c r="P21" i="17"/>
  <c r="O21" i="17"/>
  <c r="N21" i="17"/>
  <c r="O21" i="16"/>
  <c r="N21" i="16"/>
  <c r="B65" i="22"/>
  <c r="C64" i="22"/>
  <c r="R64" i="22"/>
  <c r="D14" i="23"/>
  <c r="B66" i="22"/>
  <c r="C65" i="22"/>
  <c r="R65" i="22"/>
  <c r="L18" i="15"/>
  <c r="L20" i="22"/>
  <c r="B67" i="22"/>
  <c r="C66" i="22"/>
  <c r="R66" i="22"/>
  <c r="D32" i="12"/>
  <c r="D31" i="12"/>
  <c r="D30" i="12"/>
  <c r="D28" i="12"/>
  <c r="D29" i="12"/>
  <c r="B68" i="22"/>
  <c r="C68" i="22"/>
  <c r="R68" i="22"/>
  <c r="C67" i="22"/>
  <c r="R67" i="22"/>
  <c r="K8" i="25"/>
  <c r="D17" i="25"/>
  <c r="P21" i="16"/>
  <c r="AJ19" i="19"/>
  <c r="O11" i="19"/>
  <c r="L36" i="15"/>
  <c r="AI13" i="19"/>
  <c r="AI14" i="19"/>
  <c r="AI15" i="19"/>
  <c r="AI16" i="19"/>
  <c r="AI17" i="19"/>
  <c r="AI18" i="19"/>
  <c r="J11" i="20"/>
  <c r="J10" i="20"/>
  <c r="J9" i="20"/>
  <c r="C17" i="20"/>
  <c r="A10" i="20"/>
  <c r="C10" i="20"/>
  <c r="C26" i="20"/>
  <c r="A11" i="20"/>
  <c r="C11" i="20"/>
  <c r="C35" i="20"/>
  <c r="E15" i="17"/>
  <c r="E16" i="16"/>
  <c r="E15" i="16"/>
  <c r="E16" i="14"/>
  <c r="E15" i="14"/>
  <c r="F50" i="17"/>
  <c r="F49" i="17"/>
  <c r="F48" i="17"/>
  <c r="F51" i="17"/>
  <c r="F58" i="17"/>
  <c r="F59" i="17"/>
  <c r="F54" i="17"/>
  <c r="F55" i="17"/>
  <c r="F53" i="17"/>
  <c r="F56" i="17"/>
  <c r="F36" i="17"/>
  <c r="F42" i="17"/>
  <c r="F32" i="17"/>
  <c r="F33" i="17"/>
  <c r="F44" i="17"/>
  <c r="F26" i="17"/>
  <c r="N82" i="20"/>
  <c r="O82" i="20"/>
  <c r="F25" i="17"/>
  <c r="N90" i="20"/>
  <c r="O90" i="20"/>
  <c r="F46" i="17"/>
  <c r="F24" i="17"/>
  <c r="F27" i="17"/>
  <c r="F45" i="17"/>
  <c r="F23" i="17"/>
  <c r="F41" i="17"/>
  <c r="F43" i="17"/>
  <c r="F47" i="17"/>
  <c r="F30" i="17"/>
  <c r="F35" i="17"/>
  <c r="F29" i="17"/>
  <c r="F31" i="17"/>
  <c r="F34" i="17"/>
  <c r="F22" i="17"/>
  <c r="N76" i="20"/>
  <c r="O76" i="20"/>
  <c r="F28" i="17"/>
  <c r="F22" i="14"/>
  <c r="L48" i="20"/>
  <c r="C12" i="19"/>
  <c r="D40" i="20"/>
  <c r="N40" i="20"/>
  <c r="O40" i="20"/>
  <c r="H40" i="20"/>
  <c r="C13" i="19"/>
  <c r="D41" i="20"/>
  <c r="N41" i="20"/>
  <c r="O41" i="20"/>
  <c r="H41" i="20"/>
  <c r="C14" i="19"/>
  <c r="D42" i="20"/>
  <c r="N42" i="20"/>
  <c r="O42" i="20"/>
  <c r="H42" i="20"/>
  <c r="C15" i="19"/>
  <c r="D43" i="20"/>
  <c r="N43" i="20"/>
  <c r="O43" i="20"/>
  <c r="H43" i="20"/>
  <c r="C16" i="19"/>
  <c r="D44" i="20"/>
  <c r="N44" i="20"/>
  <c r="O44" i="20"/>
  <c r="H44" i="20"/>
  <c r="C17" i="19"/>
  <c r="D45" i="20"/>
  <c r="N45" i="20"/>
  <c r="O45" i="20"/>
  <c r="H45" i="20"/>
  <c r="D46" i="20"/>
  <c r="C18" i="19"/>
  <c r="N46" i="20"/>
  <c r="O46" i="20"/>
  <c r="H46" i="20"/>
  <c r="D47" i="20"/>
  <c r="C19" i="19"/>
  <c r="N47" i="20"/>
  <c r="O47" i="20"/>
  <c r="H47" i="20"/>
  <c r="D48" i="20"/>
  <c r="C20" i="19"/>
  <c r="N48" i="20"/>
  <c r="O48" i="20"/>
  <c r="H48" i="20"/>
  <c r="D49" i="20"/>
  <c r="C21" i="19"/>
  <c r="N49" i="20"/>
  <c r="O49" i="20"/>
  <c r="H49" i="20"/>
  <c r="D50" i="20"/>
  <c r="C22" i="19"/>
  <c r="N50" i="20"/>
  <c r="O50" i="20"/>
  <c r="H50" i="20"/>
  <c r="C23" i="19"/>
  <c r="D51" i="20"/>
  <c r="N51" i="20"/>
  <c r="O51" i="20"/>
  <c r="H51" i="20"/>
  <c r="D52" i="20"/>
  <c r="C24" i="19"/>
  <c r="N52" i="20"/>
  <c r="O52" i="20"/>
  <c r="H52" i="20"/>
  <c r="D53" i="20"/>
  <c r="C25" i="19"/>
  <c r="N53" i="20"/>
  <c r="O53" i="20"/>
  <c r="H53" i="20"/>
  <c r="D54" i="20"/>
  <c r="C26" i="19"/>
  <c r="N54" i="20"/>
  <c r="O54" i="20"/>
  <c r="H54" i="20"/>
  <c r="C27" i="19"/>
  <c r="D55" i="20"/>
  <c r="N55" i="20"/>
  <c r="O55" i="20"/>
  <c r="H55" i="20"/>
  <c r="C28" i="19"/>
  <c r="D56" i="20"/>
  <c r="N56" i="20"/>
  <c r="O56" i="20"/>
  <c r="H56" i="20"/>
  <c r="D57" i="20"/>
  <c r="C29" i="19"/>
  <c r="N57" i="20"/>
  <c r="O57" i="20"/>
  <c r="H57" i="20"/>
  <c r="C30" i="19"/>
  <c r="D58" i="20"/>
  <c r="N58" i="20"/>
  <c r="O58" i="20"/>
  <c r="H58" i="20"/>
  <c r="D59" i="20"/>
  <c r="C31" i="19"/>
  <c r="N59" i="20"/>
  <c r="O59" i="20"/>
  <c r="H59" i="20"/>
  <c r="C32" i="19"/>
  <c r="D60" i="20"/>
  <c r="N60" i="20"/>
  <c r="O60" i="20"/>
  <c r="H60" i="20"/>
  <c r="C33" i="19"/>
  <c r="D61" i="20"/>
  <c r="N61" i="20"/>
  <c r="O61" i="20"/>
  <c r="H61" i="20"/>
  <c r="C34" i="19"/>
  <c r="D62" i="20"/>
  <c r="D63" i="20"/>
  <c r="N63" i="20"/>
  <c r="O63" i="20"/>
  <c r="C35" i="19"/>
  <c r="D64" i="20"/>
  <c r="N64" i="20"/>
  <c r="O64" i="20"/>
  <c r="C36" i="19"/>
  <c r="C37" i="19"/>
  <c r="D65" i="20"/>
  <c r="D66" i="20"/>
  <c r="C38" i="19"/>
  <c r="D67" i="20"/>
  <c r="C39" i="19"/>
  <c r="D68" i="20"/>
  <c r="C40" i="19"/>
  <c r="D69" i="20"/>
  <c r="C41" i="19"/>
  <c r="D70" i="20"/>
  <c r="C42" i="19"/>
  <c r="C43" i="19"/>
  <c r="D71" i="20"/>
  <c r="D72" i="20"/>
  <c r="C44" i="19"/>
  <c r="C45" i="19"/>
  <c r="D73" i="20"/>
  <c r="D74" i="20"/>
  <c r="C46" i="19"/>
  <c r="D75" i="20"/>
  <c r="C47" i="19"/>
  <c r="D76" i="20"/>
  <c r="C48" i="19"/>
  <c r="D77" i="20"/>
  <c r="N77" i="20"/>
  <c r="O77" i="20"/>
  <c r="C49" i="19"/>
  <c r="D78" i="20"/>
  <c r="C50" i="19"/>
  <c r="C51" i="19"/>
  <c r="D79" i="20"/>
  <c r="D80" i="20"/>
  <c r="N80" i="20"/>
  <c r="O80" i="20"/>
  <c r="C52" i="19"/>
  <c r="D81" i="20"/>
  <c r="C53" i="19"/>
  <c r="D82" i="20"/>
  <c r="C54" i="19"/>
  <c r="D83" i="20"/>
  <c r="N83" i="20"/>
  <c r="O83" i="20"/>
  <c r="C55" i="19"/>
  <c r="D84" i="20"/>
  <c r="C56" i="19"/>
  <c r="D85" i="20"/>
  <c r="C57" i="19"/>
  <c r="D86" i="20"/>
  <c r="N86" i="20"/>
  <c r="O86" i="20"/>
  <c r="C58" i="19"/>
  <c r="D87" i="20"/>
  <c r="C59" i="19"/>
  <c r="D88" i="20"/>
  <c r="N88" i="20"/>
  <c r="O88" i="20"/>
  <c r="C60" i="19"/>
  <c r="C61" i="19"/>
  <c r="D89" i="20"/>
  <c r="D90" i="20"/>
  <c r="C62" i="19"/>
  <c r="D91" i="20"/>
  <c r="N91" i="20"/>
  <c r="O91" i="20"/>
  <c r="C63" i="19"/>
  <c r="D92" i="20"/>
  <c r="C64" i="19"/>
  <c r="D93" i="20"/>
  <c r="C65" i="19"/>
  <c r="N93" i="20"/>
  <c r="O93" i="20"/>
  <c r="C66" i="19"/>
  <c r="D94" i="20"/>
  <c r="D95" i="20"/>
  <c r="C67" i="19"/>
  <c r="C68" i="19"/>
  <c r="D96" i="20"/>
  <c r="N96" i="20"/>
  <c r="O96" i="20"/>
  <c r="H96" i="20"/>
  <c r="D97" i="20"/>
  <c r="C69" i="19"/>
  <c r="D69" i="19"/>
  <c r="E96" i="20"/>
  <c r="N97" i="20"/>
  <c r="O97" i="20"/>
  <c r="H97" i="20"/>
  <c r="D98" i="20"/>
  <c r="C70" i="19"/>
  <c r="D70" i="19"/>
  <c r="E97" i="20"/>
  <c r="H98" i="20"/>
  <c r="F98" i="20"/>
  <c r="E98" i="20"/>
  <c r="R98" i="20"/>
  <c r="U98" i="20"/>
  <c r="G98" i="20"/>
  <c r="D99" i="20"/>
  <c r="C71" i="19"/>
  <c r="D71" i="19"/>
  <c r="N99" i="20"/>
  <c r="O99" i="20"/>
  <c r="H99" i="20"/>
  <c r="R99" i="20"/>
  <c r="U99" i="20"/>
  <c r="G99" i="20"/>
  <c r="F99" i="20"/>
  <c r="E99" i="20"/>
  <c r="C72" i="19"/>
  <c r="D72" i="19"/>
  <c r="D100" i="20"/>
  <c r="N100" i="20"/>
  <c r="O100" i="20"/>
  <c r="H100" i="20"/>
  <c r="F100" i="20"/>
  <c r="R100" i="20"/>
  <c r="G100" i="20"/>
  <c r="E100" i="20"/>
  <c r="U100" i="20"/>
  <c r="C73" i="19"/>
  <c r="D73" i="19"/>
  <c r="D101" i="20"/>
  <c r="H101" i="20"/>
  <c r="R101" i="20"/>
  <c r="G101" i="20"/>
  <c r="U101" i="20"/>
  <c r="E101" i="20"/>
  <c r="F101" i="20"/>
  <c r="C74" i="19"/>
  <c r="D74" i="19"/>
  <c r="D102" i="20"/>
  <c r="N102" i="20"/>
  <c r="O102" i="20"/>
  <c r="H102" i="20"/>
  <c r="F102" i="20"/>
  <c r="R102" i="20"/>
  <c r="E102" i="20"/>
  <c r="U102" i="20"/>
  <c r="G102" i="20"/>
  <c r="C75" i="19"/>
  <c r="D75" i="19"/>
  <c r="D103" i="20"/>
  <c r="N103" i="20"/>
  <c r="O103" i="20"/>
  <c r="H103" i="20"/>
  <c r="U103" i="20"/>
  <c r="G103" i="20"/>
  <c r="R103" i="20"/>
  <c r="E103" i="20"/>
  <c r="F103" i="20"/>
  <c r="C76" i="19"/>
  <c r="D76" i="19"/>
  <c r="D104" i="20"/>
  <c r="N104" i="20"/>
  <c r="O104" i="20"/>
  <c r="H104" i="20"/>
  <c r="F104" i="20"/>
  <c r="U104" i="20"/>
  <c r="E104" i="20"/>
  <c r="R104" i="20"/>
  <c r="G104" i="20"/>
  <c r="C77" i="19"/>
  <c r="D77" i="19"/>
  <c r="D105" i="20"/>
  <c r="H105" i="20"/>
  <c r="U105" i="20"/>
  <c r="G105" i="20"/>
  <c r="R105" i="20"/>
  <c r="F105" i="20"/>
  <c r="E105" i="20"/>
  <c r="C78" i="19"/>
  <c r="D78" i="19"/>
  <c r="D106" i="20"/>
  <c r="N106" i="20"/>
  <c r="O106" i="20"/>
  <c r="H106" i="20"/>
  <c r="F106" i="20"/>
  <c r="G106" i="20"/>
  <c r="E106" i="20"/>
  <c r="R106" i="20"/>
  <c r="U106" i="20"/>
  <c r="C79" i="19"/>
  <c r="D79" i="19"/>
  <c r="D107" i="20"/>
  <c r="H107" i="20"/>
  <c r="N107" i="20"/>
  <c r="O107" i="20"/>
  <c r="R107" i="20"/>
  <c r="G107" i="20"/>
  <c r="E107" i="20"/>
  <c r="U107" i="20"/>
  <c r="F107" i="20"/>
  <c r="C80" i="19"/>
  <c r="D80" i="19"/>
  <c r="D108" i="20"/>
  <c r="N108" i="20"/>
  <c r="O108" i="20"/>
  <c r="H108" i="20"/>
  <c r="F108" i="20"/>
  <c r="R108" i="20"/>
  <c r="E108" i="20"/>
  <c r="G108" i="20"/>
  <c r="U108" i="20"/>
  <c r="C81" i="19"/>
  <c r="D81" i="19"/>
  <c r="D109" i="20"/>
  <c r="H109" i="20"/>
  <c r="E109" i="20"/>
  <c r="G109" i="20"/>
  <c r="U109" i="20"/>
  <c r="F109" i="20"/>
  <c r="R109" i="20"/>
  <c r="C82" i="19"/>
  <c r="D82" i="19"/>
  <c r="D110" i="20"/>
  <c r="N110" i="20"/>
  <c r="O110" i="20"/>
  <c r="H110" i="20"/>
  <c r="F110" i="20"/>
  <c r="E110" i="20"/>
  <c r="U110" i="20"/>
  <c r="G110" i="20"/>
  <c r="R110" i="20"/>
  <c r="C83" i="19"/>
  <c r="D83" i="19"/>
  <c r="D111" i="20"/>
  <c r="N111" i="20"/>
  <c r="O111" i="20"/>
  <c r="H111" i="20"/>
  <c r="U111" i="20"/>
  <c r="G111" i="20"/>
  <c r="E111" i="20"/>
  <c r="R111" i="20"/>
  <c r="F111" i="20"/>
  <c r="C84" i="19"/>
  <c r="D84" i="19"/>
  <c r="D112" i="20"/>
  <c r="N112" i="20"/>
  <c r="O112" i="20"/>
  <c r="H112" i="20"/>
  <c r="F112" i="20"/>
  <c r="U112" i="20"/>
  <c r="E112" i="20"/>
  <c r="R112" i="20"/>
  <c r="G112" i="20"/>
  <c r="C85" i="19"/>
  <c r="D85" i="19"/>
  <c r="D113" i="20"/>
  <c r="N113" i="20"/>
  <c r="O113" i="20"/>
  <c r="H113" i="20"/>
  <c r="R113" i="20"/>
  <c r="E113" i="20"/>
  <c r="G113" i="20"/>
  <c r="U113" i="20"/>
  <c r="F113" i="20"/>
  <c r="C86" i="19"/>
  <c r="D86" i="19"/>
  <c r="D114" i="20"/>
  <c r="N114" i="20"/>
  <c r="O114" i="20"/>
  <c r="H114" i="20"/>
  <c r="F114" i="20"/>
  <c r="U114" i="20"/>
  <c r="G114" i="20"/>
  <c r="E114" i="20"/>
  <c r="R114" i="20"/>
  <c r="C87" i="19"/>
  <c r="D87" i="19"/>
  <c r="D115" i="20"/>
  <c r="N115" i="20"/>
  <c r="O115" i="20"/>
  <c r="H115" i="20"/>
  <c r="R115" i="20"/>
  <c r="G115" i="20"/>
  <c r="E115" i="20"/>
  <c r="F115" i="20"/>
  <c r="U115" i="20"/>
  <c r="C88" i="19"/>
  <c r="D88" i="19"/>
  <c r="D116" i="20"/>
  <c r="N116" i="20"/>
  <c r="O116" i="20"/>
  <c r="H116" i="20"/>
  <c r="F116" i="20"/>
  <c r="R116" i="20"/>
  <c r="E116" i="20"/>
  <c r="G116" i="20"/>
  <c r="U116" i="20"/>
  <c r="C89" i="19"/>
  <c r="D89" i="19"/>
  <c r="D117" i="20"/>
  <c r="N117" i="20"/>
  <c r="O117" i="20"/>
  <c r="H117" i="20"/>
  <c r="G117" i="20"/>
  <c r="U117" i="20"/>
  <c r="R117" i="20"/>
  <c r="F117" i="20"/>
  <c r="E117" i="20"/>
  <c r="C90" i="19"/>
  <c r="D90" i="19"/>
  <c r="D118" i="20"/>
  <c r="N118" i="20"/>
  <c r="O118" i="20"/>
  <c r="H118" i="20"/>
  <c r="F118" i="20"/>
  <c r="E118" i="20"/>
  <c r="U118" i="20"/>
  <c r="R118" i="20"/>
  <c r="G118" i="20"/>
  <c r="C91" i="19"/>
  <c r="D91" i="19"/>
  <c r="D119" i="20"/>
  <c r="N119" i="20"/>
  <c r="O119" i="20"/>
  <c r="H119" i="20"/>
  <c r="U119" i="20"/>
  <c r="R119" i="20"/>
  <c r="G119" i="20"/>
  <c r="E119" i="20"/>
  <c r="F119" i="20"/>
  <c r="C92" i="19"/>
  <c r="D92" i="19"/>
  <c r="D120" i="20"/>
  <c r="N120" i="20"/>
  <c r="O120" i="20"/>
  <c r="H120" i="20"/>
  <c r="F120" i="20"/>
  <c r="U120" i="20"/>
  <c r="E120" i="20"/>
  <c r="G120" i="20"/>
  <c r="R120" i="20"/>
  <c r="C93" i="19"/>
  <c r="D93" i="19"/>
  <c r="D121" i="20"/>
  <c r="N121" i="20"/>
  <c r="O121" i="20"/>
  <c r="H121" i="20"/>
  <c r="U121" i="20"/>
  <c r="G121" i="20"/>
  <c r="R121" i="20"/>
  <c r="E121" i="20"/>
  <c r="F121" i="20"/>
  <c r="C94" i="19"/>
  <c r="D94" i="19"/>
  <c r="D122" i="20"/>
  <c r="N122" i="20"/>
  <c r="O122" i="20"/>
  <c r="H122" i="20"/>
  <c r="F122" i="20"/>
  <c r="E122" i="20"/>
  <c r="R122" i="20"/>
  <c r="U122" i="20"/>
  <c r="G122" i="20"/>
  <c r="C95" i="19"/>
  <c r="D95" i="19"/>
  <c r="D123" i="20"/>
  <c r="N123" i="20"/>
  <c r="O123" i="20"/>
  <c r="H123" i="20"/>
  <c r="R123" i="20"/>
  <c r="U123" i="20"/>
  <c r="G123" i="20"/>
  <c r="E123" i="20"/>
  <c r="F123" i="20"/>
  <c r="C96" i="19"/>
  <c r="D96" i="19"/>
  <c r="D124" i="20"/>
  <c r="N124" i="20"/>
  <c r="O124" i="20"/>
  <c r="H124" i="20"/>
  <c r="F124" i="20"/>
  <c r="R124" i="20"/>
  <c r="G124" i="20"/>
  <c r="E124" i="20"/>
  <c r="U124" i="20"/>
  <c r="C97" i="19"/>
  <c r="D97" i="19"/>
  <c r="D125" i="20"/>
  <c r="N125" i="20"/>
  <c r="O125" i="20"/>
  <c r="H125" i="20"/>
  <c r="U125" i="20"/>
  <c r="G125" i="20"/>
  <c r="E125" i="20"/>
  <c r="R125" i="20"/>
  <c r="F125" i="20"/>
  <c r="C98" i="19"/>
  <c r="D98" i="19"/>
  <c r="D126" i="20"/>
  <c r="N126" i="20"/>
  <c r="O126" i="20"/>
  <c r="H126" i="20"/>
  <c r="F126" i="20"/>
  <c r="R126" i="20"/>
  <c r="E126" i="20"/>
  <c r="U126" i="20"/>
  <c r="G126" i="20"/>
  <c r="C99" i="19"/>
  <c r="D99" i="19"/>
  <c r="D127" i="20"/>
  <c r="N127" i="20"/>
  <c r="O127" i="20"/>
  <c r="H127" i="20"/>
  <c r="U127" i="20"/>
  <c r="G127" i="20"/>
  <c r="E127" i="20"/>
  <c r="F127" i="20"/>
  <c r="R127" i="20"/>
  <c r="C100" i="19"/>
  <c r="D100" i="19"/>
  <c r="D128" i="20"/>
  <c r="N128" i="20"/>
  <c r="O128" i="20"/>
  <c r="H128" i="20"/>
  <c r="F128" i="20"/>
  <c r="U128" i="20"/>
  <c r="E128" i="20"/>
  <c r="R128" i="20"/>
  <c r="G128" i="20"/>
  <c r="C101" i="19"/>
  <c r="D101" i="19"/>
  <c r="D129" i="20"/>
  <c r="N129" i="20"/>
  <c r="O129" i="20"/>
  <c r="H129" i="20"/>
  <c r="D18" i="22"/>
  <c r="B33" i="20"/>
  <c r="R129" i="20"/>
  <c r="G129" i="20"/>
  <c r="E129" i="20"/>
  <c r="F129" i="20"/>
  <c r="U129" i="20"/>
  <c r="C102" i="19"/>
  <c r="D102" i="19"/>
  <c r="R39" i="20"/>
  <c r="U39" i="20"/>
  <c r="U40" i="20"/>
  <c r="R40" i="20"/>
  <c r="N62" i="20"/>
  <c r="O62" i="20"/>
  <c r="R41" i="20"/>
  <c r="U41" i="20"/>
  <c r="R42" i="20"/>
  <c r="U42" i="20"/>
  <c r="R43" i="20"/>
  <c r="U43" i="20"/>
  <c r="U44" i="20"/>
  <c r="R44" i="20"/>
  <c r="R45" i="20"/>
  <c r="U45" i="20"/>
  <c r="R46" i="20"/>
  <c r="U46" i="20"/>
  <c r="R47" i="20"/>
  <c r="U47" i="20"/>
  <c r="U48" i="20"/>
  <c r="R48" i="20"/>
  <c r="R49" i="20"/>
  <c r="U49" i="20"/>
  <c r="R50" i="20"/>
  <c r="U50" i="20"/>
  <c r="R51" i="20"/>
  <c r="U51" i="20"/>
  <c r="U52" i="20"/>
  <c r="R52" i="20"/>
  <c r="R53" i="20"/>
  <c r="U53" i="20"/>
  <c r="U54" i="20"/>
  <c r="R54" i="20"/>
  <c r="R55" i="20"/>
  <c r="U55" i="20"/>
  <c r="U56" i="20"/>
  <c r="R56" i="20"/>
  <c r="R57" i="20"/>
  <c r="U57" i="20"/>
  <c r="R58" i="20"/>
  <c r="U58" i="20"/>
  <c r="R59" i="20"/>
  <c r="U59" i="20"/>
  <c r="U60" i="20"/>
  <c r="U61" i="20"/>
  <c r="R60" i="20"/>
  <c r="R61" i="20"/>
  <c r="U96" i="20"/>
  <c r="R96" i="20"/>
  <c r="G96" i="20"/>
  <c r="F96" i="20"/>
  <c r="R97" i="20"/>
  <c r="U97" i="20"/>
  <c r="F97" i="20"/>
  <c r="G97" i="20"/>
  <c r="H62" i="20"/>
  <c r="R62" i="20"/>
  <c r="U62" i="20"/>
  <c r="H63" i="20"/>
  <c r="R63" i="20"/>
  <c r="U63" i="20"/>
  <c r="H64" i="20"/>
  <c r="R64" i="20"/>
  <c r="U64" i="20"/>
  <c r="H65" i="20"/>
  <c r="R65" i="20"/>
  <c r="U65" i="20"/>
  <c r="C65" i="20"/>
  <c r="C64" i="20"/>
  <c r="C63" i="20"/>
  <c r="C67" i="20"/>
  <c r="C62" i="20"/>
  <c r="C68" i="20"/>
  <c r="C61" i="20"/>
  <c r="C69" i="20"/>
  <c r="C60" i="20"/>
  <c r="C70" i="20"/>
  <c r="C59" i="20"/>
  <c r="C71" i="20"/>
  <c r="C58" i="20"/>
  <c r="C72" i="20"/>
  <c r="C57" i="20"/>
  <c r="C73" i="20"/>
  <c r="C56" i="20"/>
  <c r="C74" i="20"/>
  <c r="C55" i="20"/>
  <c r="C75" i="20"/>
  <c r="C54" i="20"/>
  <c r="C76" i="20"/>
  <c r="C53" i="20"/>
  <c r="C77" i="20"/>
  <c r="C52" i="20"/>
  <c r="C78" i="20"/>
  <c r="C51" i="20"/>
  <c r="C79" i="20"/>
  <c r="C50" i="20"/>
  <c r="C80" i="20"/>
  <c r="C49" i="20"/>
  <c r="C81" i="20"/>
  <c r="C48" i="20"/>
  <c r="C82" i="20"/>
  <c r="C47" i="20"/>
  <c r="C83" i="20"/>
  <c r="C46" i="20"/>
  <c r="C84" i="20"/>
  <c r="C45" i="20"/>
  <c r="C85" i="20"/>
  <c r="C44" i="20"/>
  <c r="C86" i="20"/>
  <c r="C43" i="20"/>
  <c r="C87" i="20"/>
  <c r="C42" i="20"/>
  <c r="C88" i="20"/>
  <c r="C41" i="20"/>
  <c r="C89" i="20"/>
  <c r="C40" i="20"/>
  <c r="C90" i="20"/>
  <c r="C39" i="20"/>
  <c r="C91" i="20"/>
  <c r="C92" i="20"/>
  <c r="C93" i="20"/>
  <c r="C94" i="20"/>
  <c r="C95" i="20"/>
  <c r="C96" i="20"/>
  <c r="C97" i="20"/>
  <c r="C98" i="20"/>
  <c r="C99" i="20"/>
  <c r="C100" i="20"/>
  <c r="C101" i="20"/>
  <c r="C102" i="20"/>
  <c r="C103" i="20"/>
  <c r="C104" i="20"/>
  <c r="C105" i="20"/>
  <c r="C106" i="20"/>
  <c r="C107" i="20"/>
  <c r="G27" i="25"/>
  <c r="C108" i="20"/>
  <c r="C109" i="20"/>
  <c r="C110" i="20"/>
  <c r="C111" i="20"/>
  <c r="C112" i="20"/>
  <c r="C113" i="20"/>
  <c r="C114" i="20"/>
  <c r="C115" i="20"/>
  <c r="C116" i="20"/>
  <c r="C117" i="20"/>
  <c r="C118" i="20"/>
  <c r="C119" i="20"/>
  <c r="C120" i="20"/>
  <c r="C121" i="20"/>
  <c r="C122" i="20"/>
  <c r="C123" i="20"/>
  <c r="C124" i="20"/>
  <c r="C125" i="20"/>
  <c r="C126" i="20"/>
  <c r="C127" i="20"/>
  <c r="C128" i="20"/>
  <c r="C129" i="20"/>
  <c r="J23" i="17"/>
  <c r="P22" i="17"/>
  <c r="J24" i="17"/>
  <c r="P23" i="17"/>
  <c r="J25" i="17"/>
  <c r="P24" i="17"/>
  <c r="J26" i="17"/>
  <c r="P25" i="17"/>
  <c r="J27" i="17"/>
  <c r="P26" i="17"/>
  <c r="J28" i="17"/>
  <c r="P27" i="17"/>
  <c r="J29" i="17"/>
  <c r="P28" i="17"/>
  <c r="N72" i="20"/>
  <c r="O72" i="20"/>
  <c r="J30" i="17"/>
  <c r="P29" i="17"/>
  <c r="J31" i="17"/>
  <c r="P30" i="17"/>
  <c r="J32" i="17"/>
  <c r="P31" i="17"/>
  <c r="J33" i="17"/>
  <c r="P32" i="17"/>
  <c r="J34" i="17"/>
  <c r="P33" i="17"/>
  <c r="J35" i="17"/>
  <c r="P34" i="17"/>
  <c r="J36" i="17"/>
  <c r="P35" i="17"/>
  <c r="P36" i="17"/>
  <c r="J42" i="17"/>
  <c r="P41" i="17"/>
  <c r="J43" i="17"/>
  <c r="P42" i="17"/>
  <c r="J44" i="17"/>
  <c r="P43" i="17"/>
  <c r="N79" i="20"/>
  <c r="O79" i="20"/>
  <c r="J45" i="17"/>
  <c r="P44" i="17"/>
  <c r="J46" i="17"/>
  <c r="J47" i="17"/>
  <c r="J48" i="17"/>
  <c r="P45" i="17"/>
  <c r="N84" i="20"/>
  <c r="O84" i="20"/>
  <c r="J49" i="17"/>
  <c r="P48" i="17"/>
  <c r="P46" i="17"/>
  <c r="J50" i="17"/>
  <c r="P49" i="17"/>
  <c r="N66" i="20"/>
  <c r="O66" i="20"/>
  <c r="J51" i="17"/>
  <c r="P50" i="17"/>
  <c r="P47" i="17"/>
  <c r="J53" i="17"/>
  <c r="J54" i="17"/>
  <c r="J55" i="17"/>
  <c r="J56" i="17"/>
  <c r="J57" i="17"/>
  <c r="J58" i="17"/>
  <c r="J59" i="17"/>
  <c r="P51" i="17"/>
  <c r="P53" i="17"/>
  <c r="P54" i="17"/>
  <c r="P55" i="17"/>
  <c r="P59" i="17"/>
  <c r="P58" i="17"/>
  <c r="I17" i="17"/>
  <c r="P56" i="17"/>
  <c r="I16" i="17"/>
  <c r="N67" i="20"/>
  <c r="O67" i="20"/>
  <c r="N65" i="20"/>
  <c r="O65" i="20"/>
  <c r="N69" i="20"/>
  <c r="O69" i="20"/>
  <c r="M86" i="20"/>
  <c r="M76" i="20"/>
  <c r="M78" i="20"/>
  <c r="M94" i="20"/>
  <c r="M71" i="20"/>
  <c r="M79" i="20"/>
  <c r="M87" i="20"/>
  <c r="M95" i="20"/>
  <c r="M70" i="20"/>
  <c r="M72" i="20"/>
  <c r="M80" i="20"/>
  <c r="M88" i="20"/>
  <c r="M93" i="20"/>
  <c r="M48" i="20"/>
  <c r="M65" i="20"/>
  <c r="M73" i="20"/>
  <c r="M81" i="20"/>
  <c r="M89" i="20"/>
  <c r="M68" i="20"/>
  <c r="M92" i="20"/>
  <c r="M69" i="20"/>
  <c r="M66" i="20"/>
  <c r="M74" i="20"/>
  <c r="M82" i="20"/>
  <c r="M90" i="20"/>
  <c r="M84" i="20"/>
  <c r="M67" i="20"/>
  <c r="M75" i="20"/>
  <c r="M83" i="20"/>
  <c r="M91" i="20"/>
  <c r="K30" i="23"/>
  <c r="H23" i="23"/>
  <c r="N98" i="20"/>
  <c r="O98" i="20"/>
  <c r="N87" i="20"/>
  <c r="O87" i="20"/>
  <c r="N74" i="20"/>
  <c r="O74" i="20"/>
  <c r="N70" i="20"/>
  <c r="O70" i="20"/>
  <c r="N92" i="20"/>
  <c r="O92" i="20"/>
  <c r="N89" i="20"/>
  <c r="O89" i="20"/>
  <c r="N81" i="20"/>
  <c r="O81" i="20"/>
  <c r="N78" i="20"/>
  <c r="O78" i="20"/>
  <c r="N109" i="20"/>
  <c r="O109" i="20"/>
  <c r="N105" i="20"/>
  <c r="O105" i="20"/>
  <c r="N101" i="20"/>
  <c r="O101" i="20"/>
  <c r="N94" i="20"/>
  <c r="O94" i="20"/>
  <c r="N75" i="20"/>
  <c r="O75" i="20"/>
  <c r="N71" i="20"/>
  <c r="O71" i="20"/>
  <c r="N68" i="20"/>
  <c r="O68" i="20"/>
  <c r="N85" i="20"/>
  <c r="O85" i="20"/>
  <c r="N73" i="20"/>
  <c r="O73" i="20"/>
  <c r="N95" i="20"/>
  <c r="O95" i="20"/>
  <c r="H30" i="23"/>
  <c r="L47" i="20"/>
  <c r="L49" i="20"/>
  <c r="L41" i="20"/>
  <c r="L42" i="20"/>
  <c r="L43" i="20"/>
  <c r="G30" i="23"/>
  <c r="Y76" i="19"/>
  <c r="D30" i="23"/>
  <c r="AH65" i="19"/>
  <c r="Y79" i="19"/>
  <c r="J30" i="23"/>
  <c r="I30" i="23"/>
  <c r="S42" i="19"/>
  <c r="AH25" i="19"/>
  <c r="V68" i="19"/>
  <c r="Y16" i="19"/>
  <c r="P66" i="19"/>
  <c r="AE60" i="19"/>
  <c r="AH47" i="19"/>
  <c r="AB34" i="19"/>
  <c r="AH73" i="19"/>
  <c r="V40" i="19"/>
  <c r="Y57" i="19"/>
  <c r="AE72" i="19"/>
  <c r="AH88" i="19"/>
  <c r="Y20" i="19"/>
  <c r="Y75" i="19"/>
  <c r="Y65" i="19"/>
  <c r="AB31" i="19"/>
  <c r="AB56" i="19"/>
  <c r="Y37" i="19"/>
  <c r="E30" i="23"/>
  <c r="F30" i="23"/>
  <c r="S83" i="19"/>
  <c r="S51" i="19"/>
  <c r="S89" i="19"/>
  <c r="V98" i="19"/>
  <c r="S63" i="19"/>
  <c r="AE28" i="19"/>
  <c r="P39" i="19"/>
  <c r="AE48" i="19"/>
  <c r="V53" i="19"/>
  <c r="AE74" i="19"/>
  <c r="S28" i="19"/>
  <c r="Y98" i="19"/>
  <c r="P72" i="19"/>
  <c r="AH54" i="19"/>
  <c r="AB33" i="19"/>
  <c r="S21" i="19"/>
  <c r="Y63" i="19"/>
  <c r="AH42" i="19"/>
  <c r="P45" i="19"/>
  <c r="AB61" i="19"/>
  <c r="AB19" i="19"/>
  <c r="V22" i="19"/>
  <c r="AE13" i="19"/>
  <c r="AE51" i="19"/>
  <c r="AB47" i="19"/>
  <c r="AB28" i="19"/>
  <c r="P13" i="19"/>
  <c r="AH39" i="19"/>
  <c r="P63" i="19"/>
  <c r="AH91" i="19"/>
  <c r="V21" i="19"/>
  <c r="P74" i="19"/>
  <c r="V88" i="19"/>
  <c r="S84" i="19"/>
  <c r="V92" i="19"/>
  <c r="AE20" i="19"/>
  <c r="AE24" i="19"/>
  <c r="P92" i="19"/>
  <c r="F23" i="23"/>
  <c r="G61" i="22"/>
  <c r="G55" i="22"/>
  <c r="G23" i="23"/>
  <c r="E23" i="23"/>
  <c r="D65" i="22"/>
  <c r="G45" i="22"/>
  <c r="D62" i="22"/>
  <c r="D23" i="23"/>
  <c r="F22" i="20"/>
  <c r="X50" i="22"/>
  <c r="X51" i="22"/>
  <c r="H51" i="22"/>
  <c r="X52" i="22"/>
  <c r="H52" i="22"/>
  <c r="X53" i="22"/>
  <c r="H53" i="22"/>
  <c r="X54" i="22"/>
  <c r="X55" i="22"/>
  <c r="D57" i="22"/>
  <c r="G68" i="22"/>
  <c r="G52" i="22"/>
  <c r="P44" i="22"/>
  <c r="Q71" i="20"/>
  <c r="R71" i="20"/>
  <c r="D49" i="22"/>
  <c r="G63" i="22"/>
  <c r="G47" i="22"/>
  <c r="AH36" i="19"/>
  <c r="AB74" i="19"/>
  <c r="Y49" i="19"/>
  <c r="S48" i="19"/>
  <c r="V27" i="19"/>
  <c r="AE101" i="19"/>
  <c r="AB14" i="19"/>
  <c r="Y35" i="19"/>
  <c r="Y50" i="19"/>
  <c r="Y80" i="19"/>
  <c r="Y93" i="19"/>
  <c r="P86" i="19"/>
  <c r="D46" i="22"/>
  <c r="AE16" i="19"/>
  <c r="V31" i="19"/>
  <c r="P90" i="19"/>
  <c r="S82" i="19"/>
  <c r="V83" i="19"/>
  <c r="P38" i="19"/>
  <c r="AB25" i="19"/>
  <c r="V15" i="19"/>
  <c r="Y48" i="19"/>
  <c r="V77" i="19"/>
  <c r="AB84" i="19"/>
  <c r="AH66" i="19"/>
  <c r="I45" i="22"/>
  <c r="Y92" i="19"/>
  <c r="V63" i="19"/>
  <c r="AB26" i="19"/>
  <c r="AH80" i="19"/>
  <c r="S49" i="19"/>
  <c r="P99" i="19"/>
  <c r="Y61" i="19"/>
  <c r="Y44" i="19"/>
  <c r="Y29" i="19"/>
  <c r="P76" i="19"/>
  <c r="P29" i="19"/>
  <c r="Y54" i="19"/>
  <c r="Y50" i="22"/>
  <c r="Y51" i="22"/>
  <c r="Y52" i="22"/>
  <c r="Y53" i="22"/>
  <c r="Y54" i="22"/>
  <c r="Y55" i="22"/>
  <c r="D39" i="22"/>
  <c r="G60" i="22"/>
  <c r="G44" i="22"/>
  <c r="V73" i="19"/>
  <c r="Y46" i="19"/>
  <c r="AE35" i="19"/>
  <c r="V55" i="19"/>
  <c r="AH93" i="19"/>
  <c r="P20" i="19"/>
  <c r="S72" i="19"/>
  <c r="AH64" i="19"/>
  <c r="P96" i="19"/>
  <c r="V99" i="19"/>
  <c r="AH17" i="19"/>
  <c r="P53" i="19"/>
  <c r="V84" i="19"/>
  <c r="Y51" i="19"/>
  <c r="AE62" i="19"/>
  <c r="AH31" i="19"/>
  <c r="AE29" i="19"/>
  <c r="Y40" i="19"/>
  <c r="AH44" i="19"/>
  <c r="S15" i="19"/>
  <c r="AB72" i="19"/>
  <c r="P69" i="19"/>
  <c r="AE64" i="19"/>
  <c r="AE79" i="19"/>
  <c r="AE55" i="19"/>
  <c r="Y67" i="19"/>
  <c r="Y96" i="19"/>
  <c r="Y72" i="19"/>
  <c r="AB77" i="19"/>
  <c r="Y53" i="19"/>
  <c r="AE61" i="19"/>
  <c r="AB59" i="19"/>
  <c r="Y86" i="19"/>
  <c r="Y95" i="19"/>
  <c r="AB71" i="19"/>
  <c r="AH58" i="19"/>
  <c r="AE32" i="19"/>
  <c r="AH52" i="19"/>
  <c r="AB22" i="19"/>
  <c r="Y38" i="19"/>
  <c r="Y30" i="19"/>
  <c r="Y15" i="19"/>
  <c r="AB92" i="19"/>
  <c r="AH75" i="19"/>
  <c r="S80" i="19"/>
  <c r="AE95" i="19"/>
  <c r="AB43" i="19"/>
  <c r="S38" i="19"/>
  <c r="AE31" i="19"/>
  <c r="G9" i="19"/>
  <c r="S47" i="19"/>
  <c r="AH70" i="19"/>
  <c r="AB96" i="19"/>
  <c r="AE33" i="19"/>
  <c r="Y31" i="19"/>
  <c r="AB65" i="19"/>
  <c r="Y88" i="19"/>
  <c r="AH28" i="19"/>
  <c r="S57" i="19"/>
  <c r="AH74" i="19"/>
  <c r="P94" i="19"/>
  <c r="V93" i="19"/>
  <c r="S99" i="19"/>
  <c r="Y87" i="19"/>
  <c r="AB88" i="19"/>
  <c r="AE90" i="19"/>
  <c r="AH98" i="19"/>
  <c r="P91" i="19"/>
  <c r="S30" i="19"/>
  <c r="V38" i="19"/>
  <c r="AE78" i="19"/>
  <c r="AB48" i="19"/>
  <c r="AE47" i="19"/>
  <c r="AE23" i="19"/>
  <c r="AE50" i="19"/>
  <c r="Y42" i="19"/>
  <c r="AE45" i="19"/>
  <c r="P24" i="19"/>
  <c r="Y36" i="19"/>
  <c r="AE12" i="19"/>
  <c r="Y69" i="19"/>
  <c r="AH19" i="19"/>
  <c r="V13" i="19"/>
  <c r="AH38" i="19"/>
  <c r="AH30" i="19"/>
  <c r="AE66" i="19"/>
  <c r="AH27" i="19"/>
  <c r="Y18" i="19"/>
  <c r="S81" i="19"/>
  <c r="V52" i="19"/>
  <c r="AB87" i="19"/>
  <c r="S61" i="19"/>
  <c r="P31" i="19"/>
  <c r="AE93" i="19"/>
  <c r="AH81" i="19"/>
  <c r="Y66" i="19"/>
  <c r="V50" i="19"/>
  <c r="S59" i="19"/>
  <c r="V75" i="19"/>
  <c r="P15" i="19"/>
  <c r="AB50" i="19"/>
  <c r="P80" i="19"/>
  <c r="AE57" i="19"/>
  <c r="Y71" i="19"/>
  <c r="Y84" i="19"/>
  <c r="S41" i="19"/>
  <c r="S94" i="19"/>
  <c r="V96" i="19"/>
  <c r="V32" i="19"/>
  <c r="AB49" i="19"/>
  <c r="P43" i="19"/>
  <c r="Y17" i="19"/>
  <c r="AE81" i="19"/>
  <c r="AH77" i="19"/>
  <c r="Y90" i="19"/>
  <c r="S68" i="19"/>
  <c r="V47" i="19"/>
  <c r="AB82" i="19"/>
  <c r="P75" i="19"/>
  <c r="P85" i="19"/>
  <c r="AE88" i="19"/>
  <c r="AH68" i="19"/>
  <c r="AH15" i="19"/>
  <c r="Y68" i="19"/>
  <c r="AB23" i="19"/>
  <c r="P67" i="19"/>
  <c r="V81" i="19"/>
  <c r="AE99" i="19"/>
  <c r="AB100" i="19"/>
  <c r="AH71" i="19"/>
  <c r="P54" i="19"/>
  <c r="V61" i="19"/>
  <c r="Y59" i="19"/>
  <c r="AB52" i="19"/>
  <c r="S70" i="19"/>
  <c r="AH59" i="19"/>
  <c r="P48" i="19"/>
  <c r="V45" i="19"/>
  <c r="P100" i="19"/>
  <c r="AE75" i="19"/>
  <c r="Y62" i="19"/>
  <c r="P84" i="19"/>
  <c r="S71" i="19"/>
  <c r="V29" i="19"/>
  <c r="AE25" i="19"/>
  <c r="AB80" i="19"/>
  <c r="Y23" i="19"/>
  <c r="S43" i="19"/>
  <c r="AB85" i="19"/>
  <c r="P58" i="19"/>
  <c r="S40" i="19"/>
  <c r="AH79" i="19"/>
  <c r="AB40" i="19"/>
  <c r="AE17" i="19"/>
  <c r="AH63" i="19"/>
  <c r="P78" i="19"/>
  <c r="S60" i="19"/>
  <c r="AH24" i="19"/>
  <c r="AE42" i="19"/>
  <c r="AE36" i="19"/>
  <c r="Y27" i="19"/>
  <c r="V14" i="19"/>
  <c r="P18" i="19"/>
  <c r="P42" i="19"/>
  <c r="P22" i="19"/>
  <c r="AB37" i="19"/>
  <c r="AE21" i="19"/>
  <c r="AB21" i="19"/>
  <c r="AH46" i="19"/>
  <c r="AB66" i="19"/>
  <c r="S22" i="19"/>
  <c r="V60" i="19"/>
  <c r="AB79" i="19"/>
  <c r="P65" i="19"/>
  <c r="Y25" i="19"/>
  <c r="AH34" i="19"/>
  <c r="AH33" i="19"/>
  <c r="V82" i="19"/>
  <c r="S58" i="19"/>
  <c r="V67" i="19"/>
  <c r="AB94" i="19"/>
  <c r="S69" i="19"/>
  <c r="P41" i="19"/>
  <c r="AE84" i="19"/>
  <c r="AH56" i="19"/>
  <c r="S77" i="19"/>
  <c r="S78" i="19"/>
  <c r="V80" i="19"/>
  <c r="P26" i="19"/>
  <c r="AB35" i="19"/>
  <c r="P59" i="19"/>
  <c r="AE97" i="19"/>
  <c r="AH85" i="19"/>
  <c r="S20" i="19"/>
  <c r="V95" i="19"/>
  <c r="V23" i="19"/>
  <c r="AB24" i="19"/>
  <c r="P12" i="19"/>
  <c r="Y99" i="19"/>
  <c r="AH76" i="19"/>
  <c r="AH67" i="19"/>
  <c r="P93" i="19"/>
  <c r="AB73" i="19"/>
  <c r="S74" i="19"/>
  <c r="V85" i="19"/>
  <c r="AH86" i="19"/>
  <c r="V54" i="19"/>
  <c r="AE82" i="19"/>
  <c r="V57" i="19"/>
  <c r="AE83" i="19"/>
  <c r="V33" i="19"/>
  <c r="AE86" i="19"/>
  <c r="V37" i="19"/>
  <c r="AE71" i="19"/>
  <c r="P28" i="19"/>
  <c r="S88" i="19"/>
  <c r="AE41" i="19"/>
  <c r="AB30" i="19"/>
  <c r="P40" i="19"/>
  <c r="AH82" i="19"/>
  <c r="P19" i="19"/>
  <c r="AH48" i="19"/>
  <c r="Y21" i="19"/>
  <c r="AE73" i="19"/>
  <c r="Y34" i="19"/>
  <c r="AH22" i="19"/>
  <c r="AB70" i="19"/>
  <c r="P16" i="19"/>
  <c r="Y12" i="19"/>
  <c r="AB17" i="19"/>
  <c r="AB27" i="19"/>
  <c r="Y19" i="19"/>
  <c r="P95" i="19"/>
  <c r="AE37" i="19"/>
  <c r="AE46" i="19"/>
  <c r="S97" i="19"/>
  <c r="V44" i="19"/>
  <c r="AB46" i="19"/>
  <c r="P52" i="19"/>
  <c r="Y41" i="19"/>
  <c r="AE68" i="19"/>
  <c r="AH49" i="19"/>
  <c r="V66" i="19"/>
  <c r="S67" i="19"/>
  <c r="V59" i="19"/>
  <c r="AB86" i="19"/>
  <c r="S27" i="19"/>
  <c r="Y14" i="19"/>
  <c r="AE76" i="19"/>
  <c r="AE67" i="19"/>
  <c r="V90" i="19"/>
  <c r="S37" i="19"/>
  <c r="V72" i="19"/>
  <c r="AB99" i="19"/>
  <c r="P68" i="19"/>
  <c r="P32" i="19"/>
  <c r="AE89" i="19"/>
  <c r="AH69" i="19"/>
  <c r="S92" i="19"/>
  <c r="V87" i="19"/>
  <c r="S23" i="19"/>
  <c r="AB18" i="19"/>
  <c r="P55" i="19"/>
  <c r="AE96" i="19"/>
  <c r="AH60" i="19"/>
  <c r="AH83" i="19"/>
  <c r="P47" i="19"/>
  <c r="AB89" i="19"/>
  <c r="S90" i="19"/>
  <c r="S33" i="19"/>
  <c r="AB76" i="19"/>
  <c r="Y22" i="19"/>
  <c r="S50" i="19"/>
  <c r="V86" i="19"/>
  <c r="AE102" i="19"/>
  <c r="V89" i="19"/>
  <c r="Y60" i="19"/>
  <c r="V65" i="19"/>
  <c r="AH78" i="19"/>
  <c r="S65" i="19"/>
  <c r="AH94" i="19"/>
  <c r="AE94" i="19"/>
  <c r="V12" i="19"/>
  <c r="AE69" i="19"/>
  <c r="AH102" i="19"/>
  <c r="P83" i="19"/>
  <c r="Y45" i="19"/>
  <c r="AH12" i="19"/>
  <c r="AH53" i="19"/>
  <c r="AH29" i="19"/>
  <c r="AB20" i="19"/>
  <c r="AE54" i="19"/>
  <c r="P14" i="19"/>
  <c r="AE58" i="19"/>
  <c r="AB15" i="19"/>
  <c r="V16" i="19"/>
  <c r="AB62" i="19"/>
  <c r="P87" i="19"/>
  <c r="P34" i="19"/>
  <c r="P33" i="19"/>
  <c r="S56" i="19"/>
  <c r="V36" i="19"/>
  <c r="AB67" i="19"/>
  <c r="P98" i="19"/>
  <c r="Y56" i="19"/>
  <c r="AH97" i="19"/>
  <c r="Y74" i="19"/>
  <c r="V34" i="19"/>
  <c r="S95" i="19"/>
  <c r="V51" i="19"/>
  <c r="AB78" i="19"/>
  <c r="P61" i="19"/>
  <c r="AE27" i="19"/>
  <c r="Y55" i="19"/>
  <c r="Y100" i="19"/>
  <c r="V74" i="19"/>
  <c r="S54" i="19"/>
  <c r="V64" i="19"/>
  <c r="AB91" i="19"/>
  <c r="P64" i="19"/>
  <c r="P77" i="19"/>
  <c r="AE14" i="19"/>
  <c r="AH61" i="19"/>
  <c r="S76" i="19"/>
  <c r="V79" i="19"/>
  <c r="S34" i="19"/>
  <c r="S13" i="19"/>
  <c r="S14" i="19"/>
  <c r="AE80" i="19"/>
  <c r="AH14" i="19"/>
  <c r="AH99" i="19"/>
  <c r="P62" i="19"/>
  <c r="S19" i="19"/>
  <c r="S55" i="19"/>
  <c r="S101" i="19"/>
  <c r="AH87" i="19"/>
  <c r="P27" i="19"/>
  <c r="P46" i="19"/>
  <c r="S75" i="19"/>
  <c r="S18" i="19"/>
  <c r="S85" i="19"/>
  <c r="S16" i="19"/>
  <c r="S91" i="19"/>
  <c r="AH95" i="19"/>
  <c r="S17" i="19"/>
  <c r="AH20" i="19"/>
  <c r="Y85" i="19"/>
  <c r="V46" i="19"/>
  <c r="AB64" i="19"/>
  <c r="Y39" i="19"/>
  <c r="AB54" i="19"/>
  <c r="AH40" i="19"/>
  <c r="AH51" i="19"/>
  <c r="AE52" i="19"/>
  <c r="AE70" i="19"/>
  <c r="AB12" i="19"/>
  <c r="AB45" i="19"/>
  <c r="AB58" i="19"/>
  <c r="AE53" i="19"/>
  <c r="AB13" i="19"/>
  <c r="Y73" i="19"/>
  <c r="Y52" i="19"/>
  <c r="P79" i="19"/>
  <c r="AE30" i="19"/>
  <c r="P50" i="19"/>
  <c r="V100" i="19"/>
  <c r="V28" i="19"/>
  <c r="AB68" i="19"/>
  <c r="P82" i="19"/>
  <c r="Y89" i="19"/>
  <c r="AH89" i="19"/>
  <c r="Y82" i="19"/>
  <c r="V18" i="19"/>
  <c r="S79" i="19"/>
  <c r="V43" i="19"/>
  <c r="AB38" i="19"/>
  <c r="P44" i="19"/>
  <c r="AE43" i="19"/>
  <c r="AH96" i="19"/>
  <c r="S44" i="19"/>
  <c r="V58" i="19"/>
  <c r="S32" i="19"/>
  <c r="V56" i="19"/>
  <c r="AB83" i="19"/>
  <c r="S35" i="19"/>
  <c r="Y33" i="19"/>
  <c r="AH26" i="19"/>
  <c r="AH13" i="19"/>
  <c r="S29" i="19"/>
  <c r="V71" i="19"/>
  <c r="AB98" i="19"/>
  <c r="P81" i="19"/>
  <c r="AE19" i="19"/>
  <c r="AE15" i="19"/>
  <c r="AE59" i="19"/>
  <c r="Y47" i="19"/>
  <c r="P102" i="19"/>
  <c r="V30" i="19"/>
  <c r="AB81" i="19"/>
  <c r="S66" i="19"/>
  <c r="P49" i="19"/>
  <c r="V25" i="19"/>
  <c r="AE98" i="19"/>
  <c r="AH50" i="19"/>
  <c r="AH90" i="19"/>
  <c r="P97" i="19"/>
  <c r="AH55" i="19"/>
  <c r="AB42" i="19"/>
  <c r="P37" i="19"/>
  <c r="AE91" i="19"/>
  <c r="V70" i="19"/>
  <c r="Y70" i="19"/>
  <c r="P36" i="19"/>
  <c r="S96" i="19"/>
  <c r="AE63" i="19"/>
  <c r="P101" i="19"/>
  <c r="V49" i="19"/>
  <c r="AH32" i="19"/>
  <c r="AH43" i="19"/>
  <c r="AE44" i="19"/>
  <c r="AB36" i="19"/>
  <c r="P30" i="19"/>
  <c r="AE22" i="19"/>
  <c r="AH21" i="19"/>
  <c r="AE26" i="19"/>
  <c r="Y26" i="19"/>
  <c r="Y43" i="19"/>
  <c r="Y28" i="19"/>
  <c r="P56" i="19"/>
  <c r="AB16" i="19"/>
  <c r="S62" i="19"/>
  <c r="V76" i="19"/>
  <c r="S73" i="19"/>
  <c r="S26" i="19"/>
  <c r="P25" i="19"/>
  <c r="AE77" i="19"/>
  <c r="AH57" i="19"/>
  <c r="S93" i="19"/>
  <c r="S100" i="19"/>
  <c r="V91" i="19"/>
  <c r="V19" i="19"/>
  <c r="AB57" i="19"/>
  <c r="P71" i="19"/>
  <c r="AE100" i="19"/>
  <c r="AH72" i="19"/>
  <c r="S39" i="19"/>
  <c r="P17" i="19"/>
  <c r="S25" i="19"/>
  <c r="V24" i="19"/>
  <c r="AB32" i="19"/>
  <c r="P70" i="19"/>
  <c r="Y81" i="19"/>
  <c r="AH101" i="19"/>
  <c r="Y58" i="19"/>
  <c r="S87" i="19"/>
  <c r="V39" i="19"/>
  <c r="AB41" i="19"/>
  <c r="P88" i="19"/>
  <c r="AE65" i="19"/>
  <c r="AH92" i="19"/>
  <c r="Y78" i="19"/>
  <c r="Y101" i="19"/>
  <c r="AB69" i="19"/>
  <c r="V94" i="19"/>
  <c r="V41" i="19"/>
  <c r="S36" i="19"/>
  <c r="P89" i="19"/>
  <c r="AH84" i="19"/>
  <c r="P35" i="19"/>
  <c r="S24" i="19"/>
  <c r="Y97" i="19"/>
  <c r="AB75" i="19"/>
  <c r="V26" i="19"/>
  <c r="AE92" i="19"/>
  <c r="AB63" i="19"/>
  <c r="S52" i="19"/>
  <c r="AH18" i="19"/>
  <c r="AB60" i="19"/>
  <c r="S86" i="19"/>
  <c r="AH23" i="19"/>
  <c r="AB53" i="19"/>
  <c r="AB29" i="19"/>
  <c r="AH37" i="19"/>
  <c r="AE39" i="19"/>
  <c r="V69" i="19"/>
  <c r="AH62" i="19"/>
  <c r="AE49" i="19"/>
  <c r="AE40" i="19"/>
  <c r="AB55" i="19"/>
  <c r="P60" i="19"/>
  <c r="V62" i="19"/>
  <c r="P73" i="19"/>
  <c r="AH100" i="19"/>
  <c r="AB39" i="19"/>
  <c r="S46" i="19"/>
  <c r="Y64" i="19"/>
  <c r="S12" i="19"/>
  <c r="V42" i="19"/>
  <c r="Y91" i="19"/>
  <c r="AB102" i="19"/>
  <c r="AB101" i="19"/>
  <c r="AE85" i="19"/>
  <c r="AB95" i="19"/>
  <c r="S102" i="19"/>
  <c r="AE38" i="19"/>
  <c r="Y24" i="19"/>
  <c r="Y32" i="19"/>
  <c r="AH45" i="19"/>
  <c r="V78" i="19"/>
  <c r="Y102" i="19"/>
  <c r="V97" i="19"/>
  <c r="S31" i="19"/>
  <c r="S45" i="19"/>
  <c r="P51" i="19"/>
  <c r="Y77" i="19"/>
  <c r="AH16" i="19"/>
  <c r="AB97" i="19"/>
  <c r="AE87" i="19"/>
  <c r="Y83" i="19"/>
  <c r="AB90" i="19"/>
  <c r="AH41" i="19"/>
  <c r="P21" i="19"/>
  <c r="V48" i="19"/>
  <c r="S53" i="19"/>
  <c r="P23" i="19"/>
  <c r="V35" i="19"/>
  <c r="S98" i="19"/>
  <c r="Y13" i="19"/>
  <c r="V20" i="19"/>
  <c r="AE18" i="19"/>
  <c r="AE34" i="19"/>
  <c r="AB44" i="19"/>
  <c r="V17" i="19"/>
  <c r="AH35" i="19"/>
  <c r="AB93" i="19"/>
  <c r="V102" i="19"/>
  <c r="V101" i="19"/>
  <c r="AE56" i="19"/>
  <c r="P57" i="19"/>
  <c r="AB51" i="19"/>
  <c r="Y94" i="19"/>
  <c r="F57" i="22"/>
  <c r="F50" i="22"/>
  <c r="F59" i="22"/>
  <c r="F52" i="22"/>
  <c r="F55" i="22"/>
  <c r="F62" i="22"/>
  <c r="F53" i="22"/>
  <c r="E55" i="22"/>
  <c r="E57" i="22"/>
  <c r="E53" i="22"/>
  <c r="D42" i="22"/>
  <c r="D58" i="22"/>
  <c r="D66" i="22"/>
  <c r="D43" i="22"/>
  <c r="D51" i="22"/>
  <c r="D59" i="22"/>
  <c r="D67" i="22"/>
  <c r="D44" i="22"/>
  <c r="D52" i="22"/>
  <c r="D60" i="22"/>
  <c r="D68" i="22"/>
  <c r="D45" i="22"/>
  <c r="D53" i="22"/>
  <c r="D40" i="22"/>
  <c r="D48" i="22"/>
  <c r="D56" i="22"/>
  <c r="D64" i="22"/>
  <c r="E54" i="22"/>
  <c r="D55" i="22"/>
  <c r="D54" i="22"/>
  <c r="G67" i="22"/>
  <c r="G59" i="22"/>
  <c r="G51" i="22"/>
  <c r="G43" i="22"/>
  <c r="P39" i="22"/>
  <c r="Q66" i="20"/>
  <c r="G66" i="22"/>
  <c r="G58" i="22"/>
  <c r="G50" i="22"/>
  <c r="G42" i="22"/>
  <c r="P45" i="22"/>
  <c r="Q72" i="20"/>
  <c r="R72" i="20"/>
  <c r="G65" i="22"/>
  <c r="G57" i="22"/>
  <c r="G49" i="22"/>
  <c r="G64" i="22"/>
  <c r="G56" i="22"/>
  <c r="M41" i="20"/>
  <c r="M49" i="20"/>
  <c r="M47" i="20"/>
  <c r="G48" i="22"/>
  <c r="P68" i="22"/>
  <c r="Q95" i="20"/>
  <c r="R95" i="20"/>
  <c r="P63" i="22"/>
  <c r="Q90" i="20"/>
  <c r="R90" i="20"/>
  <c r="P40" i="22"/>
  <c r="Q67" i="20"/>
  <c r="R67" i="20"/>
  <c r="P64" i="22"/>
  <c r="Q91" i="20"/>
  <c r="R91" i="20"/>
  <c r="P41" i="22"/>
  <c r="Q68" i="20"/>
  <c r="R68" i="20"/>
  <c r="P56" i="22"/>
  <c r="Q83" i="20"/>
  <c r="R83" i="20"/>
  <c r="P52" i="22"/>
  <c r="Q79" i="20"/>
  <c r="R79" i="20"/>
  <c r="G41" i="22"/>
  <c r="P47" i="22"/>
  <c r="Q74" i="20"/>
  <c r="R74" i="20"/>
  <c r="P42" i="22"/>
  <c r="Q69" i="20"/>
  <c r="R69" i="20"/>
  <c r="I48" i="22"/>
  <c r="G54" i="22"/>
  <c r="P67" i="22"/>
  <c r="Q94" i="20"/>
  <c r="R94" i="20"/>
  <c r="H44" i="22"/>
  <c r="P48" i="22"/>
  <c r="Q75" i="20"/>
  <c r="R75" i="20"/>
  <c r="G46" i="22"/>
  <c r="I46" i="22"/>
  <c r="P54" i="22"/>
  <c r="Q81" i="20"/>
  <c r="R81" i="20"/>
  <c r="P49" i="22"/>
  <c r="Q76" i="20"/>
  <c r="R76" i="20"/>
  <c r="D63" i="22"/>
  <c r="P51" i="22"/>
  <c r="Q78" i="20"/>
  <c r="R78" i="20"/>
  <c r="P43" i="22"/>
  <c r="Q70" i="20"/>
  <c r="R70" i="20"/>
  <c r="P57" i="22"/>
  <c r="Q84" i="20"/>
  <c r="R84" i="20"/>
  <c r="H50" i="22"/>
  <c r="I41" i="22"/>
  <c r="I42" i="22"/>
  <c r="I47" i="22"/>
  <c r="P60" i="22"/>
  <c r="Q87" i="20"/>
  <c r="R87" i="20"/>
  <c r="I40" i="22"/>
  <c r="P46" i="22"/>
  <c r="Q73" i="20"/>
  <c r="R73" i="20"/>
  <c r="P58" i="22"/>
  <c r="Q85" i="20"/>
  <c r="R85" i="20"/>
  <c r="H49" i="22"/>
  <c r="P66" i="22"/>
  <c r="Q93" i="20"/>
  <c r="R93" i="20"/>
  <c r="P53" i="22"/>
  <c r="Q80" i="20"/>
  <c r="R80" i="20"/>
  <c r="P55" i="22"/>
  <c r="Q82" i="20"/>
  <c r="R82" i="20"/>
  <c r="I44" i="22"/>
  <c r="G39" i="22"/>
  <c r="P65" i="22"/>
  <c r="Q92" i="20"/>
  <c r="R92" i="20"/>
  <c r="D50" i="22"/>
  <c r="P50" i="22"/>
  <c r="Q77" i="20"/>
  <c r="R77" i="20"/>
  <c r="P59" i="22"/>
  <c r="Q86" i="20"/>
  <c r="R86" i="20"/>
  <c r="I50" i="22"/>
  <c r="D41" i="22"/>
  <c r="G62" i="22"/>
  <c r="P61" i="22"/>
  <c r="Q88" i="20"/>
  <c r="R88" i="20"/>
  <c r="I54" i="22"/>
  <c r="P62" i="22"/>
  <c r="Q89" i="20"/>
  <c r="R89" i="20"/>
  <c r="I49" i="22"/>
  <c r="I52" i="22"/>
  <c r="G53" i="22"/>
  <c r="I53" i="22"/>
  <c r="H39" i="22"/>
  <c r="Y56" i="22"/>
  <c r="I55" i="22"/>
  <c r="R66" i="20"/>
  <c r="I43" i="22"/>
  <c r="D61" i="22"/>
  <c r="I51" i="22"/>
  <c r="R29" i="20"/>
  <c r="Q36" i="20"/>
  <c r="Y57" i="22"/>
  <c r="I56" i="22"/>
  <c r="G25" i="25"/>
  <c r="Y58" i="22"/>
  <c r="I57" i="22"/>
  <c r="Y59" i="22"/>
  <c r="I58" i="22"/>
  <c r="Y60" i="22"/>
  <c r="I59" i="22"/>
  <c r="Y61" i="22"/>
  <c r="I60" i="22"/>
  <c r="Y62" i="22"/>
  <c r="I61" i="22"/>
  <c r="Y63" i="22"/>
  <c r="I62" i="22"/>
  <c r="Y64" i="22"/>
  <c r="I63" i="22"/>
  <c r="Y65" i="22"/>
  <c r="I64" i="22"/>
  <c r="Y66" i="22"/>
  <c r="I65" i="22"/>
  <c r="Y67" i="22"/>
  <c r="I66" i="22"/>
  <c r="Y68" i="22"/>
  <c r="I68" i="22"/>
  <c r="I67" i="22"/>
  <c r="L61" i="20"/>
  <c r="L64" i="20"/>
  <c r="M64" i="20"/>
  <c r="D36" i="19"/>
  <c r="E63" i="20"/>
  <c r="D32" i="19"/>
  <c r="E59" i="20"/>
  <c r="F59" i="20"/>
  <c r="D27" i="19"/>
  <c r="E54" i="20"/>
  <c r="D24" i="19"/>
  <c r="E51" i="20"/>
  <c r="D20" i="19"/>
  <c r="E47" i="20"/>
  <c r="D16" i="19"/>
  <c r="E43" i="20"/>
  <c r="D13" i="19"/>
  <c r="D26" i="19"/>
  <c r="E53" i="20"/>
  <c r="D38" i="19"/>
  <c r="E65" i="20"/>
  <c r="D33" i="19"/>
  <c r="D23" i="19"/>
  <c r="E50" i="20"/>
  <c r="D34" i="19"/>
  <c r="E61" i="20"/>
  <c r="D22" i="19"/>
  <c r="E49" i="20"/>
  <c r="D14" i="19"/>
  <c r="E41" i="20"/>
  <c r="G41" i="20"/>
  <c r="D19" i="19"/>
  <c r="E46" i="20"/>
  <c r="D31" i="19"/>
  <c r="E58" i="20"/>
  <c r="D25" i="19"/>
  <c r="E40" i="20"/>
  <c r="G59" i="20"/>
  <c r="F61" i="20"/>
  <c r="G61" i="20"/>
  <c r="F41" i="20"/>
  <c r="D50" i="19"/>
  <c r="D51" i="19"/>
  <c r="D61" i="19"/>
  <c r="D55" i="19"/>
  <c r="D52" i="19"/>
  <c r="E79" i="20"/>
  <c r="D44" i="19"/>
  <c r="D63" i="19"/>
  <c r="E90" i="20"/>
  <c r="D62" i="19"/>
  <c r="D67" i="19"/>
  <c r="D59" i="19"/>
  <c r="D66" i="19"/>
  <c r="D40" i="19"/>
  <c r="D43" i="19"/>
  <c r="E70" i="20"/>
  <c r="D41" i="19"/>
  <c r="E68" i="20"/>
  <c r="E77" i="20"/>
  <c r="D46" i="19"/>
  <c r="E73" i="20"/>
  <c r="D42" i="19"/>
  <c r="D49" i="19"/>
  <c r="D54" i="19"/>
  <c r="AP18" i="19"/>
  <c r="D37" i="23"/>
  <c r="H37" i="23"/>
  <c r="F48" i="22"/>
  <c r="F47" i="22"/>
  <c r="F51" i="22"/>
  <c r="F49" i="22"/>
  <c r="F46" i="22"/>
  <c r="F39" i="22"/>
  <c r="F43" i="22"/>
  <c r="F41" i="22"/>
  <c r="F64" i="22"/>
  <c r="F68" i="22"/>
  <c r="F66" i="22"/>
  <c r="F61" i="22"/>
  <c r="J53" i="22"/>
  <c r="T80" i="20"/>
  <c r="U80" i="20"/>
  <c r="F45" i="22"/>
  <c r="F60" i="22"/>
  <c r="F58" i="22"/>
  <c r="F40" i="22"/>
  <c r="F44" i="22"/>
  <c r="J44" i="22"/>
  <c r="T71" i="20"/>
  <c r="U71" i="20"/>
  <c r="F42" i="22"/>
  <c r="F56" i="22"/>
  <c r="F63" i="22"/>
  <c r="F67" i="22"/>
  <c r="F65" i="22"/>
  <c r="O29" i="20"/>
  <c r="K20" i="20"/>
  <c r="F53" i="20"/>
  <c r="G53" i="20"/>
  <c r="E37" i="23"/>
  <c r="G37" i="23"/>
  <c r="F37" i="23"/>
  <c r="G43" i="20"/>
  <c r="F43" i="20"/>
  <c r="E76" i="20"/>
  <c r="H77" i="20"/>
  <c r="F77" i="20"/>
  <c r="G77" i="20"/>
  <c r="E93" i="20"/>
  <c r="E86" i="20"/>
  <c r="G79" i="20"/>
  <c r="H79" i="20"/>
  <c r="F79" i="20"/>
  <c r="F63" i="20"/>
  <c r="G63" i="20"/>
  <c r="D57" i="19"/>
  <c r="E78" i="20"/>
  <c r="E82" i="20"/>
  <c r="E69" i="20"/>
  <c r="D45" i="19"/>
  <c r="D56" i="19"/>
  <c r="G58" i="20"/>
  <c r="F58" i="20"/>
  <c r="F50" i="20"/>
  <c r="G50" i="20"/>
  <c r="G54" i="20"/>
  <c r="F54" i="20"/>
  <c r="D39" i="19"/>
  <c r="E89" i="20"/>
  <c r="F65" i="20"/>
  <c r="G65" i="20"/>
  <c r="E81" i="20"/>
  <c r="F70" i="20"/>
  <c r="G70" i="20"/>
  <c r="H70" i="20"/>
  <c r="E67" i="20"/>
  <c r="G90" i="20"/>
  <c r="F90" i="20"/>
  <c r="H90" i="20"/>
  <c r="E88" i="20"/>
  <c r="F68" i="20"/>
  <c r="G68" i="20"/>
  <c r="H68" i="20"/>
  <c r="D58" i="19"/>
  <c r="E71" i="20"/>
  <c r="D18" i="19"/>
  <c r="E45" i="20"/>
  <c r="F51" i="20"/>
  <c r="G51" i="20"/>
  <c r="D68" i="19"/>
  <c r="E95" i="20"/>
  <c r="E94" i="20"/>
  <c r="G46" i="20"/>
  <c r="F46" i="20"/>
  <c r="F49" i="20"/>
  <c r="G49" i="20"/>
  <c r="F47" i="20"/>
  <c r="G47" i="20"/>
  <c r="E60" i="20"/>
  <c r="D60" i="19"/>
  <c r="D53" i="19"/>
  <c r="E80" i="20"/>
  <c r="D30" i="19"/>
  <c r="G40" i="20"/>
  <c r="F40" i="20"/>
  <c r="D28" i="19"/>
  <c r="E55" i="20"/>
  <c r="D37" i="19"/>
  <c r="D64" i="19"/>
  <c r="F73" i="20"/>
  <c r="H73" i="20"/>
  <c r="E84" i="20"/>
  <c r="D15" i="19"/>
  <c r="E42" i="20"/>
  <c r="D29" i="19"/>
  <c r="D48" i="19"/>
  <c r="D65" i="19"/>
  <c r="E92" i="20"/>
  <c r="D47" i="19"/>
  <c r="E74" i="20"/>
  <c r="D12" i="19"/>
  <c r="D21" i="19"/>
  <c r="E57" i="20"/>
  <c r="E91" i="20"/>
  <c r="E52" i="20"/>
  <c r="D17" i="19"/>
  <c r="D35" i="19"/>
  <c r="G73" i="20"/>
  <c r="M42" i="20"/>
  <c r="M85" i="20"/>
  <c r="M43" i="20"/>
  <c r="M77" i="20"/>
  <c r="M61" i="20"/>
  <c r="X56" i="22"/>
  <c r="H55" i="22"/>
  <c r="J55" i="22"/>
  <c r="T82" i="20"/>
  <c r="U82" i="20"/>
  <c r="H54" i="22"/>
  <c r="J54" i="22"/>
  <c r="T81" i="20"/>
  <c r="U81" i="20"/>
  <c r="E45" i="22"/>
  <c r="E41" i="22"/>
  <c r="H41" i="22"/>
  <c r="J41" i="22"/>
  <c r="T68" i="20"/>
  <c r="U68" i="20"/>
  <c r="E39" i="22"/>
  <c r="J39" i="22"/>
  <c r="T66" i="20"/>
  <c r="E68" i="22"/>
  <c r="H46" i="22"/>
  <c r="E66" i="22"/>
  <c r="E64" i="22"/>
  <c r="E67" i="22"/>
  <c r="H47" i="22"/>
  <c r="H45" i="22"/>
  <c r="E51" i="22"/>
  <c r="J51" i="22"/>
  <c r="T78" i="20"/>
  <c r="U78" i="20"/>
  <c r="E58" i="22"/>
  <c r="E56" i="22"/>
  <c r="E62" i="22"/>
  <c r="E50" i="22"/>
  <c r="J50" i="22"/>
  <c r="T77" i="20"/>
  <c r="U77" i="20"/>
  <c r="E48" i="22"/>
  <c r="J48" i="22"/>
  <c r="T75" i="20"/>
  <c r="U75" i="20"/>
  <c r="E59" i="22"/>
  <c r="E60" i="22"/>
  <c r="E47" i="22"/>
  <c r="J47" i="22"/>
  <c r="T74" i="20"/>
  <c r="U74" i="20"/>
  <c r="E52" i="22"/>
  <c r="J52" i="22"/>
  <c r="T79" i="20"/>
  <c r="U79" i="20"/>
  <c r="E42" i="22"/>
  <c r="H42" i="22"/>
  <c r="J42" i="22"/>
  <c r="T69" i="20"/>
  <c r="U69" i="20"/>
  <c r="E40" i="22"/>
  <c r="E43" i="22"/>
  <c r="E46" i="22"/>
  <c r="J46" i="22"/>
  <c r="T73" i="20"/>
  <c r="U73" i="20"/>
  <c r="H40" i="22"/>
  <c r="E49" i="22"/>
  <c r="E61" i="22"/>
  <c r="E65" i="22"/>
  <c r="E63" i="22"/>
  <c r="J40" i="22"/>
  <c r="T67" i="20"/>
  <c r="U67" i="20"/>
  <c r="J43" i="22"/>
  <c r="T70" i="20"/>
  <c r="U70" i="20"/>
  <c r="J49" i="22"/>
  <c r="T76" i="20"/>
  <c r="U76" i="20"/>
  <c r="F52" i="20"/>
  <c r="G52" i="20"/>
  <c r="G92" i="20"/>
  <c r="H92" i="20"/>
  <c r="F92" i="20"/>
  <c r="H80" i="20"/>
  <c r="G80" i="20"/>
  <c r="F80" i="20"/>
  <c r="G45" i="20"/>
  <c r="F45" i="20"/>
  <c r="H81" i="20"/>
  <c r="G81" i="20"/>
  <c r="F81" i="20"/>
  <c r="F93" i="20"/>
  <c r="G93" i="20"/>
  <c r="H93" i="20"/>
  <c r="E66" i="20"/>
  <c r="G91" i="20"/>
  <c r="F91" i="20"/>
  <c r="H91" i="20"/>
  <c r="E75" i="20"/>
  <c r="E87" i="20"/>
  <c r="G69" i="20"/>
  <c r="H69" i="20"/>
  <c r="F69" i="20"/>
  <c r="E62" i="20"/>
  <c r="H88" i="20"/>
  <c r="G88" i="20"/>
  <c r="F88" i="20"/>
  <c r="E44" i="20"/>
  <c r="G57" i="20"/>
  <c r="F57" i="20"/>
  <c r="E56" i="20"/>
  <c r="G60" i="20"/>
  <c r="F60" i="20"/>
  <c r="H74" i="20"/>
  <c r="F74" i="20"/>
  <c r="G74" i="20"/>
  <c r="E48" i="20"/>
  <c r="F42" i="20"/>
  <c r="G42" i="20"/>
  <c r="E64" i="20"/>
  <c r="H94" i="20"/>
  <c r="F94" i="20"/>
  <c r="G94" i="20"/>
  <c r="G67" i="20"/>
  <c r="H67" i="20"/>
  <c r="F67" i="20"/>
  <c r="G82" i="20"/>
  <c r="F82" i="20"/>
  <c r="H82" i="20"/>
  <c r="E83" i="20"/>
  <c r="E39" i="20"/>
  <c r="AP14" i="19"/>
  <c r="AP19" i="19"/>
  <c r="F55" i="20"/>
  <c r="G55" i="20"/>
  <c r="F71" i="20"/>
  <c r="G71" i="20"/>
  <c r="H71" i="20"/>
  <c r="G76" i="20"/>
  <c r="H76" i="20"/>
  <c r="F76" i="20"/>
  <c r="G89" i="20"/>
  <c r="H89" i="20"/>
  <c r="F89" i="20"/>
  <c r="E72" i="20"/>
  <c r="F84" i="20"/>
  <c r="G84" i="20"/>
  <c r="H84" i="20"/>
  <c r="F95" i="20"/>
  <c r="H95" i="20"/>
  <c r="G95" i="20"/>
  <c r="E85" i="20"/>
  <c r="G78" i="20"/>
  <c r="F78" i="20"/>
  <c r="H78" i="20"/>
  <c r="H86" i="20"/>
  <c r="F86" i="20"/>
  <c r="G86" i="20"/>
  <c r="U66" i="20"/>
  <c r="H56" i="22"/>
  <c r="J56" i="22"/>
  <c r="T83" i="20"/>
  <c r="U83" i="20"/>
  <c r="X57" i="22"/>
  <c r="J45" i="22"/>
  <c r="T72" i="20"/>
  <c r="U72" i="20"/>
  <c r="G72" i="20"/>
  <c r="H72" i="20"/>
  <c r="F72" i="20"/>
  <c r="F39" i="20"/>
  <c r="G39" i="20"/>
  <c r="E29" i="20"/>
  <c r="G64" i="20"/>
  <c r="F64" i="20"/>
  <c r="AP21" i="19"/>
  <c r="AP20" i="19"/>
  <c r="F75" i="20"/>
  <c r="H75" i="20"/>
  <c r="G75" i="20"/>
  <c r="F62" i="20"/>
  <c r="G62" i="20"/>
  <c r="G44" i="20"/>
  <c r="F44" i="20"/>
  <c r="G66" i="20"/>
  <c r="H66" i="20"/>
  <c r="F66" i="20"/>
  <c r="G48" i="20"/>
  <c r="F48" i="20"/>
  <c r="F87" i="20"/>
  <c r="G87" i="20"/>
  <c r="H87" i="20"/>
  <c r="F85" i="20"/>
  <c r="G85" i="20"/>
  <c r="H85" i="20"/>
  <c r="G56" i="20"/>
  <c r="F56" i="20"/>
  <c r="F83" i="20"/>
  <c r="H83" i="20"/>
  <c r="G83" i="20"/>
  <c r="X58" i="22"/>
  <c r="H57" i="22"/>
  <c r="J57" i="22"/>
  <c r="T84" i="20"/>
  <c r="U84" i="20"/>
  <c r="H29" i="20"/>
  <c r="L21" i="20"/>
  <c r="G29" i="20"/>
  <c r="J299" i="17"/>
  <c r="J300" i="17"/>
  <c r="F29" i="20"/>
  <c r="H21" i="20"/>
  <c r="J22" i="14"/>
  <c r="J22" i="16"/>
  <c r="H58" i="22"/>
  <c r="J58" i="22"/>
  <c r="T85" i="20"/>
  <c r="X59" i="22"/>
  <c r="I16" i="14"/>
  <c r="P22" i="14"/>
  <c r="J23" i="14"/>
  <c r="J21" i="20"/>
  <c r="K21" i="20"/>
  <c r="G22" i="25"/>
  <c r="J23" i="16"/>
  <c r="P22" i="16"/>
  <c r="G24" i="25"/>
  <c r="H59" i="22"/>
  <c r="J59" i="22"/>
  <c r="T86" i="20"/>
  <c r="U86" i="20"/>
  <c r="X60" i="22"/>
  <c r="U85" i="20"/>
  <c r="K22" i="20"/>
  <c r="J24" i="16"/>
  <c r="P23" i="16"/>
  <c r="G23" i="25"/>
  <c r="J24" i="14"/>
  <c r="P23" i="14"/>
  <c r="X61" i="22"/>
  <c r="H60" i="22"/>
  <c r="J60" i="22"/>
  <c r="T87" i="20"/>
  <c r="P24" i="16"/>
  <c r="J25" i="16"/>
  <c r="J25" i="14"/>
  <c r="P24" i="14"/>
  <c r="X62" i="22"/>
  <c r="H61" i="22"/>
  <c r="J61" i="22"/>
  <c r="T88" i="20"/>
  <c r="U88" i="20"/>
  <c r="U87" i="20"/>
  <c r="P25" i="16"/>
  <c r="J26" i="16"/>
  <c r="J26" i="14"/>
  <c r="P25" i="14"/>
  <c r="X63" i="22"/>
  <c r="H62" i="22"/>
  <c r="J62" i="22"/>
  <c r="T89" i="20"/>
  <c r="P26" i="14"/>
  <c r="J27" i="14"/>
  <c r="J27" i="16"/>
  <c r="P26" i="16"/>
  <c r="U89" i="20"/>
  <c r="X64" i="22"/>
  <c r="H63" i="22"/>
  <c r="J63" i="22"/>
  <c r="T90" i="20"/>
  <c r="U90" i="20"/>
  <c r="J28" i="14"/>
  <c r="P27" i="14"/>
  <c r="P27" i="16"/>
  <c r="J28" i="16"/>
  <c r="X65" i="22"/>
  <c r="H64" i="22"/>
  <c r="J64" i="22"/>
  <c r="T91" i="20"/>
  <c r="U91" i="20"/>
  <c r="J29" i="16"/>
  <c r="P28" i="16"/>
  <c r="J29" i="14"/>
  <c r="P28" i="14"/>
  <c r="X66" i="22"/>
  <c r="H65" i="22"/>
  <c r="J65" i="22"/>
  <c r="T92" i="20"/>
  <c r="U92" i="20"/>
  <c r="P29" i="14"/>
  <c r="J30" i="14"/>
  <c r="P29" i="16"/>
  <c r="J30" i="16"/>
  <c r="X67" i="22"/>
  <c r="H66" i="22"/>
  <c r="J66" i="22"/>
  <c r="T93" i="20"/>
  <c r="U93" i="20"/>
  <c r="P30" i="14"/>
  <c r="J31" i="14"/>
  <c r="J31" i="16"/>
  <c r="P30" i="16"/>
  <c r="H67" i="22"/>
  <c r="J67" i="22"/>
  <c r="T94" i="20"/>
  <c r="U94" i="20"/>
  <c r="X68" i="22"/>
  <c r="H68" i="22"/>
  <c r="J68" i="22"/>
  <c r="T95" i="20"/>
  <c r="J32" i="14"/>
  <c r="P31" i="14"/>
  <c r="P31" i="16"/>
  <c r="J32" i="16"/>
  <c r="U95" i="20"/>
  <c r="U29" i="20"/>
  <c r="T36" i="20"/>
  <c r="P32" i="16"/>
  <c r="J33" i="16"/>
  <c r="P32" i="14"/>
  <c r="J33" i="14"/>
  <c r="L20" i="20"/>
  <c r="L22" i="20"/>
  <c r="G26" i="25"/>
  <c r="J34" i="14"/>
  <c r="P33" i="14"/>
  <c r="P33" i="16"/>
  <c r="J34" i="16"/>
  <c r="J35" i="16"/>
  <c r="P34" i="16"/>
  <c r="P34" i="14"/>
  <c r="J35" i="14"/>
  <c r="J36" i="14"/>
  <c r="P36" i="14"/>
  <c r="J37" i="14"/>
  <c r="P35" i="14"/>
  <c r="J36" i="16"/>
  <c r="P35" i="16"/>
  <c r="J38" i="14"/>
  <c r="P37" i="14"/>
  <c r="P36" i="16"/>
  <c r="J37" i="16"/>
  <c r="P37" i="16"/>
  <c r="J38" i="16"/>
  <c r="J39" i="14"/>
  <c r="P38" i="14"/>
  <c r="P39" i="14"/>
  <c r="J40" i="14"/>
  <c r="P38" i="16"/>
  <c r="J39" i="16"/>
  <c r="P39" i="16"/>
  <c r="J40" i="16"/>
  <c r="P40" i="14"/>
  <c r="J41" i="14"/>
  <c r="P41" i="14"/>
  <c r="J42" i="14"/>
  <c r="P40" i="16"/>
  <c r="J41" i="16"/>
  <c r="J42" i="16"/>
  <c r="P41" i="16"/>
  <c r="J43" i="14"/>
  <c r="P42" i="14"/>
  <c r="P43" i="14"/>
  <c r="J44" i="14"/>
  <c r="J43" i="16"/>
  <c r="P42" i="16"/>
  <c r="J44" i="16"/>
  <c r="P43" i="16"/>
  <c r="P44" i="14"/>
  <c r="J45" i="14"/>
  <c r="P45" i="14"/>
  <c r="J46" i="14"/>
  <c r="P44" i="16"/>
  <c r="J45" i="16"/>
  <c r="P45" i="16"/>
  <c r="J46" i="16"/>
  <c r="P46" i="14"/>
  <c r="J47" i="14"/>
  <c r="P46" i="16"/>
  <c r="J47" i="16"/>
  <c r="P47" i="14"/>
  <c r="J48" i="14"/>
  <c r="P48" i="14"/>
  <c r="J49" i="14"/>
  <c r="J50" i="14"/>
  <c r="P47" i="16"/>
  <c r="J48" i="16"/>
  <c r="J49" i="16"/>
  <c r="P48" i="16"/>
  <c r="P50" i="14"/>
  <c r="J51" i="14"/>
  <c r="P51" i="14"/>
  <c r="J52" i="14"/>
  <c r="J50" i="16"/>
  <c r="P49" i="16"/>
  <c r="P50" i="16"/>
  <c r="J51" i="16"/>
  <c r="P52" i="14"/>
  <c r="J53" i="14"/>
  <c r="P51" i="16"/>
  <c r="J52" i="16"/>
  <c r="J54" i="14"/>
  <c r="P53" i="14"/>
  <c r="P52" i="16"/>
  <c r="J53" i="16"/>
  <c r="J55" i="14"/>
  <c r="P54" i="14"/>
  <c r="P53" i="16"/>
  <c r="J54" i="16"/>
  <c r="J56" i="14"/>
  <c r="P55" i="14"/>
  <c r="P54" i="16"/>
  <c r="J55" i="16"/>
  <c r="P56" i="14"/>
  <c r="J57" i="14"/>
  <c r="J56" i="16"/>
  <c r="P55" i="16"/>
  <c r="P57" i="14"/>
  <c r="J58" i="14"/>
  <c r="P58" i="14"/>
  <c r="J59" i="14"/>
  <c r="J57" i="16"/>
  <c r="P56" i="16"/>
  <c r="J60" i="14"/>
  <c r="P59" i="14"/>
  <c r="J58" i="16"/>
  <c r="P57" i="16"/>
  <c r="J59" i="16"/>
  <c r="P58" i="16"/>
  <c r="J61" i="14"/>
  <c r="P60" i="14"/>
  <c r="J62" i="14"/>
  <c r="P61" i="14"/>
  <c r="P59" i="16"/>
  <c r="J60" i="16"/>
  <c r="J61" i="16"/>
  <c r="P60" i="16"/>
  <c r="P62" i="14"/>
  <c r="J63" i="14"/>
  <c r="P63" i="14"/>
  <c r="J64" i="14"/>
  <c r="P61" i="16"/>
  <c r="J62" i="16"/>
  <c r="P62" i="16"/>
  <c r="J63" i="16"/>
  <c r="J65" i="14"/>
  <c r="P64" i="14"/>
  <c r="P63" i="16"/>
  <c r="J64" i="16"/>
  <c r="P65" i="14"/>
  <c r="J66" i="14"/>
  <c r="P66" i="14"/>
  <c r="J67" i="14"/>
  <c r="P64" i="16"/>
  <c r="J65" i="16"/>
  <c r="P65" i="16"/>
  <c r="J66" i="16"/>
  <c r="J68" i="14"/>
  <c r="P67" i="14"/>
  <c r="J69" i="14"/>
  <c r="P68" i="14"/>
  <c r="P66" i="16"/>
  <c r="J67" i="16"/>
  <c r="P67" i="16"/>
  <c r="J68" i="16"/>
  <c r="J70" i="14"/>
  <c r="P69" i="14"/>
  <c r="P70" i="14"/>
  <c r="J71" i="14"/>
  <c r="P68" i="16"/>
  <c r="J69" i="16"/>
  <c r="J70" i="16"/>
  <c r="P69" i="16"/>
  <c r="J72" i="14"/>
  <c r="J73" i="14"/>
  <c r="P71" i="14"/>
  <c r="J74" i="14"/>
  <c r="P73" i="14"/>
  <c r="J71" i="16"/>
  <c r="P70" i="16"/>
  <c r="J72" i="16"/>
  <c r="P71" i="16"/>
  <c r="P74" i="14"/>
  <c r="J75" i="14"/>
  <c r="J76" i="14"/>
  <c r="P75" i="14"/>
  <c r="P72" i="16"/>
  <c r="J73" i="16"/>
  <c r="J74" i="16"/>
  <c r="P73" i="16"/>
  <c r="P76" i="14"/>
  <c r="J77" i="14"/>
  <c r="J78" i="14"/>
  <c r="P77" i="14"/>
  <c r="J75" i="16"/>
  <c r="P74" i="16"/>
  <c r="J76" i="16"/>
  <c r="P75" i="16"/>
  <c r="J79" i="14"/>
  <c r="P78" i="14"/>
  <c r="J80" i="14"/>
  <c r="P79" i="14"/>
  <c r="P76" i="16"/>
  <c r="J77" i="16"/>
  <c r="J78" i="16"/>
  <c r="P77" i="16"/>
  <c r="J82" i="14"/>
  <c r="P80" i="14"/>
  <c r="J84" i="14"/>
  <c r="J83" i="14"/>
  <c r="P83" i="14"/>
  <c r="P82" i="14"/>
  <c r="J79" i="16"/>
  <c r="P78" i="16"/>
  <c r="J80" i="16"/>
  <c r="P79" i="16"/>
  <c r="J85" i="14"/>
  <c r="P84" i="14"/>
  <c r="J86" i="14"/>
  <c r="P85" i="14"/>
  <c r="P80" i="16"/>
  <c r="J81" i="16"/>
  <c r="J82" i="16"/>
  <c r="P81" i="16"/>
  <c r="J87" i="14"/>
  <c r="P86" i="14"/>
  <c r="J88" i="14"/>
  <c r="P88" i="14"/>
  <c r="P87" i="14"/>
  <c r="J83" i="16"/>
  <c r="P82" i="16"/>
  <c r="P83" i="16"/>
  <c r="J84" i="16"/>
  <c r="I15" i="14"/>
  <c r="P736" i="14"/>
  <c r="J39" i="20"/>
  <c r="I17" i="14"/>
  <c r="I18" i="14"/>
  <c r="K39" i="20"/>
  <c r="K29" i="20"/>
  <c r="H20" i="20"/>
  <c r="J85" i="16"/>
  <c r="P84" i="16"/>
  <c r="J86" i="16"/>
  <c r="P85" i="16"/>
  <c r="G20" i="25"/>
  <c r="H22" i="20"/>
  <c r="J87" i="16"/>
  <c r="P86" i="16"/>
  <c r="P87" i="16"/>
  <c r="J88" i="16"/>
  <c r="J89" i="16"/>
  <c r="P88" i="16"/>
  <c r="P89" i="16"/>
  <c r="J90" i="16"/>
  <c r="J91" i="16"/>
  <c r="P90" i="16"/>
  <c r="J92" i="16"/>
  <c r="P91" i="16"/>
  <c r="J93" i="16"/>
  <c r="P92" i="16"/>
  <c r="J94" i="16"/>
  <c r="P93" i="16"/>
  <c r="J95" i="16"/>
  <c r="P94" i="16"/>
  <c r="P95" i="16"/>
  <c r="J96" i="16"/>
  <c r="P96" i="16"/>
  <c r="J97" i="16"/>
  <c r="P97" i="16"/>
  <c r="J98" i="16"/>
  <c r="J99" i="16"/>
  <c r="P98" i="16"/>
  <c r="J100" i="16"/>
  <c r="P99" i="16"/>
  <c r="J101" i="16"/>
  <c r="P100" i="16"/>
  <c r="J102" i="16"/>
  <c r="P101" i="16"/>
  <c r="P102" i="16"/>
  <c r="J103" i="16"/>
  <c r="P103" i="16"/>
  <c r="J104" i="16"/>
  <c r="J105" i="16"/>
  <c r="P104" i="16"/>
  <c r="J106" i="16"/>
  <c r="P105" i="16"/>
  <c r="P106" i="16"/>
  <c r="J107" i="16"/>
  <c r="J108" i="16"/>
  <c r="P107" i="16"/>
  <c r="J109" i="16"/>
  <c r="P108" i="16"/>
  <c r="J110" i="16"/>
  <c r="P109" i="16"/>
  <c r="J111" i="16"/>
  <c r="P110" i="16"/>
  <c r="P111" i="16"/>
  <c r="J112" i="16"/>
  <c r="P112" i="16"/>
  <c r="J113" i="16"/>
  <c r="P113" i="16"/>
  <c r="J114" i="16"/>
  <c r="J115" i="16"/>
  <c r="P114" i="16"/>
  <c r="J116" i="16"/>
  <c r="P115" i="16"/>
  <c r="J117" i="16"/>
  <c r="P116" i="16"/>
  <c r="P117" i="16"/>
  <c r="J118" i="16"/>
  <c r="J119" i="16"/>
  <c r="P118" i="16"/>
  <c r="P119" i="16"/>
  <c r="J120" i="16"/>
  <c r="P120" i="16"/>
  <c r="J121" i="16"/>
  <c r="J122" i="16"/>
  <c r="P121" i="16"/>
  <c r="J123" i="16"/>
  <c r="P122" i="16"/>
  <c r="J124" i="16"/>
  <c r="P123" i="16"/>
  <c r="P124" i="16"/>
  <c r="J125" i="16"/>
  <c r="J126" i="16"/>
  <c r="P125" i="16"/>
  <c r="P126" i="16"/>
  <c r="J127" i="16"/>
  <c r="J128" i="16"/>
  <c r="P127" i="16"/>
  <c r="P128" i="16"/>
  <c r="J129" i="16"/>
  <c r="J130" i="16"/>
  <c r="P129" i="16"/>
  <c r="P130" i="16"/>
  <c r="J131" i="16"/>
  <c r="J132" i="16"/>
  <c r="P131" i="16"/>
  <c r="P132" i="16"/>
  <c r="J133" i="16"/>
  <c r="J134" i="16"/>
  <c r="P133" i="16"/>
  <c r="J135" i="16"/>
  <c r="P134" i="16"/>
  <c r="P135" i="16"/>
  <c r="J136" i="16"/>
  <c r="P136" i="16"/>
  <c r="J137" i="16"/>
  <c r="J138" i="16"/>
  <c r="P137" i="16"/>
  <c r="P138" i="16"/>
  <c r="J139" i="16"/>
  <c r="J140" i="16"/>
  <c r="P139" i="16"/>
  <c r="J141" i="16"/>
  <c r="P140" i="16"/>
  <c r="J142" i="16"/>
  <c r="P141" i="16"/>
  <c r="P142" i="16"/>
  <c r="J143" i="16"/>
  <c r="J144" i="16"/>
  <c r="P143" i="16"/>
  <c r="P144" i="16"/>
  <c r="J145" i="16"/>
  <c r="J146" i="16"/>
  <c r="P145" i="16"/>
  <c r="P146" i="16"/>
  <c r="J147" i="16"/>
  <c r="J148" i="16"/>
  <c r="P147" i="16"/>
  <c r="P148" i="16"/>
  <c r="J149" i="16"/>
  <c r="P149" i="16"/>
  <c r="J150" i="16"/>
  <c r="J151" i="16"/>
  <c r="P150" i="16"/>
  <c r="J152" i="16"/>
  <c r="P151" i="16"/>
  <c r="P152" i="16"/>
  <c r="J153" i="16"/>
  <c r="P153" i="16"/>
  <c r="J154" i="16"/>
  <c r="J155" i="16"/>
  <c r="P154" i="16"/>
  <c r="J156" i="16"/>
  <c r="P155" i="16"/>
  <c r="P156" i="16"/>
  <c r="J157" i="16"/>
  <c r="J158" i="16"/>
  <c r="P157" i="16"/>
  <c r="P158" i="16"/>
  <c r="L59" i="20"/>
  <c r="J159" i="16"/>
  <c r="P159" i="16"/>
  <c r="J160" i="16"/>
  <c r="M59" i="20"/>
  <c r="J161" i="16"/>
  <c r="P160" i="16"/>
  <c r="J162" i="16"/>
  <c r="P161" i="16"/>
  <c r="J163" i="16"/>
  <c r="P162" i="16"/>
  <c r="J164" i="16"/>
  <c r="P163" i="16"/>
  <c r="P164" i="16"/>
  <c r="J165" i="16"/>
  <c r="J166" i="16"/>
  <c r="P165" i="16"/>
  <c r="P166" i="16"/>
  <c r="J167" i="16"/>
  <c r="J168" i="16"/>
  <c r="P167" i="16"/>
  <c r="P168" i="16"/>
  <c r="J169" i="16"/>
  <c r="J170" i="16"/>
  <c r="P169" i="16"/>
  <c r="P170" i="16"/>
  <c r="J171" i="16"/>
  <c r="J172" i="16"/>
  <c r="P171" i="16"/>
  <c r="P172" i="16"/>
  <c r="J173" i="16"/>
  <c r="P173" i="16"/>
  <c r="J174" i="16"/>
  <c r="J175" i="16"/>
  <c r="P174" i="16"/>
  <c r="J176" i="16"/>
  <c r="P175" i="16"/>
  <c r="P176" i="16"/>
  <c r="J177" i="16"/>
  <c r="P177" i="16"/>
  <c r="J178" i="16"/>
  <c r="J179" i="16"/>
  <c r="P178" i="16"/>
  <c r="J180" i="16"/>
  <c r="P179" i="16"/>
  <c r="J181" i="16"/>
  <c r="P180" i="16"/>
  <c r="P181" i="16"/>
  <c r="J182" i="16"/>
  <c r="P182" i="16"/>
  <c r="J183" i="16"/>
  <c r="P183" i="16"/>
  <c r="J184" i="16"/>
  <c r="J185" i="16"/>
  <c r="P184" i="16"/>
  <c r="P185" i="16"/>
  <c r="J186" i="16"/>
  <c r="P186" i="16"/>
  <c r="J187" i="16"/>
  <c r="P187" i="16"/>
  <c r="J188" i="16"/>
  <c r="P188" i="16"/>
  <c r="J189" i="16"/>
  <c r="P189" i="16"/>
  <c r="J190" i="16"/>
  <c r="P190" i="16"/>
  <c r="J191" i="16"/>
  <c r="J192" i="16"/>
  <c r="P191" i="16"/>
  <c r="J193" i="16"/>
  <c r="P192" i="16"/>
  <c r="J194" i="16"/>
  <c r="P193" i="16"/>
  <c r="J195" i="16"/>
  <c r="P194" i="16"/>
  <c r="J196" i="16"/>
  <c r="P195" i="16"/>
  <c r="J197" i="16"/>
  <c r="P196" i="16"/>
  <c r="P197" i="16"/>
  <c r="J198" i="16"/>
  <c r="P198" i="16"/>
  <c r="J199" i="16"/>
  <c r="J200" i="16"/>
  <c r="P199" i="16"/>
  <c r="J201" i="16"/>
  <c r="P200" i="16"/>
  <c r="P201" i="16"/>
  <c r="J202" i="16"/>
  <c r="P202" i="16"/>
  <c r="J203" i="16"/>
  <c r="J204" i="16"/>
  <c r="P203" i="16"/>
  <c r="J205" i="16"/>
  <c r="P204" i="16"/>
  <c r="P205" i="16"/>
  <c r="J206" i="16"/>
  <c r="P206" i="16"/>
  <c r="J207" i="16"/>
  <c r="J208" i="16"/>
  <c r="P207" i="16"/>
  <c r="P208" i="16"/>
  <c r="J209" i="16"/>
  <c r="J210" i="16"/>
  <c r="P209" i="16"/>
  <c r="J211" i="16"/>
  <c r="P210" i="16"/>
  <c r="J212" i="16"/>
  <c r="P211" i="16"/>
  <c r="J213" i="16"/>
  <c r="P212" i="16"/>
  <c r="J214" i="16"/>
  <c r="P213" i="16"/>
  <c r="P214" i="16"/>
  <c r="J215" i="16"/>
  <c r="P215" i="16"/>
  <c r="J216" i="16"/>
  <c r="J217" i="16"/>
  <c r="P216" i="16"/>
  <c r="J218" i="16"/>
  <c r="P217" i="16"/>
  <c r="P218" i="16"/>
  <c r="J219" i="16"/>
  <c r="J220" i="16"/>
  <c r="P219" i="16"/>
  <c r="J221" i="16"/>
  <c r="P220" i="16"/>
  <c r="P221" i="16"/>
  <c r="J222" i="16"/>
  <c r="P222" i="16"/>
  <c r="J223" i="16"/>
  <c r="J224" i="16"/>
  <c r="P223" i="16"/>
  <c r="P224" i="16"/>
  <c r="J225" i="16"/>
  <c r="J226" i="16"/>
  <c r="P225" i="16"/>
  <c r="P226" i="16"/>
  <c r="J227" i="16"/>
  <c r="P227" i="16"/>
  <c r="J228" i="16"/>
  <c r="J229" i="16"/>
  <c r="P228" i="16"/>
  <c r="P229" i="16"/>
  <c r="J230" i="16"/>
  <c r="P230" i="16"/>
  <c r="J231" i="16"/>
  <c r="J232" i="16"/>
  <c r="P231" i="16"/>
  <c r="P232" i="16"/>
  <c r="J233" i="16"/>
  <c r="P233" i="16"/>
  <c r="J234" i="16"/>
  <c r="J235" i="16"/>
  <c r="P234" i="16"/>
  <c r="J236" i="16"/>
  <c r="P235" i="16"/>
  <c r="P236" i="16"/>
  <c r="J237" i="16"/>
  <c r="J238" i="16"/>
  <c r="P237" i="16"/>
  <c r="J239" i="16"/>
  <c r="P238" i="16"/>
  <c r="P239" i="16"/>
  <c r="J240" i="16"/>
  <c r="J241" i="16"/>
  <c r="P240" i="16"/>
  <c r="J242" i="16"/>
  <c r="P241" i="16"/>
  <c r="J243" i="16"/>
  <c r="P242" i="16"/>
  <c r="P243" i="16"/>
  <c r="J244" i="16"/>
  <c r="J245" i="16"/>
  <c r="P244" i="16"/>
  <c r="J246" i="16"/>
  <c r="P245" i="16"/>
  <c r="J247" i="16"/>
  <c r="P246" i="16"/>
  <c r="P247" i="16"/>
  <c r="J248" i="16"/>
  <c r="J249" i="16"/>
  <c r="P248" i="16"/>
  <c r="J250" i="16"/>
  <c r="P249" i="16"/>
  <c r="J251" i="16"/>
  <c r="P250" i="16"/>
  <c r="P251" i="16"/>
  <c r="J252" i="16"/>
  <c r="P252" i="16"/>
  <c r="J253" i="16"/>
  <c r="J254" i="16"/>
  <c r="P253" i="16"/>
  <c r="J255" i="16"/>
  <c r="P254" i="16"/>
  <c r="P255" i="16"/>
  <c r="J256" i="16"/>
  <c r="P256" i="16"/>
  <c r="J257" i="16"/>
  <c r="J258" i="16"/>
  <c r="P257" i="16"/>
  <c r="J259" i="16"/>
  <c r="P258" i="16"/>
  <c r="P259" i="16"/>
  <c r="J260" i="16"/>
  <c r="J261" i="16"/>
  <c r="P260" i="16"/>
  <c r="J262" i="16"/>
  <c r="P261" i="16"/>
  <c r="J263" i="16"/>
  <c r="P262" i="16"/>
  <c r="J264" i="16"/>
  <c r="P263" i="16"/>
  <c r="J265" i="16"/>
  <c r="P264" i="16"/>
  <c r="J266" i="16"/>
  <c r="P265" i="16"/>
  <c r="P266" i="16"/>
  <c r="J267" i="16"/>
  <c r="P267" i="16"/>
  <c r="J268" i="16"/>
  <c r="J269" i="16"/>
  <c r="P268" i="16"/>
  <c r="J270" i="16"/>
  <c r="P269" i="16"/>
  <c r="J271" i="16"/>
  <c r="P270" i="16"/>
  <c r="P271" i="16"/>
  <c r="J272" i="16"/>
  <c r="P272" i="16"/>
  <c r="J273" i="16"/>
  <c r="J274" i="16"/>
  <c r="P273" i="16"/>
  <c r="P274" i="16"/>
  <c r="J275" i="16"/>
  <c r="P275" i="16"/>
  <c r="J276" i="16"/>
  <c r="J277" i="16"/>
  <c r="P276" i="16"/>
  <c r="J278" i="16"/>
  <c r="P277" i="16"/>
  <c r="J279" i="16"/>
  <c r="P278" i="16"/>
  <c r="P279" i="16"/>
  <c r="J280" i="16"/>
  <c r="J281" i="16"/>
  <c r="P280" i="16"/>
  <c r="J282" i="16"/>
  <c r="P281" i="16"/>
  <c r="J283" i="16"/>
  <c r="P282" i="16"/>
  <c r="J284" i="16"/>
  <c r="P283" i="16"/>
  <c r="P284" i="16"/>
  <c r="J285" i="16"/>
  <c r="J286" i="16"/>
  <c r="P285" i="16"/>
  <c r="J287" i="16"/>
  <c r="P286" i="16"/>
  <c r="P287" i="16"/>
  <c r="J288" i="16"/>
  <c r="P288" i="16"/>
  <c r="J289" i="16"/>
  <c r="P289" i="16"/>
  <c r="J290" i="16"/>
  <c r="J291" i="16"/>
  <c r="P290" i="16"/>
  <c r="J292" i="16"/>
  <c r="P291" i="16"/>
  <c r="J293" i="16"/>
  <c r="P292" i="16"/>
  <c r="J294" i="16"/>
  <c r="P293" i="16"/>
  <c r="P294" i="16"/>
  <c r="J295" i="16"/>
  <c r="J296" i="16"/>
  <c r="P295" i="16"/>
  <c r="J297" i="16"/>
  <c r="P296" i="16"/>
  <c r="J298" i="16"/>
  <c r="P297" i="16"/>
  <c r="P298" i="16"/>
  <c r="J299" i="16"/>
  <c r="P299" i="16"/>
  <c r="J300" i="16"/>
  <c r="J301" i="16"/>
  <c r="P300" i="16"/>
  <c r="J302" i="16"/>
  <c r="P301" i="16"/>
  <c r="J303" i="16"/>
  <c r="P302" i="16"/>
  <c r="J304" i="16"/>
  <c r="P303" i="16"/>
  <c r="P304" i="16"/>
  <c r="J305" i="16"/>
  <c r="J306" i="16"/>
  <c r="P305" i="16"/>
  <c r="J307" i="16"/>
  <c r="P306" i="16"/>
  <c r="P307" i="16"/>
  <c r="J308" i="16"/>
  <c r="J309" i="16"/>
  <c r="P308" i="16"/>
  <c r="J310" i="16"/>
  <c r="P309" i="16"/>
  <c r="J311" i="16"/>
  <c r="P310" i="16"/>
  <c r="P311" i="16"/>
  <c r="J312" i="16"/>
  <c r="J313" i="16"/>
  <c r="P312" i="16"/>
  <c r="J314" i="16"/>
  <c r="P313" i="16"/>
  <c r="J315" i="16"/>
  <c r="P314" i="16"/>
  <c r="J316" i="16"/>
  <c r="P315" i="16"/>
  <c r="P316" i="16"/>
  <c r="J317" i="16"/>
  <c r="J318" i="16"/>
  <c r="P317" i="16"/>
  <c r="P318" i="16"/>
  <c r="J319" i="16"/>
  <c r="P319" i="16"/>
  <c r="J320" i="16"/>
  <c r="J321" i="16"/>
  <c r="P320" i="16"/>
  <c r="J322" i="16"/>
  <c r="P321" i="16"/>
  <c r="J323" i="16"/>
  <c r="P322" i="16"/>
  <c r="J324" i="16"/>
  <c r="P323" i="16"/>
  <c r="J325" i="16"/>
  <c r="P324" i="16"/>
  <c r="P325" i="16"/>
  <c r="J326" i="16"/>
  <c r="P326" i="16"/>
  <c r="J327" i="16"/>
  <c r="J328" i="16"/>
  <c r="P327" i="16"/>
  <c r="J329" i="16"/>
  <c r="P328" i="16"/>
  <c r="J330" i="16"/>
  <c r="P329" i="16"/>
  <c r="J331" i="16"/>
  <c r="P330" i="16"/>
  <c r="J332" i="16"/>
  <c r="P331" i="16"/>
  <c r="J333" i="16"/>
  <c r="P332" i="16"/>
  <c r="P333" i="16"/>
  <c r="J334" i="16"/>
  <c r="J335" i="16"/>
  <c r="P334" i="16"/>
  <c r="P335" i="16"/>
  <c r="J336" i="16"/>
  <c r="P336" i="16"/>
  <c r="J337" i="16"/>
  <c r="J338" i="16"/>
  <c r="P337" i="16"/>
  <c r="P338" i="16"/>
  <c r="J339" i="16"/>
  <c r="P339" i="16"/>
  <c r="J340" i="16"/>
  <c r="P340" i="16"/>
  <c r="J341" i="16"/>
  <c r="J342" i="16"/>
  <c r="P341" i="16"/>
  <c r="J343" i="16"/>
  <c r="P342" i="16"/>
  <c r="J344" i="16"/>
  <c r="P343" i="16"/>
  <c r="P344" i="16"/>
  <c r="J345" i="16"/>
  <c r="J346" i="16"/>
  <c r="P345" i="16"/>
  <c r="J347" i="16"/>
  <c r="P346" i="16"/>
  <c r="P347" i="16"/>
  <c r="J348" i="16"/>
  <c r="J349" i="16"/>
  <c r="P348" i="16"/>
  <c r="J350" i="16"/>
  <c r="P349" i="16"/>
  <c r="J351" i="16"/>
  <c r="P350" i="16"/>
  <c r="P351" i="16"/>
  <c r="J352" i="16"/>
  <c r="P352" i="16"/>
  <c r="J353" i="16"/>
  <c r="P353" i="16"/>
  <c r="J354" i="16"/>
  <c r="J355" i="16"/>
  <c r="P354" i="16"/>
  <c r="P355" i="16"/>
  <c r="J356" i="16"/>
  <c r="P356" i="16"/>
  <c r="J357" i="16"/>
  <c r="J358" i="16"/>
  <c r="P357" i="16"/>
  <c r="J359" i="16"/>
  <c r="P358" i="16"/>
  <c r="J360" i="16"/>
  <c r="P359" i="16"/>
  <c r="P360" i="16"/>
  <c r="J361" i="16"/>
  <c r="P361" i="16"/>
  <c r="J362" i="16"/>
  <c r="P362" i="16"/>
  <c r="J363" i="16"/>
  <c r="J364" i="16"/>
  <c r="P363" i="16"/>
  <c r="J365" i="16"/>
  <c r="P364" i="16"/>
  <c r="J366" i="16"/>
  <c r="P365" i="16"/>
  <c r="J367" i="16"/>
  <c r="P366" i="16"/>
  <c r="J368" i="16"/>
  <c r="P367" i="16"/>
  <c r="P368" i="16"/>
  <c r="J369" i="16"/>
  <c r="P369" i="16"/>
  <c r="J370" i="16"/>
  <c r="J371" i="16"/>
  <c r="P370" i="16"/>
  <c r="J372" i="16"/>
  <c r="P371" i="16"/>
  <c r="J373" i="16"/>
  <c r="P372" i="16"/>
  <c r="J374" i="16"/>
  <c r="P373" i="16"/>
  <c r="P374" i="16"/>
  <c r="J375" i="16"/>
  <c r="P375" i="16"/>
  <c r="J376" i="16"/>
  <c r="P376" i="16"/>
  <c r="J377" i="16"/>
  <c r="P377" i="16"/>
  <c r="J378" i="16"/>
  <c r="J379" i="16"/>
  <c r="P378" i="16"/>
  <c r="P379" i="16"/>
  <c r="J380" i="16"/>
  <c r="P380" i="16"/>
  <c r="J381" i="16"/>
  <c r="J382" i="16"/>
  <c r="P381" i="16"/>
  <c r="J383" i="16"/>
  <c r="P382" i="16"/>
  <c r="P383" i="16"/>
  <c r="J384" i="16"/>
  <c r="P384" i="16"/>
  <c r="J385" i="16"/>
  <c r="J386" i="16"/>
  <c r="P385" i="16"/>
  <c r="P386" i="16"/>
  <c r="J387" i="16"/>
  <c r="J388" i="16"/>
  <c r="P387" i="16"/>
  <c r="P388" i="16"/>
  <c r="J389" i="16"/>
  <c r="J390" i="16"/>
  <c r="P389" i="16"/>
  <c r="J391" i="16"/>
  <c r="P390" i="16"/>
  <c r="P391" i="16"/>
  <c r="J392" i="16"/>
  <c r="J393" i="16"/>
  <c r="P392" i="16"/>
  <c r="J394" i="16"/>
  <c r="P393" i="16"/>
  <c r="P394" i="16"/>
  <c r="J395" i="16"/>
  <c r="P395" i="16"/>
  <c r="J396" i="16"/>
  <c r="J397" i="16"/>
  <c r="P396" i="16"/>
  <c r="J398" i="16"/>
  <c r="P397" i="16"/>
  <c r="J399" i="16"/>
  <c r="P398" i="16"/>
  <c r="J400" i="16"/>
  <c r="P399" i="16"/>
  <c r="P400" i="16"/>
  <c r="J401" i="16"/>
  <c r="P401" i="16"/>
  <c r="J402" i="16"/>
  <c r="P402" i="16"/>
  <c r="J403" i="16"/>
  <c r="J404" i="16"/>
  <c r="P403" i="16"/>
  <c r="J405" i="16"/>
  <c r="P404" i="16"/>
  <c r="J406" i="16"/>
  <c r="P405" i="16"/>
  <c r="P406" i="16"/>
  <c r="J407" i="16"/>
  <c r="P407" i="16"/>
  <c r="J408" i="16"/>
  <c r="J409" i="16"/>
  <c r="P408" i="16"/>
  <c r="J410" i="16"/>
  <c r="P409" i="16"/>
  <c r="J411" i="16"/>
  <c r="P410" i="16"/>
  <c r="P411" i="16"/>
  <c r="J412" i="16"/>
  <c r="P412" i="16"/>
  <c r="J413" i="16"/>
  <c r="P413" i="16"/>
  <c r="J414" i="16"/>
  <c r="J415" i="16"/>
  <c r="P414" i="16"/>
  <c r="J416" i="16"/>
  <c r="P415" i="16"/>
  <c r="J417" i="16"/>
  <c r="P416" i="16"/>
  <c r="J418" i="16"/>
  <c r="P417" i="16"/>
  <c r="J419" i="16"/>
  <c r="P418" i="16"/>
  <c r="J420" i="16"/>
  <c r="P419" i="16"/>
  <c r="J421" i="16"/>
  <c r="P420" i="16"/>
  <c r="P421" i="16"/>
  <c r="J422" i="16"/>
  <c r="P422" i="16"/>
  <c r="J423" i="16"/>
  <c r="P423" i="16"/>
  <c r="J424" i="16"/>
  <c r="P424" i="16"/>
  <c r="J425" i="16"/>
  <c r="J426" i="16"/>
  <c r="P425" i="16"/>
  <c r="P426" i="16"/>
  <c r="J427" i="16"/>
  <c r="P427" i="16"/>
  <c r="J428" i="16"/>
  <c r="J429" i="16"/>
  <c r="P428" i="16"/>
  <c r="J430" i="16"/>
  <c r="P429" i="16"/>
  <c r="J431" i="16"/>
  <c r="P430" i="16"/>
  <c r="J432" i="16"/>
  <c r="P431" i="16"/>
  <c r="J433" i="16"/>
  <c r="P432" i="16"/>
  <c r="P433" i="16"/>
  <c r="J434" i="16"/>
  <c r="P434" i="16"/>
  <c r="J435" i="16"/>
  <c r="J436" i="16"/>
  <c r="P435" i="16"/>
  <c r="P436" i="16"/>
  <c r="J437" i="16"/>
  <c r="J438" i="16"/>
  <c r="P437" i="16"/>
  <c r="J439" i="16"/>
  <c r="P438" i="16"/>
  <c r="P439" i="16"/>
  <c r="J440" i="16"/>
  <c r="J441" i="16"/>
  <c r="P440" i="16"/>
  <c r="J442" i="16"/>
  <c r="P441" i="16"/>
  <c r="P442" i="16"/>
  <c r="J443" i="16"/>
  <c r="P443" i="16"/>
  <c r="J444" i="16"/>
  <c r="P444" i="16"/>
  <c r="J445" i="16"/>
  <c r="J446" i="16"/>
  <c r="P445" i="16"/>
  <c r="J447" i="16"/>
  <c r="P446" i="16"/>
  <c r="J448" i="16"/>
  <c r="P447" i="16"/>
  <c r="J449" i="16"/>
  <c r="P448" i="16"/>
  <c r="J450" i="16"/>
  <c r="P449" i="16"/>
  <c r="P450" i="16"/>
  <c r="J451" i="16"/>
  <c r="J452" i="16"/>
  <c r="P451" i="16"/>
  <c r="P452" i="16"/>
  <c r="J453" i="16"/>
  <c r="J454" i="16"/>
  <c r="P453" i="16"/>
  <c r="P454" i="16"/>
  <c r="J455" i="16"/>
  <c r="J456" i="16"/>
  <c r="P455" i="16"/>
  <c r="J457" i="16"/>
  <c r="P456" i="16"/>
  <c r="J458" i="16"/>
  <c r="P457" i="16"/>
  <c r="P458" i="16"/>
  <c r="J459" i="16"/>
  <c r="P459" i="16"/>
  <c r="J460" i="16"/>
  <c r="P460" i="16"/>
  <c r="J461" i="16"/>
  <c r="P461" i="16"/>
  <c r="J462" i="16"/>
  <c r="J463" i="16"/>
  <c r="P462" i="16"/>
  <c r="J464" i="16"/>
  <c r="P463" i="16"/>
  <c r="J465" i="16"/>
  <c r="P464" i="16"/>
  <c r="P465" i="16"/>
  <c r="J466" i="16"/>
  <c r="P466" i="16"/>
  <c r="J467" i="16"/>
  <c r="P467" i="16"/>
  <c r="J468" i="16"/>
  <c r="J469" i="16"/>
  <c r="P468" i="16"/>
  <c r="P469" i="16"/>
  <c r="J470" i="16"/>
  <c r="P470" i="16"/>
  <c r="J471" i="16"/>
  <c r="P471" i="16"/>
  <c r="J472" i="16"/>
  <c r="J473" i="16"/>
  <c r="P472" i="16"/>
  <c r="P473" i="16"/>
  <c r="J474" i="16"/>
  <c r="J475" i="16"/>
  <c r="P474" i="16"/>
  <c r="P475" i="16"/>
  <c r="J476" i="16"/>
  <c r="J477" i="16"/>
  <c r="P476" i="16"/>
  <c r="J478" i="16"/>
  <c r="P477" i="16"/>
  <c r="P478" i="16"/>
  <c r="J479" i="16"/>
  <c r="J480" i="16"/>
  <c r="P479" i="16"/>
  <c r="J481" i="16"/>
  <c r="P480" i="16"/>
  <c r="P481" i="16"/>
  <c r="J482" i="16"/>
  <c r="P482" i="16"/>
  <c r="J483" i="16"/>
  <c r="P483" i="16"/>
  <c r="J484" i="16"/>
  <c r="P484" i="16"/>
  <c r="J485" i="16"/>
  <c r="J486" i="16"/>
  <c r="P485" i="16"/>
  <c r="J487" i="16"/>
  <c r="P486" i="16"/>
  <c r="J488" i="16"/>
  <c r="P487" i="16"/>
  <c r="J489" i="16"/>
  <c r="P488" i="16"/>
  <c r="J490" i="16"/>
  <c r="P489" i="16"/>
  <c r="J491" i="16"/>
  <c r="P490" i="16"/>
  <c r="P491" i="16"/>
  <c r="J492" i="16"/>
  <c r="P492" i="16"/>
  <c r="J493" i="16"/>
  <c r="J494" i="16"/>
  <c r="P493" i="16"/>
  <c r="P494" i="16"/>
  <c r="J495" i="16"/>
  <c r="P495" i="16"/>
  <c r="J496" i="16"/>
  <c r="J497" i="16"/>
  <c r="P496" i="16"/>
  <c r="J498" i="16"/>
  <c r="P497" i="16"/>
  <c r="J499" i="16"/>
  <c r="P498" i="16"/>
  <c r="P499" i="16"/>
  <c r="J500" i="16"/>
  <c r="P500" i="16"/>
  <c r="J501" i="16"/>
  <c r="J502" i="16"/>
  <c r="P501" i="16"/>
  <c r="P502" i="16"/>
  <c r="J503" i="16"/>
  <c r="J504" i="16"/>
  <c r="P503" i="16"/>
  <c r="J505" i="16"/>
  <c r="P504" i="16"/>
  <c r="P505" i="16"/>
  <c r="J506" i="16"/>
  <c r="P506" i="16"/>
  <c r="J507" i="16"/>
  <c r="P507" i="16"/>
  <c r="J508" i="16"/>
  <c r="J509" i="16"/>
  <c r="P508" i="16"/>
  <c r="P509" i="16"/>
  <c r="J510" i="16"/>
  <c r="P510" i="16"/>
  <c r="J511" i="16"/>
  <c r="J512" i="16"/>
  <c r="P511" i="16"/>
  <c r="J513" i="16"/>
  <c r="P512" i="16"/>
  <c r="J514" i="16"/>
  <c r="P513" i="16"/>
  <c r="J515" i="16"/>
  <c r="P514" i="16"/>
  <c r="P515" i="16"/>
  <c r="J516" i="16"/>
  <c r="J517" i="16"/>
  <c r="P516" i="16"/>
  <c r="J518" i="16"/>
  <c r="P517" i="16"/>
  <c r="J519" i="16"/>
  <c r="P518" i="16"/>
  <c r="P519" i="16"/>
  <c r="J520" i="16"/>
  <c r="J521" i="16"/>
  <c r="P520" i="16"/>
  <c r="P521" i="16"/>
  <c r="J522" i="16"/>
  <c r="P522" i="16"/>
  <c r="J523" i="16"/>
  <c r="P523" i="16"/>
  <c r="J524" i="16"/>
  <c r="J525" i="16"/>
  <c r="P524" i="16"/>
  <c r="J526" i="16"/>
  <c r="P525" i="16"/>
  <c r="J527" i="16"/>
  <c r="P526" i="16"/>
  <c r="J528" i="16"/>
  <c r="P527" i="16"/>
  <c r="J529" i="16"/>
  <c r="P528" i="16"/>
  <c r="P529" i="16"/>
  <c r="J530" i="16"/>
  <c r="J531" i="16"/>
  <c r="P530" i="16"/>
  <c r="P531" i="16"/>
  <c r="J532" i="16"/>
  <c r="P532" i="16"/>
  <c r="J533" i="16"/>
  <c r="J534" i="16"/>
  <c r="P533" i="16"/>
  <c r="J535" i="16"/>
  <c r="P534" i="16"/>
  <c r="J536" i="16"/>
  <c r="P535" i="16"/>
  <c r="J537" i="16"/>
  <c r="P536" i="16"/>
  <c r="J538" i="16"/>
  <c r="P537" i="16"/>
  <c r="J539" i="16"/>
  <c r="P538" i="16"/>
  <c r="P539" i="16"/>
  <c r="J540" i="16"/>
  <c r="J541" i="16"/>
  <c r="P540" i="16"/>
  <c r="J542" i="16"/>
  <c r="P541" i="16"/>
  <c r="P542" i="16"/>
  <c r="J543" i="16"/>
  <c r="J544" i="16"/>
  <c r="P543" i="16"/>
  <c r="J545" i="16"/>
  <c r="P544" i="16"/>
  <c r="P545" i="16"/>
  <c r="J546" i="16"/>
  <c r="P546" i="16"/>
  <c r="J547" i="16"/>
  <c r="P547" i="16"/>
  <c r="J548" i="16"/>
  <c r="P548" i="16"/>
  <c r="J549" i="16"/>
  <c r="J550" i="16"/>
  <c r="P549" i="16"/>
  <c r="J551" i="16"/>
  <c r="P550" i="16"/>
  <c r="P551" i="16"/>
  <c r="J552" i="16"/>
  <c r="J553" i="16"/>
  <c r="P552" i="16"/>
  <c r="P553" i="16"/>
  <c r="J554" i="16"/>
  <c r="J555" i="16"/>
  <c r="P554" i="16"/>
  <c r="J556" i="16"/>
  <c r="P555" i="16"/>
  <c r="P556" i="16"/>
  <c r="J557" i="16"/>
  <c r="P557" i="16"/>
  <c r="J558" i="16"/>
  <c r="P558" i="16"/>
  <c r="J559" i="16"/>
  <c r="J560" i="16"/>
  <c r="P559" i="16"/>
  <c r="J561" i="16"/>
  <c r="P560" i="16"/>
  <c r="P561" i="16"/>
  <c r="J562" i="16"/>
  <c r="J563" i="16"/>
  <c r="P562" i="16"/>
  <c r="P563" i="16"/>
  <c r="J564" i="16"/>
  <c r="P564" i="16"/>
  <c r="J565" i="16"/>
  <c r="P565" i="16"/>
  <c r="J566" i="16"/>
  <c r="P566" i="16"/>
  <c r="J567" i="16"/>
  <c r="J568" i="16"/>
  <c r="P567" i="16"/>
  <c r="P568" i="16"/>
  <c r="J569" i="16"/>
  <c r="J570" i="16"/>
  <c r="P569" i="16"/>
  <c r="P570" i="16"/>
  <c r="J571" i="16"/>
  <c r="J572" i="16"/>
  <c r="P571" i="16"/>
  <c r="P572" i="16"/>
  <c r="J573" i="16"/>
  <c r="P573" i="16"/>
  <c r="J574" i="16"/>
  <c r="J575" i="16"/>
  <c r="P574" i="16"/>
  <c r="J576" i="16"/>
  <c r="P575" i="16"/>
  <c r="J577" i="16"/>
  <c r="P576" i="16"/>
  <c r="J578" i="16"/>
  <c r="P577" i="16"/>
  <c r="J579" i="16"/>
  <c r="P578" i="16"/>
  <c r="J580" i="16"/>
  <c r="P579" i="16"/>
  <c r="P580" i="16"/>
  <c r="J581" i="16"/>
  <c r="J582" i="16"/>
  <c r="P581" i="16"/>
  <c r="P582" i="16"/>
  <c r="J583" i="16"/>
  <c r="J584" i="16"/>
  <c r="P583" i="16"/>
  <c r="J585" i="16"/>
  <c r="P584" i="16"/>
  <c r="J586" i="16"/>
  <c r="P585" i="16"/>
  <c r="J587" i="16"/>
  <c r="P586" i="16"/>
  <c r="J588" i="16"/>
  <c r="P587" i="16"/>
  <c r="P588" i="16"/>
  <c r="J589" i="16"/>
  <c r="P589" i="16"/>
  <c r="J590" i="16"/>
  <c r="P590" i="16"/>
  <c r="J591" i="16"/>
  <c r="P591" i="16"/>
  <c r="J592" i="16"/>
  <c r="J593" i="16"/>
  <c r="P592" i="16"/>
  <c r="J594" i="16"/>
  <c r="P593" i="16"/>
  <c r="P594" i="16"/>
  <c r="J595" i="16"/>
  <c r="J596" i="16"/>
  <c r="P595" i="16"/>
  <c r="P596" i="16"/>
  <c r="J597" i="16"/>
  <c r="P597" i="16"/>
  <c r="J598" i="16"/>
  <c r="J599" i="16"/>
  <c r="P598" i="16"/>
  <c r="J600" i="16"/>
  <c r="P599" i="16"/>
  <c r="J601" i="16"/>
  <c r="P600" i="16"/>
  <c r="J602" i="16"/>
  <c r="P601" i="16"/>
  <c r="P602" i="16"/>
  <c r="J603" i="16"/>
  <c r="J604" i="16"/>
  <c r="P603" i="16"/>
  <c r="J605" i="16"/>
  <c r="P604" i="16"/>
  <c r="J606" i="16"/>
  <c r="P605" i="16"/>
  <c r="P606" i="16"/>
  <c r="J607" i="16"/>
  <c r="J608" i="16"/>
  <c r="P607" i="16"/>
  <c r="J610" i="16"/>
  <c r="P608" i="16"/>
  <c r="J611" i="16"/>
  <c r="P610" i="16"/>
  <c r="J612" i="16"/>
  <c r="J614" i="16"/>
  <c r="P612" i="16"/>
  <c r="P611" i="16"/>
  <c r="J613" i="16"/>
  <c r="P613" i="16"/>
  <c r="J615" i="16"/>
  <c r="P614" i="16"/>
  <c r="J616" i="16"/>
  <c r="J618" i="16"/>
  <c r="P616" i="16"/>
  <c r="J617" i="16"/>
  <c r="P615" i="16"/>
  <c r="J619" i="16"/>
  <c r="P617" i="16"/>
  <c r="J620" i="16"/>
  <c r="P618" i="16"/>
  <c r="J622" i="16"/>
  <c r="P620" i="16"/>
  <c r="P619" i="16"/>
  <c r="J621" i="16"/>
  <c r="J623" i="16"/>
  <c r="P621" i="16"/>
  <c r="P622" i="16"/>
  <c r="J624" i="16"/>
  <c r="J626" i="16"/>
  <c r="J628" i="16"/>
  <c r="P624" i="16"/>
  <c r="L44" i="20"/>
  <c r="P623" i="16"/>
  <c r="J625" i="16"/>
  <c r="P625" i="16"/>
  <c r="J627" i="16"/>
  <c r="M44" i="20"/>
  <c r="J630" i="16"/>
  <c r="P628" i="16"/>
  <c r="P630" i="16"/>
  <c r="J632" i="16"/>
  <c r="L46" i="20"/>
  <c r="J629" i="16"/>
  <c r="P627" i="16"/>
  <c r="M46" i="20"/>
  <c r="P629" i="16"/>
  <c r="J631" i="16"/>
  <c r="J633" i="16"/>
  <c r="P633" i="16"/>
  <c r="J634" i="16"/>
  <c r="P632" i="16"/>
  <c r="I17" i="16"/>
  <c r="L17" i="16"/>
  <c r="P634" i="16"/>
  <c r="J636" i="16"/>
  <c r="P636" i="16"/>
  <c r="I18" i="16"/>
  <c r="L18" i="16"/>
  <c r="I19" i="16"/>
  <c r="L19" i="16"/>
  <c r="I15" i="16"/>
  <c r="L15" i="16"/>
  <c r="L40" i="20"/>
  <c r="L54" i="20"/>
  <c r="L57" i="20"/>
  <c r="L56" i="20"/>
  <c r="L52" i="20"/>
  <c r="L50" i="20"/>
  <c r="L63" i="20"/>
  <c r="L60" i="20"/>
  <c r="L55" i="20"/>
  <c r="L53" i="20"/>
  <c r="L51" i="20"/>
  <c r="L58" i="20"/>
  <c r="L62" i="20"/>
  <c r="L39" i="20"/>
  <c r="I16" i="16"/>
  <c r="L16" i="16"/>
  <c r="L45" i="20"/>
  <c r="M62" i="20"/>
  <c r="M52" i="20"/>
  <c r="M58" i="20"/>
  <c r="M56" i="20"/>
  <c r="M51" i="20"/>
  <c r="M57" i="20"/>
  <c r="M53" i="20"/>
  <c r="M54" i="20"/>
  <c r="M40" i="20"/>
  <c r="M45" i="20"/>
  <c r="M60" i="20"/>
  <c r="M63" i="20"/>
  <c r="M55" i="20"/>
  <c r="M39" i="20"/>
  <c r="M50" i="20"/>
  <c r="M29" i="20"/>
  <c r="J20" i="20"/>
  <c r="J22" i="20"/>
  <c r="C22" i="20"/>
  <c r="G21" i="25"/>
  <c r="G19" i="25"/>
  <c r="J8" i="25"/>
  <c r="J1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<sst xmlns="http://schemas.openxmlformats.org/spreadsheetml/2006/main" count="2535" uniqueCount="489">
  <si>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</si>
  <si>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</si>
  <si>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</si>
  <si>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</si>
  <si>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</si>
  <si>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</si>
  <si>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</si>
  <si>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</si>
  <si>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</si>
  <si>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</si>
  <si>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</si>
  <si>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</si>
  <si>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</si>
  <si>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</si>
  <si>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</si>
  <si>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</si>
  <si>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</si>
  <si>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</si>
  <si>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</si>
  <si>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</si>
  <si>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</si>
  <si>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</si>
  <si>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</si>
  <si>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</si>
  <si>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</si>
  <si>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</si>
  <si>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</si>
  <si>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</si>
  <si>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</si>
  <si>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</si>
  <si>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</si>
  <si>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</si>
  <si>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</si>
  <si>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</si>
  <si>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</si>
  <si>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</si>
  <si>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</si>
  <si>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</si>
  <si>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</si>
  <si>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</si>
  <si>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</si>
  <si>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</si>
  <si>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</si>
  <si>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</si>
  <si>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</si>
  <si>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</si>
  <si>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</si>
  <si>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</si>
  <si>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</si>
  <si>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</si>
  <si>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</si>
  <si>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</si>
  <si>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</si>
  <si>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</si>
  <si>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</si>
  <si>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</si>
  <si>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</si>
  <si>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Summary of maximum price for a new development</t>
  </si>
  <si>
    <t>Where the New Development is connecting to a Recycled Water System, the variables may be modified by Schedule 1 or Schedule 2 of the Recycled Water Developer Charges Determination.</t>
  </si>
  <si>
    <t>of which:</t>
  </si>
  <si>
    <t>is the headworks charge</t>
  </si>
  <si>
    <t>Maximum price formula:</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</si>
  <si>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</si>
  <si>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</si>
  <si>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</si>
  <si>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</si>
  <si>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</si>
  <si>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</si>
  <si>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</si>
  <si>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</si>
  <si>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</si>
  <si>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</si>
  <si>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</si>
  <si>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</si>
  <si>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</si>
  <si>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</si>
  <si>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</si>
  <si>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</si>
  <si>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</si>
  <si>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</si>
  <si>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</si>
  <si>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</si>
  <si>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</si>
  <si>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</si>
  <si>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</si>
  <si>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</si>
  <si>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</si>
  <si>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</si>
  <si>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</si>
  <si>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</si>
  <si>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</si>
  <si>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</si>
  <si>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</si>
  <si>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</si>
  <si>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ET profile</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</si>
  <si>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</si>
  <si>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</si>
  <si>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</si>
  <si>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</si>
  <si>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</si>
  <si>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</si>
  <si>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</si>
  <si>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</si>
  <si>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</si>
  <si>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</si>
  <si>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CPI</t>
  </si>
  <si>
    <t>June 2020-21</t>
  </si>
  <si>
    <t>Actual</t>
  </si>
  <si>
    <t>June 2021-22</t>
  </si>
  <si>
    <t>June 2022-23</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</si>
  <si>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</si>
  <si>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</si>
  <si>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</si>
  <si>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</si>
  <si>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</si>
  <si>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</si>
  <si>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</si>
  <si>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</si>
  <si>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</si>
  <si>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</si>
  <si>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</si>
  <si>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</si>
  <si>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</si>
  <si>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</si>
  <si>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</si>
  <si>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</si>
  <si>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</si>
  <si>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</si>
  <si>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</si>
  <si>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</si>
  <si>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</si>
  <si>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Sydney Water Corporation</t>
  </si>
  <si>
    <t>Agency name</t>
  </si>
  <si>
    <t>Pre-1996 discount rate</t>
  </si>
  <si>
    <t>DSP name</t>
  </si>
  <si>
    <t>Central Coast Council</t>
  </si>
  <si>
    <t>Hunter Water Corporation</t>
  </si>
  <si>
    <t>System name (allows cross checking of headworks costs)</t>
  </si>
  <si>
    <t>System Name</t>
  </si>
  <si>
    <t xml:space="preserve">Service this DSP relates to </t>
  </si>
  <si>
    <t>Water</t>
  </si>
  <si>
    <t>Timeframes</t>
  </si>
  <si>
    <t>Relevant financial year</t>
  </si>
  <si>
    <t>Sewerage</t>
  </si>
  <si>
    <t>Stormwater</t>
  </si>
  <si>
    <t>Financial year of registration for the DSP</t>
  </si>
  <si>
    <t>2022-23</t>
  </si>
  <si>
    <t>Final date where assets can be commissioned</t>
  </si>
  <si>
    <t>2018-19</t>
  </si>
  <si>
    <t>2019-20</t>
  </si>
  <si>
    <t>Date range for pre 1996 assets</t>
  </si>
  <si>
    <t>2020-21</t>
  </si>
  <si>
    <t>2021-22</t>
  </si>
  <si>
    <t>First day</t>
  </si>
  <si>
    <t>Last day</t>
  </si>
  <si>
    <t>2023-24</t>
  </si>
  <si>
    <t>2024-25</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</si>
  <si>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</si>
  <si>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</si>
  <si>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</si>
  <si>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</si>
  <si>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</si>
  <si>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</si>
  <si>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</si>
  <si>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</si>
  <si>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</si>
  <si>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</si>
  <si>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</si>
  <si>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</si>
  <si>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</si>
  <si>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</si>
  <si>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</si>
  <si>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</si>
  <si>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</si>
  <si>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</si>
  <si>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</si>
  <si>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</si>
  <si>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</si>
  <si>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</si>
  <si>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</si>
  <si>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</si>
  <si>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check</t>
  </si>
  <si>
    <t>Start date</t>
  </si>
  <si>
    <t>Mains</t>
  </si>
  <si>
    <t>End date</t>
  </si>
  <si>
    <t>Rising mains</t>
  </si>
  <si>
    <t>WPS</t>
  </si>
  <si>
    <t>Register of pre-1996 assets</t>
  </si>
  <si>
    <t>Reservior</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</si>
  <si>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</si>
  <si>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</si>
  <si>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</si>
  <si>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</si>
  <si>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</si>
  <si>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</si>
  <si>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</si>
  <si>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</si>
  <si>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</si>
  <si>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</si>
  <si>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</si>
  <si>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</si>
  <si>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 Growth</t>
  </si>
  <si>
    <t>Berkeley Reservoir Outlet Main to Flagstaff Rd.</t>
  </si>
  <si>
    <t>Asset utilisation</t>
  </si>
  <si>
    <t>metres</t>
  </si>
  <si>
    <t>Thirroul Reservoir Lower Outlet Main</t>
  </si>
  <si>
    <t xml:space="preserve">Thirroul Reservoirs Inlet Main </t>
  </si>
  <si>
    <t>Northern Towns Trunk Main, Bulli</t>
  </si>
  <si>
    <t>Trunk Mains, Windang Road &amp; Windang Bridge</t>
  </si>
  <si>
    <t>Woonona Hts Outlet Main</t>
  </si>
  <si>
    <t>Mt Warrigal Reservoir Inlet/Outlet Main</t>
  </si>
  <si>
    <t xml:space="preserve">Upper Avon/South Coast WS Amp of Grav Main at Upper Talus Slope </t>
  </si>
  <si>
    <t>South Coast Amp, Upper Avon, Berkeley Inlet Main</t>
  </si>
  <si>
    <t>Berkeley Reservoir Inlet Main, Northcliffe Dr</t>
  </si>
  <si>
    <t>Avon - Cordeaux Cross Connection Main Stage 2</t>
  </si>
  <si>
    <t>Upper Avon/South Coast WS Amp of Grav Main</t>
  </si>
  <si>
    <t>Berkeley Reservoir Outlet Main, Berkeley Dr</t>
  </si>
  <si>
    <t>Oak Flats Reservoir 600mm Scour Main</t>
  </si>
  <si>
    <t>Oak Flats Reservoir Inlet Main</t>
  </si>
  <si>
    <t>Avon - Cordeaux Cross Connection Main Stage 1</t>
  </si>
  <si>
    <t>Oak Flats Reservoir Outlet Main Central Avenue, Oak Flats</t>
  </si>
  <si>
    <t>Eastern Outlet Main Oak Flats Reservoir</t>
  </si>
  <si>
    <t>Dapto - Kiama TM Stage 1</t>
  </si>
  <si>
    <t>Dapto Kiama Trunk Main Amp Stage 1</t>
  </si>
  <si>
    <t>Jamberoo Trunk Main, Swamp Road</t>
  </si>
  <si>
    <t>WP0153</t>
  </si>
  <si>
    <t>To service areas in the Kiama &amp; Gerringong Reservoir Zones</t>
  </si>
  <si>
    <t>Pumping station</t>
  </si>
  <si>
    <t>WP0169</t>
  </si>
  <si>
    <t>To service areas in the Woonona Heights Reservoir Zone</t>
  </si>
  <si>
    <t>WP0242</t>
  </si>
  <si>
    <t>To service areas in the Thirroul Upper Reservoir Zone</t>
  </si>
  <si>
    <t>WP0052</t>
  </si>
  <si>
    <t>To service areas in the Coledale Hts. Reservoir Zone</t>
  </si>
  <si>
    <t>WP0121</t>
  </si>
  <si>
    <t>To service areas in the Kiama &amp; Jamberoo Reservoir Zones</t>
  </si>
  <si>
    <t>WP0311</t>
  </si>
  <si>
    <t>To service areas in the Kembla Hts. &amp; Mt. Kembla &amp; Nebo Lower Reservoir Zone</t>
  </si>
  <si>
    <t>WP0312</t>
  </si>
  <si>
    <t>To service areas in the Kembla Hts. &amp; Mt. Kembla Reservoir Zone</t>
  </si>
  <si>
    <t>WP0313</t>
  </si>
  <si>
    <t>To service areas from Mt. Keira to Scarborough Reservoir Zones</t>
  </si>
  <si>
    <t>WS0250</t>
  </si>
  <si>
    <t>To provide potable water to the areas of Gerringong &amp; Gerroa</t>
  </si>
  <si>
    <t>WS0262</t>
  </si>
  <si>
    <t>To provide potable water to the area of Woonona Hts.</t>
  </si>
  <si>
    <t>WS0320</t>
  </si>
  <si>
    <t>To provide potable water to the area of Farmborough Hts.</t>
  </si>
  <si>
    <t>WS0295</t>
  </si>
  <si>
    <t>To provide potable water to the areas from Albion Park Rail to Dunmore.</t>
  </si>
  <si>
    <t xml:space="preserve"> WS0309</t>
  </si>
  <si>
    <t>WS0413</t>
  </si>
  <si>
    <t>To provide potable water to the areas from Minnamurra to Gerroa</t>
  </si>
  <si>
    <t xml:space="preserve">  WS0333</t>
  </si>
  <si>
    <t>To provide potable water to the Stony Range residential development</t>
  </si>
  <si>
    <t>Total</t>
  </si>
  <si>
    <t>POST-1996 COMMISSIONED ASSETS WITH A NEXUS TO THE SERVICE FOR WHICH THE MAXIMUM PRICE IS BEING CALCULATED</t>
  </si>
  <si>
    <t>Total in this file</t>
  </si>
  <si>
    <t>Register of post-1996 commissioned assets</t>
  </si>
  <si>
    <t>WFP</t>
  </si>
  <si>
    <t>Financial year of commissioning</t>
  </si>
  <si>
    <t>Berkeley Reservoir Inlet Main</t>
  </si>
  <si>
    <t>BHP Unfiltered Water Supply</t>
  </si>
  <si>
    <t>Churchill St, Jamberoo</t>
  </si>
  <si>
    <t>Jaraga Cct, Thirroul</t>
  </si>
  <si>
    <t>Section 73 at FIGTREE</t>
  </si>
  <si>
    <t>Amplification at BULLI</t>
  </si>
  <si>
    <t>Amplification/Renewal at MOUNT PLEASANT</t>
  </si>
  <si>
    <t>Section 73 at GERRINGONG</t>
  </si>
  <si>
    <t>Amplification/Renewal at BULLI</t>
  </si>
  <si>
    <t>Section 73 at WOONONA</t>
  </si>
  <si>
    <t>Normal Extension at CRINGILA</t>
  </si>
  <si>
    <t>Normal Extension at FIGTREE</t>
  </si>
  <si>
    <t>Amplification at KEIRAVILLE</t>
  </si>
  <si>
    <t>Section 73 at FLINDERS</t>
  </si>
  <si>
    <t>Normal Extension at GERRINGONG</t>
  </si>
  <si>
    <t>Normal Extension at SCARBOROUGH</t>
  </si>
  <si>
    <t>Normal Extension at BALGOWNIE</t>
  </si>
  <si>
    <t>Normal Extension at NORTH WOLLONGONG</t>
  </si>
  <si>
    <t>Amplification at WOLLONGONG</t>
  </si>
  <si>
    <t>Section 73 at WOLLONGONG</t>
  </si>
  <si>
    <t>Normal Extension at WOLLONGONG</t>
  </si>
  <si>
    <t>Section 73 at BERKELEY</t>
  </si>
  <si>
    <t>Normal Extension at BERKELEY</t>
  </si>
  <si>
    <t>Normal Extension at PRIMBEE</t>
  </si>
  <si>
    <t>Section 73 at SHELL COVE</t>
  </si>
  <si>
    <t>Amplification at KIAMA</t>
  </si>
  <si>
    <t>Normal Extension at KIAMA</t>
  </si>
  <si>
    <t>Renewal at WOMBARRA _ Amplification</t>
  </si>
  <si>
    <t>Renewal at COLEDALE _ Amplification</t>
  </si>
  <si>
    <t>Renewal at THIRROUL _ Amplification</t>
  </si>
  <si>
    <t>Adjustment at BULLI _ Amplification</t>
  </si>
  <si>
    <t>Renewal at FARMBOROUGH HEIGHTS _ Amplification</t>
  </si>
  <si>
    <t>Adjustment at UNANDERRA _ Amplification</t>
  </si>
  <si>
    <t>Renewal at UNANDERRA _ Amplification</t>
  </si>
  <si>
    <t>Renewal at KEMBLA GRANGE _ Amplification</t>
  </si>
  <si>
    <t>Renewal at BULLI _ Amplification</t>
  </si>
  <si>
    <t>Adjustment at WOONONA _ Amplification</t>
  </si>
  <si>
    <t>RTA Adjustment at WOONONA _ Amplification</t>
  </si>
  <si>
    <t>Renewal at RUSSELL VALE _ Amplification</t>
  </si>
  <si>
    <t>Renewal at CORRIMAL _ Amplification</t>
  </si>
  <si>
    <t>Adjustment at CORRIMAL _ Amplification</t>
  </si>
  <si>
    <t>Renewal at BALGOWNIE _ Amplification</t>
  </si>
  <si>
    <t>Adjustment at BALGOWNIE _ Amplification</t>
  </si>
  <si>
    <t>Renewal at MOUNT OUSLEY _ Amplification</t>
  </si>
  <si>
    <t>Renewal at KEIRAVILLE _ Amplification</t>
  </si>
  <si>
    <t>Adjustment at KEIRAVILLE _ Amplification</t>
  </si>
  <si>
    <t>Renewal at MOUNT KEIRA _ Amplification</t>
  </si>
  <si>
    <t>Adjustment at MOUNT KEIRA _ Amplification</t>
  </si>
  <si>
    <t>Renewal at WEST WOLLONGONG _ Amplification</t>
  </si>
  <si>
    <t>Adjustment at MANGERTON _ Amplification</t>
  </si>
  <si>
    <t>Adjustment at FIGTREE _ Amplification</t>
  </si>
  <si>
    <t>Renewal at FIGTREE _ Amplification</t>
  </si>
  <si>
    <t>Renewal at WOLLONGONG _ Amplification</t>
  </si>
  <si>
    <t>Adjustment at WOLLONGONG _ Amplification</t>
  </si>
  <si>
    <t>Renewal at PORT KEMBLA _ Amplification</t>
  </si>
  <si>
    <t>Adjustment at PORT KEMBLA _ Amplification</t>
  </si>
  <si>
    <t>Renewal at CRINGILA _ Amplification</t>
  </si>
  <si>
    <t>Renewal at BERKELEY _ Amplification</t>
  </si>
  <si>
    <t>Unknown at CRINGILA _ Amplification</t>
  </si>
  <si>
    <t>Adjustment at CRINGILA _ Amplification</t>
  </si>
  <si>
    <t>Renewal at WARRAWONG _ Amplification</t>
  </si>
  <si>
    <t>Renewal at MOUNT WARRIGAL _ Amplification</t>
  </si>
  <si>
    <t>Adjustment at FLINDERS _ Amplification</t>
  </si>
  <si>
    <t>Adjustment at SHELLHARBOUR _ Amplification</t>
  </si>
  <si>
    <t>Adjustment at CROOM _ Amplification</t>
  </si>
  <si>
    <t>Adjustment at MINNAMURRA _ Amplification</t>
  </si>
  <si>
    <t>Renewal at ALBION PARK RAIL _ Amplification</t>
  </si>
  <si>
    <t>Adjustment at OAK FLATS _ Amplification</t>
  </si>
  <si>
    <t>Adjustment at ALBION PARK RAIL _ Amplification</t>
  </si>
  <si>
    <t>Renewal at OAK FLATS _ Amplification</t>
  </si>
  <si>
    <t>RTA Adjustment at CROOM _ Amplification</t>
  </si>
  <si>
    <t>Renewal at CROOM _ Amplification</t>
  </si>
  <si>
    <t>Renewal at KIAMA _ Amplification</t>
  </si>
  <si>
    <t>RTA Adjustment at KIAMA _ Amplification</t>
  </si>
  <si>
    <t>Adjustment at GERRINGONG _ Amplification</t>
  </si>
  <si>
    <t>RTA Adjustment at GERRINGONG _ Amplification</t>
  </si>
  <si>
    <t>Renewal at GERRINGONG _ Amplification</t>
  </si>
  <si>
    <t>Ancillary pipework WP0313 Mt. Keira</t>
  </si>
  <si>
    <t>Mt Keira Res WS0075 &amp; WS0208 Inlet Main</t>
  </si>
  <si>
    <t>Farmborough Hts Res WS0320 Inlet Main from WT044</t>
  </si>
  <si>
    <t>Mt. Pleasant Inlet Main Amp.</t>
  </si>
  <si>
    <t>Kiama West Reservoir Inlet/Outlet Main</t>
  </si>
  <si>
    <t>To service areas in the Kiama &amp; Kiama West Reservoir Zones</t>
  </si>
  <si>
    <t>WP0345</t>
  </si>
  <si>
    <t>Amp. to service areas in the Mt. Pleasant Reservoir Zone</t>
  </si>
  <si>
    <t>WP0371</t>
  </si>
  <si>
    <t>WP0371 Main Process Infrastr</t>
  </si>
  <si>
    <t>WP0242 Mech Elect Upgrade</t>
  </si>
  <si>
    <t>WS0011</t>
  </si>
  <si>
    <t>BERKELEY ACCESS DRIVEWAY UPG</t>
  </si>
  <si>
    <t>WS0076</t>
  </si>
  <si>
    <t>WS0076 Road Work Upgrade</t>
  </si>
  <si>
    <t>WS0423</t>
  </si>
  <si>
    <t>To provide potable water to the areas of Kiama West</t>
  </si>
  <si>
    <t>Modify existing rising main from Upper Avon to Illawarra</t>
  </si>
  <si>
    <t>POST-1996 UNCOMMISSIONED ASSETS WITH A NEXUS TO THE SERVICE FOR WHICH THE MAXIMUM PRICE IS BEING CALCULATED</t>
  </si>
  <si>
    <t>Register of uncommissioned assets</t>
  </si>
  <si>
    <t>EQUIVALENT TENEMENTS (ETs) SINCE 1 JULY 1996 RELATING TO THE DSP UNDER CONSIDERATION</t>
  </si>
  <si>
    <t>ET consumption assumption (kL/year)</t>
  </si>
  <si>
    <t>Single dwelling</t>
  </si>
  <si>
    <t>Multi dwelling</t>
  </si>
  <si>
    <t>Non-residential</t>
  </si>
  <si>
    <t>Commercial</t>
  </si>
  <si>
    <t>Light industrial</t>
  </si>
  <si>
    <t>Non-res 4</t>
  </si>
  <si>
    <t>Non-res 5</t>
  </si>
  <si>
    <t>Non-res 6</t>
  </si>
  <si>
    <t>Non-res 7</t>
  </si>
  <si>
    <t>Non-res 8</t>
  </si>
  <si>
    <t>Consumption assumption</t>
  </si>
  <si>
    <t>kL/year/ property</t>
  </si>
  <si>
    <t>kL/hectare/year</t>
  </si>
  <si>
    <t>N/A</t>
  </si>
  <si>
    <t>kL/property/year</t>
  </si>
  <si>
    <t>Total new ETs in DSP area</t>
  </si>
  <si>
    <t>Annual take-up of single residential dwellings</t>
  </si>
  <si>
    <t>Annual take-up of multi-dwelling residential units</t>
  </si>
  <si>
    <t>Annual water consumption</t>
  </si>
  <si>
    <t>Do not delete section below - this is where the user can enter alternative consumption assumption options for non-residential customer groups.</t>
  </si>
  <si>
    <t>properties</t>
  </si>
  <si>
    <t>Total ETs by 1970</t>
  </si>
  <si>
    <t>hectares</t>
  </si>
  <si>
    <t>Total ETs at 31 Dec 1995</t>
  </si>
  <si>
    <t>Total ETs at end of review period</t>
  </si>
  <si>
    <t>The plural of the units will only affect headings.</t>
  </si>
  <si>
    <t>Utilisation factors</t>
  </si>
  <si>
    <t>ETs 1970 - 1995</t>
  </si>
  <si>
    <t>ETs 1996 - 2022</t>
  </si>
  <si>
    <t>Pre-1996 commissioned assets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</si>
  <si>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</si>
  <si>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</si>
  <si>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</si>
  <si>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1 Demand</t>
  </si>
  <si>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</si>
  <si>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</si>
  <si>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</si>
  <si>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</si>
  <si>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</si>
  <si>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</si>
  <si>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</si>
  <si>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</si>
  <si>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</si>
  <si>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</si>
  <si>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</si>
  <si>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</si>
  <si>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</si>
  <si>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</si>
  <si>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</si>
  <si>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</si>
  <si>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</si>
  <si>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</si>
  <si>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</si>
  <si>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Demand multiplier</t>
  </si>
  <si>
    <t>This is percentage of non-revenue water (eg leakage and unbilled) versus revenue water, an average of 30 years (refer to the file "Purchases forecasts 61,62")</t>
  </si>
  <si>
    <t>Operating Costs</t>
  </si>
  <si>
    <t>Demand and connection</t>
  </si>
  <si>
    <t>Revene ($, $2022-23)</t>
  </si>
  <si>
    <t>Core opex</t>
  </si>
  <si>
    <t>Water purchase ($)</t>
  </si>
  <si>
    <t>Ratios</t>
  </si>
  <si>
    <t>Transport fixed</t>
  </si>
  <si>
    <t>Transport variable</t>
  </si>
  <si>
    <t>Treatment fixed</t>
  </si>
  <si>
    <t>Treatment variable</t>
  </si>
  <si>
    <t>Water purchase fixed</t>
  </si>
  <si>
    <t>Water purchase variable</t>
  </si>
  <si>
    <t>Total opex</t>
  </si>
  <si>
    <t>Demand, kL</t>
  </si>
  <si>
    <t>20mm equivalent</t>
  </si>
  <si>
    <t>Usage revenue</t>
  </si>
  <si>
    <t>Service revenue</t>
  </si>
  <si>
    <t>Total revenue</t>
  </si>
  <si>
    <t>Fixed transport</t>
  </si>
  <si>
    <t>Variable transport</t>
  </si>
  <si>
    <t>Fixed treatment</t>
  </si>
  <si>
    <t>Variable treatment</t>
  </si>
  <si>
    <t>Fixed</t>
  </si>
  <si>
    <t>Variable</t>
  </si>
  <si>
    <t>System</t>
  </si>
  <si>
    <t>Growth</t>
  </si>
  <si>
    <t xml:space="preserve">Illawarra </t>
  </si>
  <si>
    <t>Note: the tariffs are determined non-drought prices without SDP and WNSW adjustments</t>
  </si>
  <si>
    <t>Note: SDP is allowance in 2020 Determination. This is consistant with tariffs without SDP adjustment</t>
  </si>
  <si>
    <t>'SCHEME COST ALLOCATION' : CALCULATIONS</t>
  </si>
  <si>
    <t>Please present, in this worksheet, the underlying high level data and analysis related to the generation of the scheme cost allocation per ET for the service for which this maximum price is being calculated.</t>
  </si>
  <si>
    <t>Please manually enter or link the calculated headwork cost per ET to cell</t>
  </si>
  <si>
    <t xml:space="preserve">Notes:  </t>
  </si>
  <si>
    <t>Please refer to the above link for guidance on calculating the scheme cost allocation amount.</t>
  </si>
  <si>
    <t>'HEADWORK ASSETS' : CALCULATIONS</t>
  </si>
  <si>
    <t>Please present, in this worksheet, the underlying high level data and analysis related to the generation of the Headworks cost per ET for the service for which this maximum price is being calculated.</t>
  </si>
  <si>
    <t>As explained in IPART's Report (Box 2.4, page 29) , headworks not owned by the agency should also be included in these calculations.</t>
  </si>
  <si>
    <t>Prospect Water Filtration Plant</t>
  </si>
  <si>
    <t>Headworks charge ($/kL)</t>
  </si>
  <si>
    <t>System ET consumption</t>
  </si>
  <si>
    <t>System headwork charge ($/ET)</t>
  </si>
  <si>
    <t>Warragamba Pipeline</t>
  </si>
  <si>
    <t>Prospect to Pipehead</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</si>
  <si>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</si>
  <si>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</si>
  <si>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</si>
  <si>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</si>
  <si>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</si>
  <si>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</si>
  <si>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</si>
  <si>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</si>
  <si>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</si>
  <si>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</si>
  <si>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</si>
  <si>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</si>
  <si>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</si>
  <si>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</si>
  <si>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</si>
  <si>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</si>
  <si>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</si>
  <si>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</si>
  <si>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</si>
  <si>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</si>
  <si>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</si>
  <si>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</si>
  <si>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Potts Hill</t>
  </si>
  <si>
    <t>Prospect East</t>
  </si>
  <si>
    <t>Prospect North</t>
  </si>
  <si>
    <t>Ryde</t>
  </si>
  <si>
    <t>Woronora</t>
  </si>
  <si>
    <t>Prospect South</t>
  </si>
  <si>
    <t>Cascade</t>
  </si>
  <si>
    <t>Orchard Hills</t>
  </si>
  <si>
    <t>Illawarra Drinking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</si>
</sst>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 numFmtId="175" formatCode="0.0"/>
    <numFmt numFmtId="176" formatCode="#,##0_ ;[Red]\-#,##0\ "/>
    <numFmt numFmtId="177" formatCode="_-* #,##0.0_-;\-* #,##0.0_-;_-* &quot;-&quot;??_-;_-@_-"/>
    <numFmt numFmtId="178" formatCode="_-* #,##0_-;\-* #,##0_-;_-* &quot;-&quot;??_-;_-@_-"/>
    <numFmt numFmtId="179" formatCode="0.0000"/>
    <numFmt numFmtId="180" formatCode="&quot;$&quot;#,##0.000;[Red]\-&quot;$&quot;#,##0.000"/>
    <numFmt numFmtId="181" formatCode="&quot;$&quot;#,##0.0;[Red]\-&quot;$&quot;#,##0.0"/>
  </numFmts>
  <fonts count="34"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b/>
      <u/>
      <sz val="9"/>
      <name val="Arial"/>
      <family val="2"/>
    </font>
    <font>
      <i/>
      <sz val="9"/>
      <color rgb="FFC00000"/>
      <name val="Arial"/>
      <family val="2"/>
    </font>
    <font>
      <i/>
      <sz val="9"/>
      <color theme="0" tint="-0.499984740745262"/>
      <name val="Arial"/>
      <family val="2"/>
    </font>
    <font>
      <sz val="9"/>
      <color theme="0"/>
      <name val="Arial"/>
      <family val="2"/>
    </font>
    <font>
      <sz val="10"/>
      <name val="Arial"/>
      <family val="2"/>
    </font>
    <font>
      <sz val="9"/>
      <color rgb="FFC00000"/>
      <name val="Arial"/>
      <family val="2"/>
    </font>
    <font>
      <sz val="8"/>
      <name val="Arial"/>
      <family val="2"/>
    </font>
    <font>
      <i/>
      <sz val="8"/>
      <color rgb="FFC00000"/>
      <name val="Arial"/>
      <family val="2"/>
    </font>
    <font>
      <b/>
      <sz val="10"/>
      <name val="Arial"/>
      <family val="2"/>
    </font>
    <font>
      <b/>
      <u/>
      <sz val="9"/>
      <color rgb="FFC00000"/>
      <name val="Arial"/>
      <family val="2"/>
    </font>
  </fonts>
  <fills count="17">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rgb="FF8FB8FB"/>
        <bgColor indexed="64"/>
      </patternFill>
    </fill>
    <fill>
      <patternFill patternType="solid">
        <fgColor rgb="FF6EA3FA"/>
        <bgColor indexed="64"/>
      </patternFill>
    </fill>
    <fill>
      <patternFill patternType="solid">
        <fgColor theme="4" tint="0.79998168889431442"/>
        <bgColor indexed="64"/>
      </patternFill>
    </fill>
  </fills>
  <borders count="40">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style="thin">
        <color theme="0" tint="-0.34998626667073579"/>
      </top>
      <bottom/>
      <diagonal/>
    </border>
    <border>
      <left/>
      <right/>
      <top/>
      <bottom style="thin">
        <color theme="0" tint="-0.3499862666707357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auto="1"/>
      </left>
      <right style="thin">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s>
  <cellStyleXfs count="21">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cellStyleXfs>
  <cellXfs count="309">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169" fontId="1" fillId="4" borderId="7" xfId="6" applyNumberFormat="1" applyBorder="1" applyAlignment="1">
      <alignment horizontal="center"/>
      <protection locked="0"/>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3" fontId="1" fillId="4" borderId="8"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70"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70"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70" fontId="0" fillId="0" borderId="6" xfId="0" applyNumberFormat="1" applyBorder="1"/>
    <xf numFmtId="170" fontId="0" fillId="0" borderId="8" xfId="0" applyNumberFormat="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71" fontId="1" fillId="10" borderId="6" xfId="13" applyNumberFormat="1" applyFill="1" applyBorder="1" applyAlignment="1">
      <alignment horizontal="center"/>
      <protection locked="0"/>
    </xf>
    <xf numFmtId="165" fontId="1" fillId="0" borderId="6" xfId="18" applyNumberFormat="1" applyFont="1" applyBorder="1" applyAlignment="1" applyProtection="1">
      <alignment horizontal="center"/>
      <protection locked="0"/>
    </xf>
    <xf numFmtId="165" fontId="1" fillId="0" borderId="7" xfId="18" applyNumberFormat="1" applyFont="1" applyBorder="1" applyAlignment="1" applyProtection="1">
      <alignment horizontal="center"/>
      <protection locked="0"/>
    </xf>
    <xf numFmtId="168" fontId="0" fillId="0" borderId="0" xfId="0" applyNumberFormat="1"/>
    <xf numFmtId="170"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0" fontId="19" fillId="0" borderId="0" xfId="0" applyFont="1" applyAlignment="1">
      <alignment wrapText="1"/>
    </xf>
    <xf numFmtId="165" fontId="1" fillId="0" borderId="8" xfId="18" applyNumberFormat="1" applyFont="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4" fontId="19" fillId="11" borderId="8" xfId="6" applyFont="1" applyFill="1" applyBorder="1" applyAlignment="1">
      <alignment horizontal="center" wrapText="1"/>
      <protection locked="0"/>
    </xf>
    <xf numFmtId="169" fontId="1" fillId="4" borderId="8" xfId="6" applyNumberFormat="1" applyBorder="1" applyAlignment="1">
      <alignment horizontal="center"/>
      <protection locked="0"/>
    </xf>
    <xf numFmtId="170" fontId="1" fillId="4" borderId="8" xfId="6" applyNumberFormat="1" applyBorder="1" applyAlignment="1">
      <alignment horizontal="center"/>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3" fontId="10" fillId="0" borderId="5" xfId="0" applyNumberFormat="1" applyFont="1" applyBorder="1" applyAlignment="1">
      <alignment horizontal="center"/>
    </xf>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Border="1"/>
    <xf numFmtId="4" fontId="1" fillId="4" borderId="5" xfId="6" applyBorder="1" applyAlignment="1">
      <protection locked="0"/>
    </xf>
    <xf numFmtId="0" fontId="0" fillId="0" borderId="20" xfId="0" applyBorder="1"/>
    <xf numFmtId="3" fontId="0" fillId="0" borderId="10" xfId="0" applyNumberFormat="1" applyBorder="1"/>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2" fillId="6" borderId="0" xfId="11" quotePrefix="1" applyFill="1"/>
    <xf numFmtId="172"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165" fontId="0" fillId="0" borderId="0" xfId="20" applyNumberFormat="1" applyFont="1"/>
    <xf numFmtId="175" fontId="0" fillId="0" borderId="0" xfId="0" applyNumberFormat="1"/>
    <xf numFmtId="165" fontId="0" fillId="0" borderId="0" xfId="0" applyNumberFormat="1"/>
    <xf numFmtId="0" fontId="24" fillId="0" borderId="0" xfId="0" applyFont="1"/>
    <xf numFmtId="3" fontId="1" fillId="4" borderId="5" xfId="6" applyNumberFormat="1" applyBorder="1" applyAlignment="1">
      <protection locked="0"/>
    </xf>
    <xf numFmtId="3" fontId="1" fillId="0" borderId="5" xfId="6" applyNumberFormat="1" applyFill="1" applyBorder="1" applyAlignment="1">
      <protection locked="0"/>
    </xf>
    <xf numFmtId="9" fontId="0" fillId="0" borderId="6" xfId="20" applyFont="1" applyFill="1" applyBorder="1" applyAlignment="1">
      <alignment horizontal="center"/>
    </xf>
    <xf numFmtId="9" fontId="0" fillId="0" borderId="7" xfId="20" applyFont="1" applyFill="1" applyBorder="1" applyAlignment="1">
      <alignment horizontal="center"/>
    </xf>
    <xf numFmtId="170" fontId="25" fillId="0" borderId="0" xfId="0" applyNumberFormat="1" applyFont="1"/>
    <xf numFmtId="170" fontId="26" fillId="0" borderId="22" xfId="0" applyNumberFormat="1" applyFont="1" applyBorder="1"/>
    <xf numFmtId="176" fontId="26" fillId="0" borderId="22" xfId="0" applyNumberFormat="1" applyFont="1" applyBorder="1"/>
    <xf numFmtId="0" fontId="26" fillId="0" borderId="0" xfId="0" applyFont="1"/>
    <xf numFmtId="176" fontId="26" fillId="0" borderId="0" xfId="0" applyNumberFormat="1" applyFont="1"/>
    <xf numFmtId="0" fontId="26" fillId="0" borderId="23" xfId="0" applyFont="1" applyBorder="1"/>
    <xf numFmtId="176" fontId="26" fillId="0" borderId="23" xfId="0" applyNumberFormat="1" applyFont="1" applyBorder="1"/>
    <xf numFmtId="0" fontId="26" fillId="0" borderId="0" xfId="0" applyFont="1" applyAlignment="1">
      <alignment horizontal="center"/>
    </xf>
    <xf numFmtId="177" fontId="26" fillId="0" borderId="0" xfId="1" applyNumberFormat="1" applyFont="1" applyFill="1" applyBorder="1"/>
    <xf numFmtId="43" fontId="26" fillId="0" borderId="0" xfId="1" applyFont="1" applyFill="1" applyBorder="1"/>
    <xf numFmtId="9" fontId="0" fillId="0" borderId="0" xfId="20" applyFont="1" applyFill="1" applyAlignment="1">
      <alignment horizontal="center"/>
    </xf>
    <xf numFmtId="0" fontId="1" fillId="4" borderId="6" xfId="6" applyNumberFormat="1" applyBorder="1" applyAlignment="1">
      <alignment horizontal="center"/>
      <protection locked="0"/>
    </xf>
    <xf numFmtId="0" fontId="1" fillId="4" borderId="7" xfId="6" applyNumberFormat="1" applyBorder="1" applyAlignment="1">
      <alignment horizontal="center"/>
      <protection locked="0"/>
    </xf>
    <xf numFmtId="9" fontId="0" fillId="13" borderId="5" xfId="20" applyFont="1" applyFill="1" applyBorder="1" applyAlignment="1">
      <alignment horizontal="center"/>
    </xf>
    <xf numFmtId="9" fontId="0" fillId="0" borderId="0" xfId="20" applyFont="1" applyAlignment="1">
      <alignment horizontal="center"/>
    </xf>
    <xf numFmtId="9" fontId="0" fillId="0" borderId="8" xfId="20" applyFont="1" applyFill="1" applyBorder="1" applyAlignment="1">
      <alignment horizontal="center"/>
    </xf>
    <xf numFmtId="0" fontId="14" fillId="6" borderId="0" xfId="14" applyNumberFormat="1" applyFill="1"/>
    <xf numFmtId="0" fontId="1" fillId="4" borderId="8" xfId="6" applyNumberFormat="1" applyBorder="1" applyAlignment="1">
      <alignment horizontal="center"/>
      <protection locked="0"/>
    </xf>
    <xf numFmtId="0" fontId="1" fillId="6" borderId="5" xfId="14" applyNumberFormat="1" applyFont="1" applyFill="1" applyBorder="1" applyAlignment="1">
      <alignment horizontal="center" wrapText="1"/>
    </xf>
    <xf numFmtId="176" fontId="0" fillId="0" borderId="0" xfId="0" applyNumberFormat="1"/>
    <xf numFmtId="165" fontId="0" fillId="0" borderId="5" xfId="0" applyNumberFormat="1" applyBorder="1" applyAlignment="1">
      <alignment horizontal="center"/>
    </xf>
    <xf numFmtId="176" fontId="1" fillId="4" borderId="6" xfId="6" applyNumberFormat="1" applyBorder="1" applyAlignment="1">
      <alignment horizontal="center"/>
      <protection locked="0"/>
    </xf>
    <xf numFmtId="176" fontId="1" fillId="4" borderId="7" xfId="6" applyNumberFormat="1" applyBorder="1" applyAlignment="1">
      <alignment horizontal="center"/>
      <protection locked="0"/>
    </xf>
    <xf numFmtId="176" fontId="0" fillId="0" borderId="6" xfId="0" applyNumberFormat="1" applyBorder="1" applyAlignment="1">
      <alignment horizontal="center"/>
    </xf>
    <xf numFmtId="176" fontId="0" fillId="0" borderId="0" xfId="0" applyNumberFormat="1" applyAlignment="1">
      <alignment horizontal="center"/>
    </xf>
    <xf numFmtId="176" fontId="0" fillId="0" borderId="7" xfId="0" applyNumberFormat="1" applyBorder="1" applyAlignment="1">
      <alignment horizontal="center"/>
    </xf>
    <xf numFmtId="176" fontId="1" fillId="4" borderId="15" xfId="6" applyNumberFormat="1" applyBorder="1" applyAlignment="1">
      <alignment horizontal="center"/>
      <protection locked="0"/>
    </xf>
    <xf numFmtId="3" fontId="1" fillId="4" borderId="17" xfId="6" applyNumberFormat="1" applyBorder="1" applyAlignment="1">
      <protection locked="0"/>
    </xf>
    <xf numFmtId="0" fontId="0" fillId="0" borderId="2" xfId="0" applyBorder="1" applyAlignment="1">
      <alignment horizontal="right"/>
    </xf>
    <xf numFmtId="176" fontId="0" fillId="0" borderId="8" xfId="0" applyNumberFormat="1" applyBorder="1" applyAlignment="1">
      <alignment horizontal="center"/>
    </xf>
    <xf numFmtId="176" fontId="0" fillId="0" borderId="2" xfId="0" applyNumberFormat="1" applyBorder="1" applyAlignment="1">
      <alignment horizontal="center"/>
    </xf>
    <xf numFmtId="176" fontId="1" fillId="4" borderId="8" xfId="6" applyNumberFormat="1" applyBorder="1" applyAlignment="1">
      <alignment horizontal="center"/>
      <protection locked="0"/>
    </xf>
    <xf numFmtId="0" fontId="28" fillId="0" borderId="0" xfId="0" applyFont="1"/>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28" fillId="0" borderId="0" xfId="0" applyFont="1" applyAlignment="1">
      <alignment horizontal="center"/>
    </xf>
    <xf numFmtId="176" fontId="0" fillId="14" borderId="32" xfId="0" applyNumberFormat="1" applyFill="1" applyBorder="1" applyAlignment="1">
      <alignment horizontal="center"/>
    </xf>
    <xf numFmtId="176" fontId="0" fillId="14" borderId="33" xfId="0" applyNumberFormat="1" applyFill="1" applyBorder="1" applyAlignment="1">
      <alignment horizontal="center"/>
    </xf>
    <xf numFmtId="6" fontId="0" fillId="0" borderId="34" xfId="0" applyNumberFormat="1" applyBorder="1" applyAlignment="1">
      <alignment horizontal="center"/>
    </xf>
    <xf numFmtId="6" fontId="0" fillId="0" borderId="30" xfId="0" applyNumberFormat="1" applyBorder="1" applyAlignment="1">
      <alignment horizontal="center"/>
    </xf>
    <xf numFmtId="0" fontId="0" fillId="6" borderId="0" xfId="0" applyFill="1" applyAlignment="1">
      <alignment horizontal="centerContinuous"/>
    </xf>
    <xf numFmtId="178" fontId="0" fillId="0" borderId="0" xfId="1" applyNumberFormat="1" applyFont="1"/>
    <xf numFmtId="179" fontId="0" fillId="0" borderId="0" xfId="0" applyNumberFormat="1" applyAlignment="1">
      <alignment horizontal="center"/>
    </xf>
    <xf numFmtId="10" fontId="0" fillId="0" borderId="0" xfId="20" applyNumberFormat="1" applyFont="1" applyAlignment="1">
      <alignment horizontal="center"/>
    </xf>
    <xf numFmtId="165" fontId="0" fillId="0" borderId="0" xfId="20" applyNumberFormat="1" applyFont="1" applyAlignment="1">
      <alignment horizontal="center"/>
    </xf>
    <xf numFmtId="6" fontId="0" fillId="0" borderId="0" xfId="0" applyNumberFormat="1" applyAlignment="1">
      <alignment horizontal="center"/>
    </xf>
    <xf numFmtId="0" fontId="10" fillId="0" borderId="36" xfId="0" applyFont="1" applyBorder="1"/>
    <xf numFmtId="0" fontId="0" fillId="0" borderId="36" xfId="0" applyBorder="1" applyAlignment="1">
      <alignment horizontal="center"/>
    </xf>
    <xf numFmtId="180" fontId="1" fillId="4" borderId="5" xfId="6" applyNumberFormat="1" applyBorder="1" applyAlignment="1">
      <alignment horizontal="center" wrapText="1"/>
      <protection locked="0"/>
    </xf>
    <xf numFmtId="173" fontId="1" fillId="4" borderId="5" xfId="6" applyNumberFormat="1" applyBorder="1" applyAlignment="1">
      <alignment horizontal="center" wrapText="1"/>
      <protection locked="0"/>
    </xf>
    <xf numFmtId="166" fontId="1" fillId="4" borderId="5" xfId="6" applyNumberFormat="1" applyBorder="1" applyAlignment="1">
      <alignment horizontal="center" wrapText="1"/>
      <protection locked="0"/>
    </xf>
    <xf numFmtId="181" fontId="1" fillId="0" borderId="5" xfId="6" applyNumberFormat="1" applyFill="1" applyBorder="1" applyAlignment="1">
      <alignment horizontal="center" wrapText="1"/>
      <protection locked="0"/>
    </xf>
    <xf numFmtId="166" fontId="1" fillId="4" borderId="5" xfId="6" applyNumberFormat="1" applyBorder="1" applyAlignment="1">
      <alignment horizontal="center"/>
      <protection locked="0"/>
    </xf>
    <xf numFmtId="166" fontId="1" fillId="10" borderId="5" xfId="6" applyNumberFormat="1" applyFill="1" applyBorder="1" applyAlignment="1">
      <alignment horizontal="center"/>
      <protection locked="0"/>
    </xf>
    <xf numFmtId="0" fontId="27" fillId="0" borderId="0" xfId="0" applyFont="1"/>
    <xf numFmtId="176" fontId="0" fillId="14" borderId="31" xfId="0" applyNumberFormat="1" applyFill="1" applyBorder="1" applyAlignment="1">
      <alignment horizontal="center"/>
    </xf>
    <xf numFmtId="176" fontId="0" fillId="14" borderId="27" xfId="0" applyNumberFormat="1" applyFill="1" applyBorder="1" applyAlignment="1">
      <alignment horizontal="center"/>
    </xf>
    <xf numFmtId="0" fontId="29" fillId="0" borderId="0" xfId="0" applyFont="1"/>
    <xf numFmtId="0" fontId="28" fillId="0" borderId="0" xfId="0" applyFont="1" applyAlignment="1">
      <alignment horizontal="right"/>
    </xf>
    <xf numFmtId="178" fontId="0" fillId="0" borderId="0" xfId="1" applyNumberFormat="1" applyFont="1" applyBorder="1"/>
    <xf numFmtId="0" fontId="10" fillId="0" borderId="0" xfId="0" applyFont="1" applyAlignment="1">
      <alignment horizontal="right"/>
    </xf>
    <xf numFmtId="0" fontId="28" fillId="0" borderId="38" xfId="0" applyFont="1" applyBorder="1"/>
    <xf numFmtId="0" fontId="28" fillId="0" borderId="38" xfId="0" applyFont="1" applyBorder="1" applyAlignment="1">
      <alignment horizontal="center"/>
    </xf>
    <xf numFmtId="176" fontId="1" fillId="4" borderId="17" xfId="6" applyNumberFormat="1" applyBorder="1" applyAlignment="1">
      <alignment horizontal="center"/>
      <protection locked="0"/>
    </xf>
    <xf numFmtId="176" fontId="1" fillId="4" borderId="18" xfId="6" applyNumberFormat="1" applyBorder="1" applyAlignment="1">
      <alignment horizontal="center"/>
      <protection locked="0"/>
    </xf>
    <xf numFmtId="176" fontId="0" fillId="14" borderId="37" xfId="0" applyNumberFormat="1" applyFill="1" applyBorder="1" applyAlignment="1">
      <alignment horizontal="center"/>
    </xf>
    <xf numFmtId="165" fontId="0" fillId="6" borderId="5" xfId="0" applyNumberFormat="1" applyFill="1" applyBorder="1" applyAlignment="1">
      <alignment horizontal="center" wrapText="1"/>
    </xf>
    <xf numFmtId="3" fontId="0" fillId="0" borderId="2" xfId="0" applyNumberFormat="1" applyBorder="1"/>
    <xf numFmtId="0" fontId="33" fillId="0" borderId="0" xfId="0" applyFont="1"/>
    <xf numFmtId="0" fontId="32" fillId="15" borderId="5" xfId="0" applyFont="1" applyFill="1" applyBorder="1"/>
    <xf numFmtId="2" fontId="0" fillId="0" borderId="0" xfId="0" applyNumberFormat="1" applyAlignment="1">
      <alignment horizontal="center"/>
    </xf>
    <xf numFmtId="10" fontId="0" fillId="0" borderId="0" xfId="0" applyNumberFormat="1" applyAlignment="1">
      <alignment horizontal="center"/>
    </xf>
    <xf numFmtId="6" fontId="0" fillId="14" borderId="31" xfId="0" applyNumberFormat="1" applyFill="1" applyBorder="1" applyAlignment="1">
      <alignment horizontal="center"/>
    </xf>
    <xf numFmtId="6" fontId="0" fillId="14" borderId="7" xfId="0" applyNumberFormat="1" applyFill="1" applyBorder="1" applyAlignment="1">
      <alignment horizontal="center"/>
    </xf>
    <xf numFmtId="6" fontId="0" fillId="14" borderId="27" xfId="0" applyNumberFormat="1" applyFill="1" applyBorder="1" applyAlignment="1">
      <alignment horizontal="center"/>
    </xf>
    <xf numFmtId="6" fontId="0" fillId="14" borderId="35" xfId="0" applyNumberFormat="1" applyFill="1" applyBorder="1" applyAlignment="1">
      <alignment horizontal="center"/>
    </xf>
    <xf numFmtId="178" fontId="0" fillId="16" borderId="0" xfId="1" applyNumberFormat="1" applyFont="1" applyFill="1"/>
    <xf numFmtId="179" fontId="0" fillId="16" borderId="0" xfId="0" applyNumberFormat="1" applyFill="1" applyAlignment="1">
      <alignment horizontal="center"/>
    </xf>
    <xf numFmtId="178" fontId="0" fillId="14" borderId="0" xfId="1" applyNumberFormat="1" applyFont="1" applyFill="1"/>
    <xf numFmtId="179" fontId="0" fillId="14" borderId="0" xfId="0" applyNumberFormat="1" applyFill="1" applyAlignment="1">
      <alignment horizontal="center"/>
    </xf>
    <xf numFmtId="10" fontId="0" fillId="14" borderId="0" xfId="20" applyNumberFormat="1" applyFont="1" applyFill="1" applyAlignment="1">
      <alignment horizontal="center"/>
    </xf>
    <xf numFmtId="0" fontId="28" fillId="0" borderId="39" xfId="0" applyFont="1" applyBorder="1" applyAlignment="1">
      <alignment horizontal="center"/>
    </xf>
    <xf numFmtId="43" fontId="0" fillId="14" borderId="0" xfId="1" applyFont="1" applyFill="1"/>
    <xf numFmtId="43" fontId="0" fillId="14" borderId="0" xfId="1" applyFont="1" applyFill="1" applyBorder="1"/>
    <xf numFmtId="165" fontId="0" fillId="0" borderId="5" xfId="20" applyNumberFormat="1" applyFont="1" applyBorder="1"/>
    <xf numFmtId="4" fontId="5" fillId="9" borderId="5" xfId="9" applyNumberFormat="1" applyFill="1" applyBorder="1"/>
    <xf numFmtId="4" fontId="5" fillId="5" borderId="20" xfId="9" applyNumberFormat="1" applyBorder="1"/>
    <xf numFmtId="4" fontId="5" fillId="9" borderId="10" xfId="9" applyNumberFormat="1" applyFill="1" applyBorder="1"/>
    <xf numFmtId="0" fontId="26" fillId="0" borderId="0" xfId="0" applyFont="1" applyBorder="1" applyAlignment="1">
      <alignment horizontal="center"/>
    </xf>
    <xf numFmtId="176" fontId="26" fillId="0" borderId="0" xfId="0" applyNumberFormat="1" applyFont="1" applyBorder="1"/>
    <xf numFmtId="0" fontId="26" fillId="0" borderId="0" xfId="0" applyFont="1" applyBorder="1"/>
    <xf numFmtId="0" fontId="0" fillId="0" borderId="0" xfId="0" applyBorder="1"/>
    <xf numFmtId="0" fontId="0" fillId="0" borderId="0" xfId="0" applyFill="1" applyBorder="1"/>
    <xf numFmtId="0" fontId="0" fillId="0" borderId="0" xfId="0" applyFill="1" applyBorder="1" applyAlignment="1">
      <alignment horizontal="center" wrapText="1"/>
    </xf>
    <xf numFmtId="0" fontId="31" fillId="0" borderId="0" xfId="0" applyFont="1" applyFill="1" applyBorder="1"/>
    <xf numFmtId="0" fontId="30" fillId="0" borderId="0" xfId="0" applyFont="1" applyFill="1" applyBorder="1"/>
    <xf numFmtId="176" fontId="0" fillId="0" borderId="0" xfId="0" applyNumberFormat="1" applyFill="1" applyBorder="1"/>
    <xf numFmtId="176" fontId="30" fillId="0" borderId="0" xfId="0" applyNumberFormat="1" applyFont="1" applyFill="1" applyBorder="1"/>
    <xf numFmtId="0" fontId="0" fillId="0" borderId="0" xfId="0" applyAlignment="1">
      <alignment wrapText="1"/>
    </xf>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28" fillId="0" borderId="2" xfId="0" applyFont="1" applyBorder="1" applyAlignment="1">
      <alignment horizontal="center"/>
    </xf>
    <xf numFmtId="0" fontId="0" fillId="0" borderId="2" xfId="0" applyBorder="1" applyAlignment="1">
      <alignment horizontal="center"/>
    </xf>
  </cellXfs>
  <cellStyles count="21">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Percent" xfId="20" builtinId="5"/>
    <cellStyle name="Percent 2" xfId="18" xr:uid="{00000000-0005-0000-0000-000011000000}"/>
    <cellStyle name="Percent 2 2" xfId="19" xr:uid="{00000000-0005-0000-0000-000012000000}"/>
    <cellStyle name="QA" xfId="14" xr:uid="{00000000-0005-0000-0000-000013000000}"/>
  </cellStyles>
  <dxfs count="16">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color theme="8" tint="-0.24994659260841701"/>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8FB8FB"/>
      <color rgb="FFFF9933"/>
      <color rgb="FFDDDDDD"/>
      <color rgb="FFFFFFCC"/>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1992187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75" t="s">
        <v>4</v>
      </c>
      <c r="F6" s="8"/>
      <c r="G6" s="8"/>
      <c r="I6" s="8"/>
    </row>
    <row r="8" spans="3:9" ht="15.9" customHeight="1" x14ac:dyDescent="0.25">
      <c r="C8" s="7"/>
      <c r="D8" s="7"/>
      <c r="E8" s="7"/>
      <c r="F8" s="8"/>
      <c r="G8" s="8"/>
    </row>
    <row r="10" spans="3:9" ht="14" x14ac:dyDescent="0.3">
      <c r="C10" s="10" t="s">
        <v>5</v>
      </c>
      <c r="D10" s="10"/>
      <c r="E10" s="11"/>
    </row>
    <row r="12" spans="3:9" ht="27.15" customHeight="1" x14ac:dyDescent="0.25">
      <c r="C12" s="298" t="s">
        <v>6</v>
      </c>
      <c r="D12" s="298"/>
      <c r="E12" s="298"/>
      <c r="F12" s="8"/>
      <c r="G12" s="8"/>
      <c r="I12" s="8"/>
    </row>
    <row r="13" spans="3:9" x14ac:dyDescent="0.25">
      <c r="C13" s="41"/>
      <c r="D13" s="41"/>
      <c r="E13" s="41"/>
      <c r="F13" s="8"/>
      <c r="G13" s="8"/>
      <c r="I13" s="8"/>
    </row>
    <row r="14" spans="3:9" ht="35.4" customHeight="1" x14ac:dyDescent="0.25">
      <c r="C14" s="298" t="s">
        <v>7</v>
      </c>
      <c r="D14" s="298"/>
      <c r="E14" s="298"/>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65" customHeight="1" x14ac:dyDescent="0.25">
      <c r="C18" s="298"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98"/>
      <c r="E18" s="298"/>
      <c r="F18" s="8"/>
      <c r="G18" s="8"/>
      <c r="I18" s="8"/>
    </row>
    <row r="19" spans="2:9" ht="6" customHeight="1" x14ac:dyDescent="0.25">
      <c r="D19" s="12"/>
      <c r="E19" s="8"/>
      <c r="F19" s="8"/>
      <c r="G19" s="8"/>
      <c r="I19" s="8"/>
    </row>
    <row r="20" spans="2:9" ht="37.65" customHeight="1" x14ac:dyDescent="0.25">
      <c r="B20" s="123"/>
      <c r="C20" s="298"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98"/>
      <c r="E20" s="298"/>
      <c r="F20" s="8"/>
      <c r="G20" s="8"/>
      <c r="I20" s="8"/>
    </row>
    <row r="21" spans="2:9" x14ac:dyDescent="0.25">
      <c r="B21" s="123"/>
      <c r="C21" s="41"/>
      <c r="D21" s="41"/>
      <c r="E21" s="41"/>
      <c r="F21" s="8"/>
      <c r="G21" s="8"/>
      <c r="I21" s="8"/>
    </row>
    <row r="22" spans="2:9" ht="14" x14ac:dyDescent="0.3">
      <c r="B22" s="123"/>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99" t="s">
        <v>11</v>
      </c>
      <c r="D26" s="299"/>
      <c r="E26" s="299"/>
      <c r="F26" s="8"/>
      <c r="G26" s="8"/>
      <c r="H26" s="8"/>
      <c r="I26" s="8"/>
    </row>
    <row r="27" spans="2:9" ht="6" customHeight="1" x14ac:dyDescent="0.25">
      <c r="D27" s="12"/>
      <c r="E27" s="8"/>
      <c r="F27" s="8"/>
      <c r="G27" s="8"/>
      <c r="H27" s="8"/>
      <c r="I27" s="8"/>
    </row>
    <row r="28" spans="2:9" ht="15" customHeight="1" x14ac:dyDescent="0.25">
      <c r="C28" s="124" t="s">
        <v>12</v>
      </c>
      <c r="D28" s="76" t="str">
        <f ca="1">MID(CELL("filename",'General inputs'!$A$1),FIND("]",CELL("filename",'General inputs'!$A$1))+1,255)</f>
        <v>General inputs</v>
      </c>
      <c r="E28" s="8"/>
      <c r="F28" s="8"/>
      <c r="G28" s="8"/>
      <c r="H28" s="8"/>
      <c r="I28" s="8"/>
    </row>
    <row r="29" spans="2:9" ht="15" customHeight="1" x14ac:dyDescent="0.25">
      <c r="C29" s="124" t="s">
        <v>12</v>
      </c>
      <c r="D29" s="8" t="str">
        <f ca="1">MID(CELL("filename",'Pre-1996 assets'!$A$1),FIND("]",CELL("filename",'Pre-1996 assets'!$A$1))+1,255)</f>
        <v>Pre-1996 assets</v>
      </c>
      <c r="E29" s="8"/>
      <c r="F29" s="8"/>
      <c r="G29" s="8"/>
      <c r="H29" s="8"/>
      <c r="I29" s="8"/>
    </row>
    <row r="30" spans="2:9" ht="15" customHeight="1" x14ac:dyDescent="0.25">
      <c r="C30" s="124" t="s">
        <v>12</v>
      </c>
      <c r="D30" s="8" t="str">
        <f ca="1">MID(CELL("filename",'Post-1996 commissioned assets'!$A$1),FIND("]",CELL("filename",'Post-1996 commissioned assets'!$A$1))+1,255)</f>
        <v>Post-1996 commissioned assets</v>
      </c>
      <c r="E30" s="8"/>
      <c r="F30" s="8"/>
      <c r="G30" s="8"/>
      <c r="H30" s="8"/>
      <c r="I30" s="8"/>
    </row>
    <row r="31" spans="2:9" ht="15" customHeight="1" x14ac:dyDescent="0.25">
      <c r="C31" s="124" t="s">
        <v>12</v>
      </c>
      <c r="D31" s="8" t="str">
        <f ca="1">MID(CELL("filename",'Uncommissioned assets'!$A$1),FIND("]",CELL("filename",'Uncommissioned assets'!$A$1))+1,255)</f>
        <v>Uncommissioned assets</v>
      </c>
      <c r="E31" s="8"/>
      <c r="F31" s="8"/>
      <c r="G31" s="8"/>
      <c r="H31" s="8"/>
      <c r="I31" s="8"/>
    </row>
    <row r="32" spans="2:9" ht="15" customHeight="1" x14ac:dyDescent="0.25">
      <c r="C32" s="124"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41"/>
      <c r="D35" s="41"/>
      <c r="E35" s="41"/>
      <c r="F35" s="8"/>
      <c r="G35" s="8"/>
      <c r="H35" s="8"/>
      <c r="I35" s="8"/>
    </row>
    <row r="36" spans="3:9" ht="15" customHeight="1" x14ac:dyDescent="0.25">
      <c r="C36" s="298" t="s">
        <v>14</v>
      </c>
      <c r="D36" s="298"/>
      <c r="E36" s="298"/>
      <c r="F36" s="8"/>
      <c r="G36" s="8"/>
      <c r="H36" s="8"/>
      <c r="I36" s="8"/>
    </row>
    <row r="37" spans="3:9" ht="6" customHeight="1" x14ac:dyDescent="0.25">
      <c r="D37" s="12"/>
      <c r="E37" s="8"/>
      <c r="F37" s="8"/>
      <c r="G37" s="8"/>
      <c r="H37" s="8"/>
      <c r="I37" s="8"/>
    </row>
    <row r="38" spans="3:9" ht="15" customHeight="1" x14ac:dyDescent="0.25">
      <c r="C38" s="125"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98"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98"/>
      <c r="E40" s="298"/>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98" t="s">
        <v>16</v>
      </c>
      <c r="D46" s="298"/>
      <c r="E46" s="298"/>
      <c r="F46" s="8"/>
      <c r="G46" s="8"/>
      <c r="H46" s="8"/>
      <c r="I46" s="8"/>
    </row>
    <row r="47" spans="3:9" ht="6" customHeight="1" x14ac:dyDescent="0.25">
      <c r="C47" s="41"/>
      <c r="D47" s="41"/>
      <c r="E47" s="41"/>
      <c r="F47" s="8"/>
      <c r="G47" s="8"/>
      <c r="H47" s="8"/>
      <c r="I47" s="8"/>
    </row>
    <row r="48" spans="3:9" ht="15" customHeight="1" x14ac:dyDescent="0.25">
      <c r="C48" s="125" t="s">
        <v>12</v>
      </c>
      <c r="D48" s="8" t="str">
        <f ca="1">MID(CELL("filename",'Headwork assets'!$A$1),FIND("]",CELL("filename",'Headwork assets'!$A$1))+1,255)</f>
        <v>Headwork assets</v>
      </c>
      <c r="E48" s="8"/>
      <c r="F48" s="8"/>
      <c r="G48" s="8"/>
      <c r="H48" s="8"/>
      <c r="I48" s="8"/>
    </row>
    <row r="49" spans="3:9" ht="6" customHeight="1" x14ac:dyDescent="0.25">
      <c r="C49" s="125"/>
      <c r="D49" s="8"/>
      <c r="E49" s="8"/>
      <c r="F49" s="8"/>
      <c r="G49" s="8"/>
      <c r="H49" s="8"/>
      <c r="I49" s="8"/>
    </row>
    <row r="50" spans="3:9" ht="15" customHeight="1" x14ac:dyDescent="0.25">
      <c r="C50" s="299" t="s">
        <v>17</v>
      </c>
      <c r="D50" s="299"/>
      <c r="E50" s="299"/>
      <c r="F50" s="8"/>
      <c r="G50" s="8"/>
      <c r="H50" s="8"/>
      <c r="I50" s="8"/>
    </row>
    <row r="51" spans="3:9" ht="6" customHeight="1" x14ac:dyDescent="0.25">
      <c r="F51" s="8"/>
      <c r="G51" s="8"/>
      <c r="H51" s="8"/>
      <c r="I51" s="8"/>
    </row>
    <row r="52" spans="3:9" ht="24" customHeight="1" x14ac:dyDescent="0.25">
      <c r="C52" s="298" t="s">
        <v>18</v>
      </c>
      <c r="D52" s="298"/>
      <c r="E52" s="298"/>
      <c r="F52" s="8"/>
      <c r="G52" s="8"/>
      <c r="H52" s="8"/>
      <c r="I52" s="8"/>
    </row>
    <row r="53" spans="3:9" ht="15" customHeight="1" x14ac:dyDescent="0.25">
      <c r="C53" s="41"/>
      <c r="D53" s="41"/>
      <c r="E53" s="41"/>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41"/>
      <c r="E54" s="41"/>
      <c r="F54" s="8"/>
      <c r="G54" s="8"/>
      <c r="H54" s="8"/>
      <c r="I54" s="8"/>
    </row>
    <row r="55" spans="3:9" ht="15" customHeight="1" x14ac:dyDescent="0.25">
      <c r="C55" s="41"/>
      <c r="D55" s="41"/>
      <c r="E55" s="41"/>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98" t="s">
        <v>20</v>
      </c>
      <c r="D58" s="298"/>
      <c r="E58" s="298"/>
      <c r="F58" s="8"/>
      <c r="G58" s="8"/>
      <c r="H58" s="8"/>
      <c r="I58" s="8"/>
    </row>
    <row r="59" spans="3:9" ht="6" customHeight="1" x14ac:dyDescent="0.25">
      <c r="C59" s="41"/>
      <c r="D59" s="41"/>
      <c r="E59" s="41"/>
      <c r="F59" s="8"/>
      <c r="G59" s="8"/>
      <c r="H59" s="8"/>
      <c r="I59" s="8"/>
    </row>
    <row r="60" spans="3:9" ht="15" customHeight="1" x14ac:dyDescent="0.25">
      <c r="C60" s="125" t="s">
        <v>12</v>
      </c>
      <c r="D60" s="8" t="str">
        <f ca="1">MID(CELL("filename",'Scheme cost allocation'!$A$1),FIND("]",CELL("filename",'Scheme cost allocation'!$A$1))+1,255)</f>
        <v>Scheme cost allocation</v>
      </c>
      <c r="E60" s="8"/>
      <c r="F60" s="8"/>
      <c r="G60" s="8"/>
      <c r="H60" s="8"/>
      <c r="I60" s="8"/>
    </row>
    <row r="61" spans="3:9" ht="6" customHeight="1" x14ac:dyDescent="0.25">
      <c r="C61" s="125"/>
      <c r="D61" s="8"/>
      <c r="E61" s="8"/>
      <c r="F61" s="8"/>
      <c r="G61" s="8"/>
      <c r="H61" s="8"/>
      <c r="I61" s="8"/>
    </row>
    <row r="62" spans="3:9" ht="15" customHeight="1" x14ac:dyDescent="0.25">
      <c r="C62" s="299" t="s">
        <v>21</v>
      </c>
      <c r="D62" s="299"/>
      <c r="E62" s="299"/>
      <c r="F62" s="8"/>
      <c r="G62" s="8"/>
      <c r="H62" s="8"/>
      <c r="I62" s="8"/>
    </row>
    <row r="63" spans="3:9" ht="6" customHeight="1" x14ac:dyDescent="0.25">
      <c r="F63" s="8"/>
      <c r="G63" s="8"/>
      <c r="H63" s="8"/>
      <c r="I63" s="8"/>
    </row>
    <row r="64" spans="3:9" ht="24" customHeight="1" x14ac:dyDescent="0.25">
      <c r="C64" s="298" t="s">
        <v>18</v>
      </c>
      <c r="D64" s="298"/>
      <c r="E64" s="298"/>
      <c r="F64" s="8"/>
      <c r="G64" s="8"/>
      <c r="H64" s="8"/>
      <c r="I64" s="8"/>
    </row>
    <row r="65" spans="3:9" ht="6" customHeight="1" x14ac:dyDescent="0.25">
      <c r="C65" s="41"/>
      <c r="D65" s="41"/>
      <c r="E65" s="41"/>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41"/>
      <c r="E66" s="41"/>
      <c r="F66" s="8"/>
      <c r="G66" s="8"/>
      <c r="H66" s="8"/>
      <c r="I66" s="8"/>
    </row>
    <row r="67" spans="3:9" ht="15" customHeight="1" x14ac:dyDescent="0.25">
      <c r="C67" s="41"/>
      <c r="D67" s="41"/>
      <c r="E67" s="41"/>
      <c r="F67" s="8"/>
      <c r="G67" s="8"/>
      <c r="H67" s="8"/>
      <c r="I67" s="8"/>
    </row>
    <row r="68" spans="3:9" ht="15" customHeight="1" x14ac:dyDescent="0.25">
      <c r="C68" s="6" t="s">
        <v>22</v>
      </c>
      <c r="D68" s="6"/>
      <c r="E68" s="126"/>
      <c r="F68" s="8"/>
      <c r="G68" s="8"/>
      <c r="H68" s="8"/>
      <c r="I68" s="8"/>
    </row>
    <row r="69" spans="3:9" ht="6" customHeight="1" x14ac:dyDescent="0.25">
      <c r="C69" s="6"/>
      <c r="D69" s="6"/>
      <c r="E69" s="126"/>
      <c r="F69" s="8"/>
      <c r="G69" s="8"/>
      <c r="H69" s="8"/>
      <c r="I69" s="8"/>
    </row>
    <row r="70" spans="3:9" ht="15" customHeight="1" x14ac:dyDescent="0.25">
      <c r="C70" s="4" t="s">
        <v>23</v>
      </c>
      <c r="D70" s="6"/>
      <c r="E70" s="126"/>
      <c r="F70" s="8"/>
      <c r="G70" s="8"/>
      <c r="H70" s="8"/>
      <c r="I70" s="8"/>
    </row>
    <row r="71" spans="3:9" ht="6" customHeight="1" x14ac:dyDescent="0.25">
      <c r="C71" s="4"/>
      <c r="D71" s="6"/>
      <c r="E71" s="126"/>
      <c r="F71" s="8"/>
      <c r="G71" s="8"/>
      <c r="H71" s="8"/>
      <c r="I71" s="8"/>
    </row>
    <row r="72" spans="3:9" x14ac:dyDescent="0.25">
      <c r="C72" s="125" t="s">
        <v>12</v>
      </c>
      <c r="D72" s="76" t="str">
        <f ca="1">MID(CELL("filename",'MP Calculations'!A8),FIND("]",CELL("filename",'MP Calculations'!A8))+1,255)</f>
        <v>MP Calculations</v>
      </c>
      <c r="E72" s="126"/>
      <c r="F72" s="8"/>
      <c r="G72" s="8"/>
      <c r="H72" s="8"/>
      <c r="I72" s="8"/>
    </row>
    <row r="73" spans="3:9" x14ac:dyDescent="0.25">
      <c r="C73" s="125" t="s">
        <v>12</v>
      </c>
      <c r="D73" s="76" t="str">
        <f ca="1">MID(CELL("filename",'Summary of result'!A11),FIND("]",CELL("filename",'Summary of result'!A11))+1,255)</f>
        <v>Summary of result</v>
      </c>
      <c r="E73" s="126"/>
      <c r="F73" s="8"/>
      <c r="G73" s="8"/>
      <c r="H73" s="8"/>
      <c r="I73" s="8"/>
    </row>
    <row r="74" spans="3:9" ht="6" customHeight="1" x14ac:dyDescent="0.25">
      <c r="C74" s="125"/>
      <c r="D74" s="76"/>
      <c r="E74" s="126"/>
      <c r="F74" s="8"/>
      <c r="G74" s="8"/>
      <c r="H74" s="8"/>
      <c r="I74" s="8"/>
    </row>
    <row r="75" spans="3:9" x14ac:dyDescent="0.25">
      <c r="C75" s="298" t="s">
        <v>24</v>
      </c>
      <c r="D75" s="298"/>
      <c r="E75" s="298"/>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125" t="s">
        <v>12</v>
      </c>
      <c r="D81" s="76"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126" t="s">
        <v>27</v>
      </c>
      <c r="D83" s="12"/>
      <c r="E83" s="8"/>
      <c r="F83" s="8"/>
      <c r="G83" s="8"/>
      <c r="H83" s="8"/>
      <c r="I83" s="8"/>
    </row>
    <row r="84" spans="3:9" ht="15" customHeight="1" x14ac:dyDescent="0.25">
      <c r="C84" s="125" t="s">
        <v>12</v>
      </c>
      <c r="D84" s="129" t="s">
        <v>28</v>
      </c>
      <c r="F84" s="8"/>
      <c r="G84" s="8"/>
      <c r="H84" s="8"/>
      <c r="I84" s="8"/>
    </row>
    <row r="85" spans="3:9" ht="15" customHeight="1" x14ac:dyDescent="0.25">
      <c r="C85" s="125" t="s">
        <v>12</v>
      </c>
      <c r="D85" s="188" t="s">
        <v>29</v>
      </c>
      <c r="F85" s="8"/>
      <c r="G85" s="8"/>
      <c r="H85" s="8"/>
      <c r="I85" s="8"/>
    </row>
    <row r="86" spans="3:9" ht="15" customHeight="1" x14ac:dyDescent="0.25">
      <c r="C86" s="125"/>
      <c r="D86" s="188"/>
      <c r="F86" s="8"/>
      <c r="G86" s="8"/>
      <c r="H86" s="8"/>
      <c r="I86" s="8"/>
    </row>
    <row r="87" spans="3:9" ht="15" customHeight="1" x14ac:dyDescent="0.25">
      <c r="C87" s="8" t="s">
        <v>30</v>
      </c>
      <c r="D87" s="188"/>
      <c r="F87" s="8"/>
      <c r="G87" s="8"/>
      <c r="H87" s="8"/>
      <c r="I87" s="8"/>
    </row>
    <row r="88" spans="3:9" ht="15" customHeight="1" x14ac:dyDescent="0.25">
      <c r="C88" s="8"/>
      <c r="D88" s="188"/>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111" t="s">
        <v>36</v>
      </c>
      <c r="D95" s="112"/>
      <c r="E95" s="112"/>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3:AR70"/>
  <sheetViews>
    <sheetView showGridLines="0" zoomScale="55" zoomScaleNormal="55" workbookViewId="0"/>
  </sheetViews>
  <sheetFormatPr defaultRowHeight="11.5" outlineLevelRow="1" x14ac:dyDescent="0.25"/>
  <cols>
    <col min="1" max="1" width="2.69921875" customWidth="1"/>
    <col min="2" max="2" width="3.09765625" bestFit="1" customWidth="1"/>
    <col min="3" max="3" width="9.8984375" customWidth="1"/>
    <col min="4" max="4" width="16.8984375" customWidth="1"/>
    <col min="5" max="5" width="17.19921875" bestFit="1" customWidth="1"/>
    <col min="6" max="6" width="14.69921875" bestFit="1" customWidth="1"/>
    <col min="7" max="7" width="17.59765625" bestFit="1" customWidth="1"/>
    <col min="8" max="8" width="19.8984375" bestFit="1" customWidth="1"/>
    <col min="9" max="9" width="22.69921875" bestFit="1" customWidth="1"/>
    <col min="10" max="10" width="16.8984375" customWidth="1"/>
    <col min="12" max="12" width="14.69921875" customWidth="1"/>
    <col min="13" max="13" width="18" customWidth="1"/>
    <col min="14" max="14" width="16.69921875" bestFit="1" customWidth="1"/>
    <col min="15" max="15" width="18.8984375" bestFit="1" customWidth="1"/>
    <col min="16" max="16" width="13.19921875" bestFit="1" customWidth="1"/>
    <col min="17" max="17" width="9.59765625" bestFit="1" customWidth="1"/>
    <col min="19" max="19" width="14.69921875" bestFit="1" customWidth="1"/>
    <col min="20" max="20" width="17.3984375" bestFit="1" customWidth="1"/>
    <col min="21" max="21" width="15.09765625" bestFit="1" customWidth="1"/>
    <col min="22" max="22" width="17.8984375" bestFit="1" customWidth="1"/>
    <col min="24" max="24" width="13.8984375" customWidth="1"/>
    <col min="25" max="25" width="17.69921875" bestFit="1" customWidth="1"/>
    <col min="27" max="27" width="14.8984375" bestFit="1" customWidth="1"/>
    <col min="28" max="28" width="14.8984375" customWidth="1"/>
    <col min="29" max="29" width="12.09765625" customWidth="1"/>
    <col min="30" max="30" width="21" bestFit="1" customWidth="1"/>
    <col min="31" max="31" width="12.3984375" bestFit="1" customWidth="1"/>
    <col min="33" max="33" width="9.8984375" bestFit="1" customWidth="1"/>
    <col min="35" max="35" width="13" bestFit="1" customWidth="1"/>
    <col min="36" max="36" width="13.19921875" bestFit="1" customWidth="1"/>
    <col min="37" max="37" width="11" bestFit="1" customWidth="1"/>
    <col min="38" max="38" width="11.59765625" bestFit="1" customWidth="1"/>
    <col min="40" max="40" width="17.8984375" bestFit="1" customWidth="1"/>
    <col min="41" max="41" width="11.19921875" bestFit="1" customWidth="1"/>
    <col min="43" max="43" width="14.8984375" bestFit="1" customWidth="1"/>
    <col min="44" max="44" width="11.19921875" bestFit="1" customWidth="1"/>
  </cols>
  <sheetData>
    <row r="3" spans="3:17" ht="20" x14ac:dyDescent="0.4">
      <c r="C3" s="127" t="s">
        <v>390</v>
      </c>
    </row>
    <row r="6" spans="3:17" x14ac:dyDescent="0.25">
      <c r="C6" t="s">
        <v>391</v>
      </c>
      <c r="J6" s="129" t="s">
        <v>28</v>
      </c>
    </row>
    <row r="8" spans="3:17" ht="13.5" x14ac:dyDescent="0.35">
      <c r="C8" t="s">
        <v>392</v>
      </c>
      <c r="M8" s="107"/>
      <c r="O8" s="107"/>
    </row>
    <row r="9" spans="3:17" ht="13" x14ac:dyDescent="0.3">
      <c r="L9" s="269" t="s">
        <v>393</v>
      </c>
      <c r="M9" s="162">
        <f>VALUE(LEFT(L9,1))</f>
        <v>1</v>
      </c>
      <c r="O9" s="254"/>
      <c r="Q9" s="28"/>
    </row>
    <row r="10" spans="3:17" x14ac:dyDescent="0.25">
      <c r="C10" t="s">
        <v>394</v>
      </c>
      <c r="Q10" s="28"/>
    </row>
    <row r="11" spans="3:17" x14ac:dyDescent="0.25">
      <c r="Q11" s="28"/>
    </row>
    <row r="12" spans="3:17" ht="13.5" x14ac:dyDescent="0.35">
      <c r="C12" s="28" t="s">
        <v>395</v>
      </c>
      <c r="D12" s="179" t="s">
        <v>396</v>
      </c>
    </row>
    <row r="13" spans="3:17" ht="13.5" x14ac:dyDescent="0.35">
      <c r="C13" s="28" t="s">
        <v>397</v>
      </c>
      <c r="D13" s="179" t="s">
        <v>398</v>
      </c>
    </row>
    <row r="15" spans="3:17" ht="11.4" hidden="1" customHeight="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17" ht="11.4" hidden="1" customHeight="1" outlineLevel="1" x14ac:dyDescent="0.25"/>
    <row r="17" spans="1:29" ht="15" hidden="1" customHeight="1" outlineLevel="1" x14ac:dyDescent="0.35">
      <c r="C17" s="28" t="s">
        <v>399</v>
      </c>
      <c r="D17" s="160"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161"/>
      <c r="F17" s="240"/>
      <c r="G17" s="240"/>
      <c r="H17" s="240"/>
      <c r="I17" s="240"/>
    </row>
    <row r="18" spans="1:29" ht="15" hidden="1" customHeight="1" outlineLevel="1" x14ac:dyDescent="0.35">
      <c r="C18" s="28" t="s">
        <v>400</v>
      </c>
      <c r="D18" s="160"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161"/>
      <c r="F18" s="240"/>
      <c r="G18" s="240"/>
      <c r="H18" s="240"/>
      <c r="I18" s="240"/>
    </row>
    <row r="19" spans="1:29" ht="11.4" hidden="1" customHeight="1" outlineLevel="1" x14ac:dyDescent="0.25">
      <c r="C19" s="28"/>
    </row>
    <row r="20" spans="1:29" ht="15" hidden="1" customHeight="1" outlineLevel="1" x14ac:dyDescent="0.35">
      <c r="C20" t="s">
        <v>401</v>
      </c>
      <c r="J20" t="s">
        <v>402</v>
      </c>
      <c r="K20" t="s">
        <v>403</v>
      </c>
      <c r="L20" s="162" t="e">
        <f>LEFT(#REF!,4)+'General inputs'!$H$38-1&amp;"-"&amp;RIGHT(#REF!,2)+'General inputs'!$H$38-1</f>
        <v>#REF!</v>
      </c>
    </row>
    <row r="21" spans="1:29" ht="11.4" hidden="1" customHeight="1" outlineLevel="1" x14ac:dyDescent="0.25">
      <c r="C21" s="28"/>
    </row>
    <row r="22" spans="1:29" ht="11.4" hidden="1" customHeight="1" outlineLevel="1" x14ac:dyDescent="0.25">
      <c r="C22" s="73" t="s">
        <v>404</v>
      </c>
    </row>
    <row r="23" spans="1:29" ht="11.4" hidden="1" customHeight="1" outlineLevel="1" x14ac:dyDescent="0.25">
      <c r="C23" s="73"/>
      <c r="D23" s="73" t="s">
        <v>405</v>
      </c>
    </row>
    <row r="24" spans="1:29" ht="11.4" hidden="1" customHeight="1" outlineLevel="1" x14ac:dyDescent="0.25">
      <c r="C24" s="73"/>
      <c r="D24" s="73"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$2021-22 before being linked into the MP Calculations.</v>
      </c>
    </row>
    <row r="25" spans="1:29" ht="11.4" hidden="1" customHeight="1" outlineLevel="1" x14ac:dyDescent="0.25">
      <c r="C25" s="73"/>
      <c r="D25" s="73" t="s">
        <v>406</v>
      </c>
    </row>
    <row r="26" spans="1:29" ht="11.4" hidden="1" customHeight="1" outlineLevel="1" x14ac:dyDescent="0.25">
      <c r="C26" s="73"/>
      <c r="D26" s="189" t="s">
        <v>407</v>
      </c>
    </row>
    <row r="27" spans="1:29" ht="11.4" hidden="1" customHeight="1" outlineLevel="1" x14ac:dyDescent="0.25">
      <c r="C27" s="73"/>
      <c r="D27" s="189" t="s">
        <v>408</v>
      </c>
    </row>
    <row r="28" spans="1:29" ht="11.4" hidden="1" customHeight="1" outlineLevel="1" x14ac:dyDescent="0.25">
      <c r="C28" s="73"/>
      <c r="D28" s="73" t="s">
        <v>409</v>
      </c>
    </row>
    <row r="29" spans="1:29" ht="11.4" hidden="1" customHeight="1" outlineLevel="1" x14ac:dyDescent="0.25">
      <c r="C29" s="73"/>
      <c r="D29" s="189" t="s">
        <v>410</v>
      </c>
    </row>
    <row r="30" spans="1:29" ht="11.4" hidden="1" customHeight="1" outlineLevel="1" x14ac:dyDescent="0.25">
      <c r="C30" s="73"/>
      <c r="D30" s="189" t="s">
        <v>411</v>
      </c>
    </row>
    <row r="31" spans="1:29" ht="11.4" hidden="1" customHeight="1" outlineLevel="1" x14ac:dyDescent="0.25"/>
    <row r="32" spans="1:29" collapsed="1" x14ac:dyDescent="0.25">
      <c r="A32" s="70"/>
      <c r="B32" s="70"/>
      <c r="C32" s="70" t="s">
        <v>412</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row>
    <row r="34" spans="2:44" x14ac:dyDescent="0.25">
      <c r="M34" s="6"/>
      <c r="N34" s="107"/>
      <c r="O34" s="107"/>
    </row>
    <row r="35" spans="2:44" x14ac:dyDescent="0.25">
      <c r="M35" s="4"/>
      <c r="N35" s="270"/>
      <c r="O35" s="37"/>
      <c r="R35" s="260" t="s">
        <v>413</v>
      </c>
      <c r="S35" s="218">
        <v>0.10807783341242876</v>
      </c>
      <c r="T35" t="s">
        <v>414</v>
      </c>
    </row>
    <row r="36" spans="2:44" ht="12" thickBot="1" x14ac:dyDescent="0.3">
      <c r="R36" s="260"/>
      <c r="S36" s="271"/>
    </row>
    <row r="37" spans="2:44" ht="13" thickBot="1" x14ac:dyDescent="0.3">
      <c r="D37" s="6" t="s">
        <v>415</v>
      </c>
      <c r="L37" s="304" t="s">
        <v>416</v>
      </c>
      <c r="M37" s="305"/>
      <c r="N37" s="304" t="s">
        <v>417</v>
      </c>
      <c r="O37" s="306"/>
      <c r="P37" s="305"/>
      <c r="R37" s="230"/>
      <c r="S37" s="307" t="s">
        <v>418</v>
      </c>
      <c r="T37" s="307"/>
      <c r="U37" s="307"/>
      <c r="V37" s="307"/>
      <c r="W37" s="230"/>
      <c r="X37" s="307" t="s">
        <v>419</v>
      </c>
      <c r="Y37" s="307"/>
      <c r="Z37" s="230"/>
      <c r="AA37" s="308" t="s">
        <v>420</v>
      </c>
      <c r="AB37" s="308"/>
      <c r="AC37" s="230"/>
      <c r="AD37" s="230"/>
      <c r="AE37" s="230"/>
      <c r="AF37" s="230"/>
      <c r="AG37" s="235"/>
      <c r="AH37" s="230"/>
      <c r="AI37" s="230"/>
      <c r="AJ37" s="230"/>
      <c r="AK37" s="230"/>
      <c r="AL37" s="230"/>
      <c r="AM37" s="230"/>
      <c r="AQ37" s="230"/>
      <c r="AR37" s="230"/>
    </row>
    <row r="38" spans="2:44" ht="13" thickBot="1" x14ac:dyDescent="0.3">
      <c r="C38" s="246"/>
      <c r="D38" s="247" t="s">
        <v>421</v>
      </c>
      <c r="E38" s="247" t="s">
        <v>422</v>
      </c>
      <c r="F38" s="247" t="s">
        <v>423</v>
      </c>
      <c r="G38" s="247" t="s">
        <v>424</v>
      </c>
      <c r="H38" s="247" t="s">
        <v>425</v>
      </c>
      <c r="I38" s="247" t="s">
        <v>426</v>
      </c>
      <c r="J38" s="247" t="s">
        <v>427</v>
      </c>
      <c r="L38" s="231" t="s">
        <v>428</v>
      </c>
      <c r="M38" s="232" t="s">
        <v>429</v>
      </c>
      <c r="N38" s="231" t="s">
        <v>430</v>
      </c>
      <c r="O38" s="233" t="s">
        <v>431</v>
      </c>
      <c r="P38" s="234" t="s">
        <v>432</v>
      </c>
      <c r="R38" s="230"/>
      <c r="S38" s="261" t="s">
        <v>433</v>
      </c>
      <c r="T38" s="261" t="s">
        <v>434</v>
      </c>
      <c r="U38" s="261" t="s">
        <v>435</v>
      </c>
      <c r="V38" s="261" t="s">
        <v>436</v>
      </c>
      <c r="W38" s="230"/>
      <c r="X38" s="262" t="s">
        <v>437</v>
      </c>
      <c r="Y38" s="262" t="s">
        <v>438</v>
      </c>
      <c r="Z38" s="230"/>
      <c r="AA38" s="262" t="s">
        <v>439</v>
      </c>
      <c r="AB38" s="262" t="s">
        <v>440</v>
      </c>
      <c r="AC38" s="281" t="s">
        <v>441</v>
      </c>
      <c r="AD38" s="258"/>
      <c r="AE38" s="258"/>
      <c r="AF38" s="230"/>
      <c r="AG38" s="235"/>
      <c r="AH38" s="230"/>
      <c r="AI38" s="230"/>
      <c r="AJ38" s="230"/>
      <c r="AK38" s="230"/>
      <c r="AL38" s="230"/>
      <c r="AM38" s="230"/>
      <c r="AN38" s="230"/>
      <c r="AO38" s="230"/>
      <c r="AQ38" s="230"/>
      <c r="AR38" s="230"/>
    </row>
    <row r="39" spans="2:44" x14ac:dyDescent="0.25">
      <c r="B39">
        <v>0</v>
      </c>
      <c r="C39" s="38" t="str">
        <f>'General inputs'!I16</f>
        <v>2022-23</v>
      </c>
      <c r="D39" s="245">
        <f>S39*AC39*AB39</f>
        <v>92696.519306201459</v>
      </c>
      <c r="E39" s="245">
        <f>$L39*(1+$S$35)*T39</f>
        <v>27397.659717108567</v>
      </c>
      <c r="F39" s="245">
        <f>U39*AC39*AB39</f>
        <v>88325.92214619981</v>
      </c>
      <c r="G39" s="245">
        <f>$L39*(1+$S$35)*V39</f>
        <v>52421.141222515282</v>
      </c>
      <c r="H39" s="245">
        <f>X39*AA39*AB39</f>
        <v>119111.14516301993</v>
      </c>
      <c r="I39" s="245">
        <f>L39*(1+$S$35)*Y39</f>
        <v>13178.551510755786</v>
      </c>
      <c r="J39" s="245">
        <f t="shared" ref="J39:J68" si="0">SUM(D39:I39)</f>
        <v>393130.93906580081</v>
      </c>
      <c r="L39" s="265">
        <v>160761.29387665968</v>
      </c>
      <c r="M39" s="236">
        <v>1262.81</v>
      </c>
      <c r="N39" s="272">
        <v>401903.23469164921</v>
      </c>
      <c r="O39" s="273">
        <v>53555.772099999995</v>
      </c>
      <c r="P39" s="238">
        <f>N39+O39</f>
        <v>455459.00679164921</v>
      </c>
      <c r="R39" s="38" t="str">
        <f t="shared" ref="R39:R68" si="1">C39</f>
        <v>2022-23</v>
      </c>
      <c r="S39" s="278">
        <v>15621815.307998</v>
      </c>
      <c r="T39" s="282">
        <v>0.15380190239550623</v>
      </c>
      <c r="U39" s="278">
        <v>14885254.08509307</v>
      </c>
      <c r="V39" s="282">
        <v>0.29427591002350117</v>
      </c>
      <c r="X39" s="276">
        <v>358272132.773</v>
      </c>
      <c r="Y39" s="277">
        <v>7.3980271092487365E-2</v>
      </c>
      <c r="AA39" s="280">
        <v>4.2774281203253182E-2</v>
      </c>
      <c r="AB39" s="280">
        <v>7.7724269828257026E-3</v>
      </c>
      <c r="AC39" s="280">
        <v>0.7634406440633702</v>
      </c>
      <c r="AD39" s="259"/>
      <c r="AE39" s="259"/>
      <c r="AG39" s="242"/>
      <c r="AI39" s="241"/>
      <c r="AJ39" s="241"/>
      <c r="AK39" s="241"/>
      <c r="AL39" s="241"/>
      <c r="AN39" s="243"/>
      <c r="AO39" s="243"/>
      <c r="AQ39" s="244"/>
      <c r="AR39" s="244"/>
    </row>
    <row r="40" spans="2:44" x14ac:dyDescent="0.25">
      <c r="B40">
        <f>B39+1</f>
        <v>1</v>
      </c>
      <c r="C40" t="str">
        <f ca="1">OFFSET('MP Calculations'!$D$38,MATCH($C$39,'MP Calculations'!$D$39:$D$129)+'Reduction amount'!B40,)</f>
        <v>2023-24</v>
      </c>
      <c r="D40" s="245">
        <f t="shared" ref="D40:D68" si="2">S40*AC40*AB40</f>
        <v>218702.4572475141</v>
      </c>
      <c r="E40" s="245">
        <f t="shared" ref="E40:E68" si="3">$L40*(1+$S$35)*T40</f>
        <v>65374.728682947272</v>
      </c>
      <c r="F40" s="245">
        <f t="shared" ref="F40:F68" si="4">U40*AC40*AB40</f>
        <v>200575.40531465798</v>
      </c>
      <c r="G40" s="245">
        <f t="shared" ref="G40:G68" si="5">$L40*(1+$S$35)*V40</f>
        <v>118293.30063980239</v>
      </c>
      <c r="H40" s="245">
        <f t="shared" ref="H40:H68" si="6">X40*AA40*AB40</f>
        <v>270556.04775120324</v>
      </c>
      <c r="I40" s="245">
        <f t="shared" ref="I40:I68" si="7">L40*(1+$S$35)*Y40</f>
        <v>30498.078615405855</v>
      </c>
      <c r="J40" s="245">
        <f t="shared" si="0"/>
        <v>904000.01825153083</v>
      </c>
      <c r="L40" s="255">
        <v>362770.63767419138</v>
      </c>
      <c r="M40" s="236">
        <v>2774.31</v>
      </c>
      <c r="N40" s="272">
        <v>906926.59418547852</v>
      </c>
      <c r="O40" s="273">
        <v>117658.48709999998</v>
      </c>
      <c r="P40" s="238">
        <f t="shared" ref="P40:P68" si="8">N40+O40</f>
        <v>1024585.0812854785</v>
      </c>
      <c r="R40" s="38" t="str">
        <f t="shared" ca="1" si="1"/>
        <v>2023-24</v>
      </c>
      <c r="S40" s="278">
        <v>16684772.010429379</v>
      </c>
      <c r="T40" s="282">
        <v>0.16263256212703567</v>
      </c>
      <c r="U40" s="278">
        <v>15301862.405629521</v>
      </c>
      <c r="V40" s="282">
        <v>0.2942779718263368</v>
      </c>
      <c r="X40" s="278">
        <v>363773601.523</v>
      </c>
      <c r="Y40" s="279">
        <v>7.5870000000000021E-2</v>
      </c>
      <c r="AA40" s="280">
        <v>4.2819324586403265E-2</v>
      </c>
      <c r="AB40" s="280">
        <v>1.7369457475670803E-2</v>
      </c>
      <c r="AC40" s="280">
        <v>0.7546527035943501</v>
      </c>
      <c r="AD40" s="259"/>
      <c r="AE40" s="259"/>
      <c r="AG40" s="242"/>
      <c r="AI40" s="241"/>
      <c r="AJ40" s="241"/>
      <c r="AK40" s="241"/>
      <c r="AL40" s="241"/>
      <c r="AN40" s="243"/>
      <c r="AO40" s="243"/>
      <c r="AQ40" s="244"/>
      <c r="AR40" s="244"/>
    </row>
    <row r="41" spans="2:44" x14ac:dyDescent="0.25">
      <c r="B41">
        <f t="shared" ref="B41:B68" si="9">B40+1</f>
        <v>2</v>
      </c>
      <c r="C41" t="str">
        <f ca="1">OFFSET('MP Calculations'!$D$38,MATCH($C$39,'MP Calculations'!$D$39:$D$129)+'Reduction amount'!B41,)</f>
        <v>2024-25</v>
      </c>
      <c r="D41" s="245">
        <f t="shared" si="2"/>
        <v>331547.88767192129</v>
      </c>
      <c r="E41" s="245">
        <f t="shared" si="3"/>
        <v>99796.07944265398</v>
      </c>
      <c r="F41" s="245">
        <f t="shared" si="4"/>
        <v>309046.267960853</v>
      </c>
      <c r="G41" s="245">
        <f t="shared" si="5"/>
        <v>188029.95230399413</v>
      </c>
      <c r="H41" s="245">
        <f t="shared" si="6"/>
        <v>425761.84186654259</v>
      </c>
      <c r="I41" s="245">
        <f t="shared" si="7"/>
        <v>48477.65315159817</v>
      </c>
      <c r="J41" s="245">
        <f t="shared" si="0"/>
        <v>1402659.682397563</v>
      </c>
      <c r="L41" s="255">
        <v>576635.31426107557</v>
      </c>
      <c r="M41" s="236">
        <v>4349.9324999999999</v>
      </c>
      <c r="N41" s="272">
        <v>1401223.8136544137</v>
      </c>
      <c r="O41" s="273">
        <v>179521.71427500001</v>
      </c>
      <c r="P41" s="238">
        <f t="shared" si="8"/>
        <v>1580745.5279294136</v>
      </c>
      <c r="R41" s="38" t="str">
        <f t="shared" ca="1" si="1"/>
        <v>2024-25</v>
      </c>
      <c r="S41" s="278">
        <v>16182839.624350503</v>
      </c>
      <c r="T41" s="282">
        <v>0.15618595486948705</v>
      </c>
      <c r="U41" s="278">
        <v>15084536.433130438</v>
      </c>
      <c r="V41" s="282">
        <v>0.29427646665758062</v>
      </c>
      <c r="X41" s="278">
        <v>363773601.523</v>
      </c>
      <c r="Y41" s="279">
        <v>7.5870000000000007E-2</v>
      </c>
      <c r="AA41" s="280">
        <v>4.2825721314318749E-2</v>
      </c>
      <c r="AB41" s="280">
        <v>2.7329448613757128E-2</v>
      </c>
      <c r="AC41" s="280">
        <v>0.7496536596525698</v>
      </c>
      <c r="AD41" s="259"/>
      <c r="AE41" s="259"/>
      <c r="AG41" s="242"/>
      <c r="AI41" s="241"/>
      <c r="AJ41" s="241"/>
      <c r="AK41" s="241"/>
      <c r="AL41" s="241"/>
      <c r="AN41" s="243"/>
      <c r="AO41" s="243"/>
      <c r="AQ41" s="244"/>
      <c r="AR41" s="244"/>
    </row>
    <row r="42" spans="2:44" x14ac:dyDescent="0.25">
      <c r="B42">
        <f t="shared" si="9"/>
        <v>3</v>
      </c>
      <c r="C42" t="str">
        <f ca="1">OFFSET('MP Calculations'!$D$38,MATCH($C$39,'MP Calculations'!$D$39:$D$129)+'Reduction amount'!B42,)</f>
        <v>2025-26</v>
      </c>
      <c r="D42" s="245">
        <f t="shared" si="2"/>
        <v>489613.93248915131</v>
      </c>
      <c r="E42" s="245">
        <f t="shared" si="3"/>
        <v>147391.05232906065</v>
      </c>
      <c r="F42" s="245">
        <f t="shared" si="4"/>
        <v>422063.76721632952</v>
      </c>
      <c r="G42" s="245">
        <f t="shared" si="5"/>
        <v>261784.28460234645</v>
      </c>
      <c r="H42" s="245">
        <f t="shared" si="6"/>
        <v>586268.03224734124</v>
      </c>
      <c r="I42" s="245">
        <f t="shared" si="7"/>
        <v>67492.396489385574</v>
      </c>
      <c r="J42" s="245">
        <f t="shared" si="0"/>
        <v>1974613.4653736146</v>
      </c>
      <c r="L42" s="255">
        <v>802813.18772146327</v>
      </c>
      <c r="M42" s="236">
        <v>5987.5574999999999</v>
      </c>
      <c r="N42" s="272">
        <v>1950836.0461631559</v>
      </c>
      <c r="O42" s="273">
        <v>247106.49802500001</v>
      </c>
      <c r="P42" s="238">
        <f t="shared" si="8"/>
        <v>2197942.5441881558</v>
      </c>
      <c r="R42" s="38" t="str">
        <f t="shared" ca="1" si="1"/>
        <v>2025-26</v>
      </c>
      <c r="S42" s="278">
        <v>17336320.640320871</v>
      </c>
      <c r="T42" s="282">
        <v>0.16568620647459889</v>
      </c>
      <c r="U42" s="278">
        <v>14944494.659138741</v>
      </c>
      <c r="V42" s="282">
        <v>0.2942786847982739</v>
      </c>
      <c r="X42" s="278">
        <v>363773601.523</v>
      </c>
      <c r="Y42" s="279">
        <v>7.5870000000000007E-2</v>
      </c>
      <c r="AA42" s="280">
        <v>4.2810628365456328E-2</v>
      </c>
      <c r="AB42" s="280">
        <v>3.7645531372333244E-2</v>
      </c>
      <c r="AC42" s="280">
        <v>0.75021096107179874</v>
      </c>
      <c r="AD42" s="259"/>
      <c r="AE42" s="259"/>
      <c r="AG42" s="242"/>
      <c r="AI42" s="241"/>
      <c r="AJ42" s="241"/>
      <c r="AK42" s="241"/>
      <c r="AL42" s="241"/>
      <c r="AN42" s="243"/>
      <c r="AO42" s="243"/>
      <c r="AQ42" s="244"/>
      <c r="AR42" s="244"/>
    </row>
    <row r="43" spans="2:44" x14ac:dyDescent="0.25">
      <c r="B43">
        <f t="shared" si="9"/>
        <v>4</v>
      </c>
      <c r="C43" t="str">
        <f ca="1">OFFSET('MP Calculations'!$D$38,MATCH($C$39,'MP Calculations'!$D$39:$D$129)+'Reduction amount'!B43,)</f>
        <v>2026-27</v>
      </c>
      <c r="D43" s="245">
        <f t="shared" si="2"/>
        <v>665223.92492451682</v>
      </c>
      <c r="E43" s="245">
        <f t="shared" si="3"/>
        <v>201070.3551564941</v>
      </c>
      <c r="F43" s="245">
        <f t="shared" si="4"/>
        <v>533441.34268901253</v>
      </c>
      <c r="G43" s="245">
        <f t="shared" si="5"/>
        <v>337426.79998234409</v>
      </c>
      <c r="H43" s="245">
        <f t="shared" si="6"/>
        <v>747483.76764666731</v>
      </c>
      <c r="I43" s="245">
        <f t="shared" si="7"/>
        <v>86993.642922404804</v>
      </c>
      <c r="J43" s="245">
        <f t="shared" si="0"/>
        <v>2571639.8333214396</v>
      </c>
      <c r="L43" s="255">
        <v>1034777.9515729909</v>
      </c>
      <c r="M43" s="236">
        <v>7658.7425000000003</v>
      </c>
      <c r="N43" s="272">
        <v>2514510.4223223678</v>
      </c>
      <c r="O43" s="273">
        <v>316076.30297500006</v>
      </c>
      <c r="P43" s="238">
        <f t="shared" si="8"/>
        <v>2830586.7252973677</v>
      </c>
      <c r="R43" s="38" t="str">
        <f t="shared" ca="1" si="1"/>
        <v>2026-27</v>
      </c>
      <c r="S43" s="278">
        <v>18438031.264667559</v>
      </c>
      <c r="T43" s="282">
        <v>0.17536003014990764</v>
      </c>
      <c r="U43" s="278">
        <v>14785409.522789342</v>
      </c>
      <c r="V43" s="282">
        <v>0.29428094346497513</v>
      </c>
      <c r="X43" s="278">
        <v>363773601.523</v>
      </c>
      <c r="Y43" s="279">
        <v>7.5869999999999993E-2</v>
      </c>
      <c r="AA43" s="280">
        <v>4.2807801941405398E-2</v>
      </c>
      <c r="AB43" s="280">
        <v>4.8000709587408763E-2</v>
      </c>
      <c r="AC43" s="280">
        <v>0.75163268232179403</v>
      </c>
      <c r="AD43" s="259"/>
      <c r="AE43" s="259"/>
      <c r="AG43" s="242"/>
      <c r="AI43" s="241"/>
      <c r="AJ43" s="241"/>
      <c r="AK43" s="241"/>
      <c r="AL43" s="241"/>
      <c r="AN43" s="243"/>
      <c r="AO43" s="243"/>
      <c r="AQ43" s="244"/>
      <c r="AR43" s="244"/>
    </row>
    <row r="44" spans="2:44" x14ac:dyDescent="0.25">
      <c r="B44">
        <f t="shared" si="9"/>
        <v>5</v>
      </c>
      <c r="C44" t="str">
        <f ca="1">OFFSET('MP Calculations'!$D$38,MATCH($C$39,'MP Calculations'!$D$39:$D$129)+'Reduction amount'!B44,)</f>
        <v>2027-28</v>
      </c>
      <c r="D44" s="245">
        <f t="shared" si="2"/>
        <v>814130.40889153897</v>
      </c>
      <c r="E44" s="245">
        <f t="shared" si="3"/>
        <v>247918.08186717675</v>
      </c>
      <c r="F44" s="245">
        <f t="shared" si="4"/>
        <v>641607.17790826561</v>
      </c>
      <c r="G44" s="245">
        <f t="shared" si="5"/>
        <v>413977.40039163001</v>
      </c>
      <c r="H44" s="245">
        <f t="shared" si="6"/>
        <v>907719.04140908306</v>
      </c>
      <c r="I44" s="245">
        <f t="shared" si="7"/>
        <v>106729.45103222059</v>
      </c>
      <c r="J44" s="245">
        <f t="shared" si="0"/>
        <v>3132081.5614999146</v>
      </c>
      <c r="L44" s="255">
        <v>1269532.7957485428</v>
      </c>
      <c r="M44" s="236">
        <v>9355.9274999999998</v>
      </c>
      <c r="N44" s="272">
        <v>3084964.6936689592</v>
      </c>
      <c r="O44" s="273">
        <v>386119.12792500004</v>
      </c>
      <c r="P44" s="238">
        <f t="shared" si="8"/>
        <v>3471083.8215939594</v>
      </c>
      <c r="R44" s="38" t="str">
        <f t="shared" ca="1" si="1"/>
        <v>2027-28</v>
      </c>
      <c r="S44" s="278">
        <v>18620059.835075933</v>
      </c>
      <c r="T44" s="282">
        <v>0.17623575020154733</v>
      </c>
      <c r="U44" s="278">
        <v>14674263.376959428</v>
      </c>
      <c r="V44" s="282">
        <v>0.294281147930116</v>
      </c>
      <c r="X44" s="278">
        <v>363773601.523</v>
      </c>
      <c r="Y44" s="279">
        <v>7.5870000000000021E-2</v>
      </c>
      <c r="AA44" s="280">
        <v>4.2833110414448726E-2</v>
      </c>
      <c r="AB44" s="280">
        <v>5.825599888689429E-2</v>
      </c>
      <c r="AC44" s="280">
        <v>0.75053724892145268</v>
      </c>
      <c r="AD44" s="259"/>
      <c r="AE44" s="259"/>
      <c r="AG44" s="242"/>
      <c r="AI44" s="241"/>
      <c r="AJ44" s="241"/>
      <c r="AK44" s="241"/>
      <c r="AL44" s="241"/>
      <c r="AN44" s="243"/>
      <c r="AO44" s="243"/>
      <c r="AQ44" s="244"/>
      <c r="AR44" s="244"/>
    </row>
    <row r="45" spans="2:44" x14ac:dyDescent="0.25">
      <c r="B45">
        <f t="shared" si="9"/>
        <v>6</v>
      </c>
      <c r="C45" t="str">
        <f ca="1">OFFSET('MP Calculations'!$D$38,MATCH($C$39,'MP Calculations'!$D$39:$D$129)+'Reduction amount'!B45,)</f>
        <v>2028-29</v>
      </c>
      <c r="D45" s="245">
        <f t="shared" si="2"/>
        <v>975450.79556025856</v>
      </c>
      <c r="E45" s="245">
        <f t="shared" si="3"/>
        <v>299369.20666326105</v>
      </c>
      <c r="F45" s="245">
        <f t="shared" si="4"/>
        <v>741791.8566990071</v>
      </c>
      <c r="G45" s="245">
        <f t="shared" si="5"/>
        <v>493086.04105437431</v>
      </c>
      <c r="H45" s="245">
        <f t="shared" si="6"/>
        <v>1071078.0032338686</v>
      </c>
      <c r="I45" s="245">
        <f t="shared" si="7"/>
        <v>127124.5745581657</v>
      </c>
      <c r="J45" s="245">
        <f t="shared" si="0"/>
        <v>3707900.4777689353</v>
      </c>
      <c r="L45" s="255">
        <v>1512130.1101647238</v>
      </c>
      <c r="M45" s="236">
        <v>11115.674999999999</v>
      </c>
      <c r="N45" s="272">
        <v>3674476.167700279</v>
      </c>
      <c r="O45" s="273">
        <v>458743.90724999999</v>
      </c>
      <c r="P45" s="238">
        <f t="shared" si="8"/>
        <v>4133220.0749502792</v>
      </c>
      <c r="R45" s="38" t="str">
        <f t="shared" ca="1" si="1"/>
        <v>2028-29</v>
      </c>
      <c r="S45" s="278">
        <v>18968271.105223525</v>
      </c>
      <c r="T45" s="282">
        <v>0.17866837933171803</v>
      </c>
      <c r="U45" s="278">
        <v>14424622.036862833</v>
      </c>
      <c r="V45" s="282">
        <v>0.29428171590598545</v>
      </c>
      <c r="X45" s="278">
        <v>363773601.523</v>
      </c>
      <c r="Y45" s="279">
        <v>7.5870000000000007E-2</v>
      </c>
      <c r="AA45" s="280">
        <v>4.2905403453678062E-2</v>
      </c>
      <c r="AB45" s="280">
        <v>6.862430045217352E-2</v>
      </c>
      <c r="AC45" s="280">
        <v>0.749375842548756</v>
      </c>
      <c r="AD45" s="259"/>
      <c r="AE45" s="259"/>
      <c r="AG45" s="242"/>
      <c r="AI45" s="241"/>
      <c r="AJ45" s="241"/>
      <c r="AK45" s="241"/>
      <c r="AL45" s="241"/>
      <c r="AN45" s="243"/>
      <c r="AO45" s="243"/>
      <c r="AQ45" s="244"/>
      <c r="AR45" s="244"/>
    </row>
    <row r="46" spans="2:44" x14ac:dyDescent="0.25">
      <c r="B46">
        <f t="shared" si="9"/>
        <v>7</v>
      </c>
      <c r="C46" t="str">
        <f ca="1">OFFSET('MP Calculations'!$D$38,MATCH($C$39,'MP Calculations'!$D$39:$D$129)+'Reduction amount'!B46,)</f>
        <v>2029-30</v>
      </c>
      <c r="D46" s="245">
        <f t="shared" si="2"/>
        <v>1140521.9360214074</v>
      </c>
      <c r="E46" s="245">
        <f t="shared" si="3"/>
        <v>352453.95397716085</v>
      </c>
      <c r="F46" s="245">
        <f t="shared" si="4"/>
        <v>844793.38971848285</v>
      </c>
      <c r="G46" s="245">
        <f t="shared" si="5"/>
        <v>573683.77784056892</v>
      </c>
      <c r="H46" s="245">
        <f t="shared" si="6"/>
        <v>1234965.3220649213</v>
      </c>
      <c r="I46" s="245">
        <f t="shared" si="7"/>
        <v>147903.56426274768</v>
      </c>
      <c r="J46" s="245">
        <f t="shared" si="0"/>
        <v>4294321.9438852891</v>
      </c>
      <c r="L46" s="255">
        <v>1759293.4623356666</v>
      </c>
      <c r="M46" s="236">
        <v>12910.985000000001</v>
      </c>
      <c r="N46" s="272">
        <v>4275083.1134756701</v>
      </c>
      <c r="O46" s="273">
        <v>532836.35095000011</v>
      </c>
      <c r="P46" s="238">
        <f t="shared" si="8"/>
        <v>4807919.46442567</v>
      </c>
      <c r="R46" s="38" t="str">
        <f t="shared" ca="1" si="1"/>
        <v>2029-30</v>
      </c>
      <c r="S46" s="278">
        <v>19286651.47133882</v>
      </c>
      <c r="T46" s="282">
        <v>0.18079808706126191</v>
      </c>
      <c r="U46" s="278">
        <v>14285771.415873466</v>
      </c>
      <c r="V46" s="282">
        <v>0.29428221315506642</v>
      </c>
      <c r="X46" s="278">
        <v>363773601.523</v>
      </c>
      <c r="Y46" s="279">
        <v>7.5870000000000021E-2</v>
      </c>
      <c r="AA46" s="280">
        <v>4.2997266256274265E-2</v>
      </c>
      <c r="AB46" s="280">
        <v>7.8955563732957701E-2</v>
      </c>
      <c r="AC46" s="280">
        <v>0.74896939488216419</v>
      </c>
      <c r="AD46" s="259"/>
      <c r="AE46" s="259"/>
      <c r="AG46" s="242"/>
      <c r="AI46" s="241"/>
      <c r="AJ46" s="241"/>
      <c r="AK46" s="241"/>
      <c r="AL46" s="241"/>
      <c r="AN46" s="243"/>
      <c r="AO46" s="243"/>
      <c r="AQ46" s="244"/>
      <c r="AR46" s="244"/>
    </row>
    <row r="47" spans="2:44" x14ac:dyDescent="0.25">
      <c r="B47">
        <f t="shared" si="9"/>
        <v>8</v>
      </c>
      <c r="C47" t="str">
        <f ca="1">OFFSET('MP Calculations'!$D$38,MATCH($C$39,'MP Calculations'!$D$39:$D$129)+'Reduction amount'!B47,)</f>
        <v>2030-31</v>
      </c>
      <c r="D47" s="245">
        <f t="shared" si="2"/>
        <v>1295080.8006518777</v>
      </c>
      <c r="E47" s="245">
        <f t="shared" si="3"/>
        <v>402847.17656065011</v>
      </c>
      <c r="F47" s="245">
        <f t="shared" si="4"/>
        <v>943174.6636443981</v>
      </c>
      <c r="G47" s="245">
        <f t="shared" si="5"/>
        <v>655193.96138072631</v>
      </c>
      <c r="H47" s="245">
        <f t="shared" si="6"/>
        <v>1398083.6714093143</v>
      </c>
      <c r="I47" s="245">
        <f t="shared" si="7"/>
        <v>168917.99107209939</v>
      </c>
      <c r="J47" s="245">
        <f t="shared" si="0"/>
        <v>4863298.2647190662</v>
      </c>
      <c r="L47" s="255">
        <v>2009257.307931344</v>
      </c>
      <c r="M47" s="236">
        <v>14729.295</v>
      </c>
      <c r="N47" s="272">
        <v>4882495.2582731666</v>
      </c>
      <c r="O47" s="273">
        <v>607878.00465000002</v>
      </c>
      <c r="P47" s="238">
        <f t="shared" si="8"/>
        <v>5490373.2629231662</v>
      </c>
      <c r="R47" s="38" t="str">
        <f t="shared" ca="1" si="1"/>
        <v>2030-31</v>
      </c>
      <c r="S47" s="278">
        <v>19394139.289433192</v>
      </c>
      <c r="T47" s="282">
        <v>0.18093996436774382</v>
      </c>
      <c r="U47" s="278">
        <v>14124262.20184599</v>
      </c>
      <c r="V47" s="282">
        <v>0.29428224628090771</v>
      </c>
      <c r="X47" s="278">
        <v>363773601.523</v>
      </c>
      <c r="Y47" s="279">
        <v>7.5870000000000021E-2</v>
      </c>
      <c r="AA47" s="280">
        <v>4.3098964684060118E-2</v>
      </c>
      <c r="AB47" s="280">
        <v>8.9173363089377233E-2</v>
      </c>
      <c r="AC47" s="280">
        <v>0.748843748772555</v>
      </c>
      <c r="AD47" s="259"/>
      <c r="AE47" s="259"/>
      <c r="AG47" s="242"/>
      <c r="AI47" s="241"/>
      <c r="AJ47" s="241"/>
      <c r="AK47" s="241"/>
      <c r="AL47" s="241"/>
      <c r="AN47" s="243"/>
      <c r="AO47" s="243"/>
      <c r="AQ47" s="244"/>
      <c r="AR47" s="244"/>
    </row>
    <row r="48" spans="2:44" x14ac:dyDescent="0.25">
      <c r="B48">
        <f t="shared" si="9"/>
        <v>9</v>
      </c>
      <c r="C48" t="str">
        <f ca="1">OFFSET('MP Calculations'!$D$38,MATCH($C$39,'MP Calculations'!$D$39:$D$129)+'Reduction amount'!B48,)</f>
        <v>2031-32</v>
      </c>
      <c r="D48" s="245">
        <f t="shared" si="2"/>
        <v>1515507.0480440082</v>
      </c>
      <c r="E48" s="245">
        <f t="shared" si="3"/>
        <v>461759.82380227122</v>
      </c>
      <c r="F48" s="245">
        <f t="shared" si="4"/>
        <v>1077193.3545778506</v>
      </c>
      <c r="G48" s="245">
        <f t="shared" si="5"/>
        <v>743080.96926942072</v>
      </c>
      <c r="H48" s="245">
        <f t="shared" si="6"/>
        <v>1572715.7331371626</v>
      </c>
      <c r="I48" s="245">
        <f t="shared" si="7"/>
        <v>191576.17382100623</v>
      </c>
      <c r="J48" s="245">
        <f t="shared" si="0"/>
        <v>5561833.102651719</v>
      </c>
      <c r="L48" s="255">
        <v>2278773.41443804</v>
      </c>
      <c r="M48" s="236">
        <v>16661.73</v>
      </c>
      <c r="N48" s="272">
        <v>5537419.3970844373</v>
      </c>
      <c r="O48" s="273">
        <v>687629.59710000001</v>
      </c>
      <c r="P48" s="238">
        <f t="shared" si="8"/>
        <v>6225048.9941844372</v>
      </c>
      <c r="R48" s="38" t="str">
        <f t="shared" ca="1" si="1"/>
        <v>2031-32</v>
      </c>
      <c r="S48" s="278">
        <v>19741121.408847243</v>
      </c>
      <c r="T48" s="282">
        <v>0.18287095484332558</v>
      </c>
      <c r="U48" s="278">
        <v>14031610.622313172</v>
      </c>
      <c r="V48" s="282">
        <v>0.29428269713302513</v>
      </c>
      <c r="X48" s="278">
        <v>363773601.523</v>
      </c>
      <c r="Y48" s="279">
        <v>7.5870000000000007E-2</v>
      </c>
      <c r="AA48" s="280">
        <v>4.325957939362015E-2</v>
      </c>
      <c r="AB48" s="280">
        <v>9.9939404898996748E-2</v>
      </c>
      <c r="AC48" s="280">
        <v>0.7681559200517516</v>
      </c>
      <c r="AD48" s="259"/>
      <c r="AE48" s="259"/>
      <c r="AG48" s="242"/>
      <c r="AI48" s="241"/>
      <c r="AJ48" s="241"/>
      <c r="AK48" s="241"/>
      <c r="AL48" s="241"/>
      <c r="AN48" s="243"/>
      <c r="AO48" s="243"/>
      <c r="AQ48" s="244"/>
      <c r="AR48" s="244"/>
    </row>
    <row r="49" spans="2:44" x14ac:dyDescent="0.25">
      <c r="B49">
        <f t="shared" si="9"/>
        <v>10</v>
      </c>
      <c r="C49" t="str">
        <f ca="1">OFFSET('MP Calculations'!$D$38,MATCH($C$39,'MP Calculations'!$D$39:$D$129)+'Reduction amount'!B49,)</f>
        <v>2032-33</v>
      </c>
      <c r="D49" s="245">
        <f t="shared" si="2"/>
        <v>1745835.6057444802</v>
      </c>
      <c r="E49" s="245">
        <f t="shared" si="3"/>
        <v>523140.11099839763</v>
      </c>
      <c r="F49" s="245">
        <f t="shared" si="4"/>
        <v>1198378.2926992506</v>
      </c>
      <c r="G49" s="245">
        <f t="shared" si="5"/>
        <v>832470.88821821578</v>
      </c>
      <c r="H49" s="245">
        <f t="shared" si="6"/>
        <v>1747606.4353579911</v>
      </c>
      <c r="I49" s="245">
        <f t="shared" si="7"/>
        <v>214621.73472926702</v>
      </c>
      <c r="J49" s="245">
        <f t="shared" si="0"/>
        <v>6262053.0677476013</v>
      </c>
      <c r="L49" s="255">
        <v>2552897.3332486521</v>
      </c>
      <c r="M49" s="236">
        <v>18622.165000000001</v>
      </c>
      <c r="N49" s="272">
        <v>6203540.5197942248</v>
      </c>
      <c r="O49" s="273">
        <v>768536.74955000007</v>
      </c>
      <c r="P49" s="238">
        <f t="shared" si="8"/>
        <v>6972077.2693442246</v>
      </c>
      <c r="R49" s="38" t="str">
        <f t="shared" ca="1" si="1"/>
        <v>2032-33</v>
      </c>
      <c r="S49" s="278">
        <v>20105307.605913904</v>
      </c>
      <c r="T49" s="283">
        <v>0.18493299512053565</v>
      </c>
      <c r="U49" s="278">
        <v>13800706.162533561</v>
      </c>
      <c r="V49" s="283">
        <v>0.29428317858295294</v>
      </c>
      <c r="X49" s="278">
        <v>363773601.523</v>
      </c>
      <c r="Y49" s="279">
        <v>7.5870000000000007E-2</v>
      </c>
      <c r="AA49" s="280">
        <v>4.3424368715607807E-2</v>
      </c>
      <c r="AB49" s="280">
        <v>0.11063153593544116</v>
      </c>
      <c r="AC49" s="280">
        <v>0.78489883155351436</v>
      </c>
      <c r="AD49" s="259"/>
      <c r="AE49" s="259"/>
      <c r="AG49" s="242"/>
      <c r="AI49" s="241"/>
      <c r="AJ49" s="241"/>
      <c r="AK49" s="241"/>
      <c r="AL49" s="241"/>
      <c r="AN49" s="243"/>
      <c r="AO49" s="243"/>
      <c r="AQ49" s="244"/>
      <c r="AR49" s="244"/>
    </row>
    <row r="50" spans="2:44" x14ac:dyDescent="0.25">
      <c r="B50">
        <f t="shared" si="9"/>
        <v>11</v>
      </c>
      <c r="C50" t="str">
        <f ca="1">OFFSET('MP Calculations'!$D$38,MATCH($C$39,'MP Calculations'!$D$39:$D$129)+'Reduction amount'!B50,)</f>
        <v>2033-34</v>
      </c>
      <c r="D50" s="245">
        <f t="shared" si="2"/>
        <v>1948553.4770985625</v>
      </c>
      <c r="E50" s="245">
        <f t="shared" si="3"/>
        <v>576138.99003849889</v>
      </c>
      <c r="F50" s="245">
        <f t="shared" si="4"/>
        <v>1337528.1048428384</v>
      </c>
      <c r="G50" s="245">
        <f t="shared" si="5"/>
        <v>923263.25049375114</v>
      </c>
      <c r="H50" s="245">
        <f t="shared" si="6"/>
        <v>1922634.3051785438</v>
      </c>
      <c r="I50" s="245">
        <f t="shared" si="7"/>
        <v>238029.42126967307</v>
      </c>
      <c r="J50" s="245">
        <f t="shared" si="0"/>
        <v>6946147.5489218673</v>
      </c>
      <c r="L50" s="255">
        <v>2831328.6888702228</v>
      </c>
      <c r="M50" s="236">
        <v>20595.602500000001</v>
      </c>
      <c r="N50" s="272">
        <v>6880128.7139546415</v>
      </c>
      <c r="O50" s="273">
        <v>849980.51517500007</v>
      </c>
      <c r="P50" s="238">
        <f t="shared" si="8"/>
        <v>7730109.2291296413</v>
      </c>
      <c r="R50" s="38" t="str">
        <f t="shared" ca="1" si="1"/>
        <v>2033-34</v>
      </c>
      <c r="S50" s="278">
        <v>20105307.605913904</v>
      </c>
      <c r="T50" s="283">
        <v>0.18363975739242006</v>
      </c>
      <c r="U50" s="278">
        <v>13800706.162533561</v>
      </c>
      <c r="V50" s="283">
        <v>0.29428287663482045</v>
      </c>
      <c r="X50" s="276">
        <f t="shared" ref="X50:Y68" si="10">X49</f>
        <v>363773601.523</v>
      </c>
      <c r="Y50" s="277">
        <f t="shared" si="10"/>
        <v>7.5870000000000007E-2</v>
      </c>
      <c r="AA50" s="280">
        <v>4.359517903783635E-2</v>
      </c>
      <c r="AB50" s="280">
        <v>0.12123472779627353</v>
      </c>
      <c r="AC50" s="280">
        <v>0.79941918311527094</v>
      </c>
      <c r="AD50" s="259"/>
      <c r="AE50" s="259"/>
      <c r="AG50" s="242"/>
      <c r="AI50" s="241"/>
      <c r="AJ50" s="241"/>
      <c r="AK50" s="241"/>
      <c r="AL50" s="241"/>
      <c r="AN50" s="243"/>
      <c r="AO50" s="243"/>
      <c r="AQ50" s="244"/>
      <c r="AR50" s="244"/>
    </row>
    <row r="51" spans="2:44" x14ac:dyDescent="0.25">
      <c r="B51">
        <f t="shared" si="9"/>
        <v>12</v>
      </c>
      <c r="C51" t="str">
        <f ca="1">OFFSET('MP Calculations'!$D$38,MATCH($C$39,'MP Calculations'!$D$39:$D$129)+'Reduction amount'!B51,)</f>
        <v>2034-35</v>
      </c>
      <c r="D51" s="245">
        <f t="shared" si="2"/>
        <v>2150169.2592883552</v>
      </c>
      <c r="E51" s="245">
        <f t="shared" si="3"/>
        <v>628940.39813826676</v>
      </c>
      <c r="F51" s="245">
        <f t="shared" si="4"/>
        <v>1475921.4197957644</v>
      </c>
      <c r="G51" s="245">
        <f t="shared" si="5"/>
        <v>1014924.6224231373</v>
      </c>
      <c r="H51" s="245">
        <f t="shared" si="6"/>
        <v>2096635.4614823768</v>
      </c>
      <c r="I51" s="245">
        <f t="shared" si="7"/>
        <v>261661.19447571845</v>
      </c>
      <c r="J51" s="245">
        <f t="shared" si="0"/>
        <v>7628252.3556036195</v>
      </c>
      <c r="L51" s="255">
        <v>3112425.525934523</v>
      </c>
      <c r="M51" s="236">
        <v>22590.6</v>
      </c>
      <c r="N51" s="272">
        <v>7563194.0280208914</v>
      </c>
      <c r="O51" s="273">
        <v>932314.06200000003</v>
      </c>
      <c r="P51" s="238">
        <f t="shared" si="8"/>
        <v>8495508.0900208913</v>
      </c>
      <c r="R51" s="38" t="str">
        <f t="shared" ca="1" si="1"/>
        <v>2034-35</v>
      </c>
      <c r="S51" s="278">
        <v>20105307.605913904</v>
      </c>
      <c r="T51" s="283">
        <v>0.18236448129941712</v>
      </c>
      <c r="U51" s="278">
        <v>13800706.162533561</v>
      </c>
      <c r="V51" s="283">
        <v>0.29428257888041198</v>
      </c>
      <c r="X51" s="276">
        <f t="shared" si="10"/>
        <v>363773601.523</v>
      </c>
      <c r="Y51" s="277">
        <f t="shared" si="10"/>
        <v>7.5870000000000007E-2</v>
      </c>
      <c r="AA51" s="280">
        <v>4.3767537574275941E-2</v>
      </c>
      <c r="AB51" s="280">
        <v>0.13168600844773479</v>
      </c>
      <c r="AC51" s="280">
        <v>0.81212390184894379</v>
      </c>
      <c r="AD51" s="259"/>
      <c r="AE51" s="259"/>
      <c r="AG51" s="242"/>
      <c r="AI51" s="241"/>
      <c r="AJ51" s="241"/>
      <c r="AK51" s="241"/>
      <c r="AL51" s="241"/>
      <c r="AN51" s="243"/>
      <c r="AO51" s="243"/>
      <c r="AQ51" s="244"/>
      <c r="AR51" s="244"/>
    </row>
    <row r="52" spans="2:44" x14ac:dyDescent="0.25">
      <c r="B52">
        <f t="shared" si="9"/>
        <v>13</v>
      </c>
      <c r="C52" t="str">
        <f ca="1">OFFSET('MP Calculations'!$D$38,MATCH($C$39,'MP Calculations'!$D$39:$D$129)+'Reduction amount'!B52,)</f>
        <v>2035-36</v>
      </c>
      <c r="D52" s="245">
        <f t="shared" si="2"/>
        <v>2350641.9908954436</v>
      </c>
      <c r="E52" s="245">
        <f t="shared" si="3"/>
        <v>681812.49492226541</v>
      </c>
      <c r="F52" s="245">
        <f t="shared" si="4"/>
        <v>1613530.1207785872</v>
      </c>
      <c r="G52" s="245">
        <f t="shared" si="5"/>
        <v>1107884.1015364742</v>
      </c>
      <c r="H52" s="245">
        <f t="shared" si="6"/>
        <v>2270706.4237551037</v>
      </c>
      <c r="I52" s="245">
        <f t="shared" si="7"/>
        <v>285627.68131636683</v>
      </c>
      <c r="J52" s="245">
        <f t="shared" si="0"/>
        <v>8310202.813204241</v>
      </c>
      <c r="L52" s="255">
        <v>3397503.7377009606</v>
      </c>
      <c r="M52" s="236">
        <v>24598.5975</v>
      </c>
      <c r="N52" s="272">
        <v>8255934.082613335</v>
      </c>
      <c r="O52" s="273">
        <v>1015184.1188250001</v>
      </c>
      <c r="P52" s="238">
        <f t="shared" si="8"/>
        <v>9271118.2014383357</v>
      </c>
      <c r="R52" s="38" t="str">
        <f t="shared" ca="1" si="1"/>
        <v>2035-36</v>
      </c>
      <c r="S52" s="278">
        <v>20105307.605913904</v>
      </c>
      <c r="T52" s="283">
        <v>0.18110679522149009</v>
      </c>
      <c r="U52" s="278">
        <v>13800706.162533561</v>
      </c>
      <c r="V52" s="283">
        <v>0.29428228523296085</v>
      </c>
      <c r="X52" s="276">
        <f t="shared" si="10"/>
        <v>363773601.523</v>
      </c>
      <c r="Y52" s="277">
        <f t="shared" si="10"/>
        <v>7.5870000000000007E-2</v>
      </c>
      <c r="AA52" s="280">
        <v>4.3947699305771221E-2</v>
      </c>
      <c r="AB52" s="280">
        <v>0.14203444035070462</v>
      </c>
      <c r="AC52" s="280">
        <v>0.82315591538676047</v>
      </c>
      <c r="AD52" s="259"/>
      <c r="AE52" s="259"/>
      <c r="AG52" s="242"/>
      <c r="AI52" s="241"/>
      <c r="AJ52" s="241"/>
      <c r="AK52" s="241"/>
      <c r="AL52" s="241"/>
      <c r="AN52" s="243"/>
      <c r="AO52" s="243"/>
      <c r="AQ52" s="244"/>
      <c r="AR52" s="244"/>
    </row>
    <row r="53" spans="2:44" x14ac:dyDescent="0.25">
      <c r="B53">
        <f t="shared" si="9"/>
        <v>14</v>
      </c>
      <c r="C53" t="str">
        <f ca="1">OFFSET('MP Calculations'!$D$38,MATCH($C$39,'MP Calculations'!$D$39:$D$129)+'Reduction amount'!B53,)</f>
        <v>2036-37</v>
      </c>
      <c r="D53" s="245">
        <f t="shared" si="2"/>
        <v>2547704.1047507632</v>
      </c>
      <c r="E53" s="245">
        <f t="shared" si="3"/>
        <v>734889.93996195472</v>
      </c>
      <c r="F53" s="245">
        <f t="shared" si="4"/>
        <v>1748797.7019761531</v>
      </c>
      <c r="G53" s="245">
        <f t="shared" si="5"/>
        <v>1200992.0162863999</v>
      </c>
      <c r="H53" s="245">
        <f t="shared" si="6"/>
        <v>2444794.9705006885</v>
      </c>
      <c r="I53" s="245">
        <f t="shared" si="7"/>
        <v>309632.43003217422</v>
      </c>
      <c r="J53" s="245">
        <f t="shared" si="0"/>
        <v>8986811.163508134</v>
      </c>
      <c r="L53" s="255">
        <v>3683037.0694447933</v>
      </c>
      <c r="M53" s="236">
        <v>26614.595000000001</v>
      </c>
      <c r="N53" s="272">
        <v>8949780.0787508488</v>
      </c>
      <c r="O53" s="273">
        <v>1098384.33565</v>
      </c>
      <c r="P53" s="238">
        <f t="shared" si="8"/>
        <v>10048164.414400849</v>
      </c>
      <c r="R53" s="38" t="str">
        <f t="shared" ca="1" si="1"/>
        <v>2036-37</v>
      </c>
      <c r="S53" s="278">
        <v>20105307.605913904</v>
      </c>
      <c r="T53" s="283">
        <v>0.18007189924879585</v>
      </c>
      <c r="U53" s="278">
        <v>13800706.162533561</v>
      </c>
      <c r="V53" s="283">
        <v>0.29428204360305821</v>
      </c>
      <c r="X53" s="276">
        <f t="shared" si="10"/>
        <v>363773601.523</v>
      </c>
      <c r="Y53" s="277">
        <f t="shared" si="10"/>
        <v>7.5870000000000007E-2</v>
      </c>
      <c r="AA53" s="280">
        <v>4.4169743068254386E-2</v>
      </c>
      <c r="AB53" s="280">
        <v>0.15215505684788849</v>
      </c>
      <c r="AC53" s="280">
        <v>0.83282139596036053</v>
      </c>
      <c r="AD53" s="259"/>
      <c r="AE53" s="259"/>
      <c r="AG53" s="242"/>
      <c r="AI53" s="241"/>
      <c r="AJ53" s="241"/>
      <c r="AK53" s="241"/>
      <c r="AL53" s="241"/>
      <c r="AN53" s="243"/>
      <c r="AO53" s="243"/>
      <c r="AQ53" s="244"/>
      <c r="AR53" s="244"/>
    </row>
    <row r="54" spans="2:44" x14ac:dyDescent="0.25">
      <c r="B54">
        <f t="shared" si="9"/>
        <v>15</v>
      </c>
      <c r="C54" t="str">
        <f ca="1">OFFSET('MP Calculations'!$D$38,MATCH($C$39,'MP Calculations'!$D$39:$D$129)+'Reduction amount'!B54,)</f>
        <v>2037-38</v>
      </c>
      <c r="D54" s="245">
        <f t="shared" si="2"/>
        <v>2743246.9144190191</v>
      </c>
      <c r="E54" s="245">
        <f t="shared" si="3"/>
        <v>788128.04125961591</v>
      </c>
      <c r="F54" s="245">
        <f t="shared" si="4"/>
        <v>1883022.4008130927</v>
      </c>
      <c r="G54" s="245">
        <f t="shared" si="5"/>
        <v>1295355.1750520831</v>
      </c>
      <c r="H54" s="245">
        <f t="shared" si="6"/>
        <v>2618629.2743756589</v>
      </c>
      <c r="I54" s="245">
        <f t="shared" si="7"/>
        <v>333960.83466682991</v>
      </c>
      <c r="J54" s="245">
        <f t="shared" si="0"/>
        <v>9662342.6405862998</v>
      </c>
      <c r="L54" s="255">
        <v>3972420.2458148482</v>
      </c>
      <c r="M54" s="236">
        <v>28636.595000000001</v>
      </c>
      <c r="N54" s="272">
        <v>9652981.1973300818</v>
      </c>
      <c r="O54" s="273">
        <v>1181832.2756500002</v>
      </c>
      <c r="P54" s="238">
        <f t="shared" si="8"/>
        <v>10834813.472980082</v>
      </c>
      <c r="R54" s="38" t="str">
        <f t="shared" ca="1" si="1"/>
        <v>2037-38</v>
      </c>
      <c r="S54" s="278">
        <v>20105307.605913904</v>
      </c>
      <c r="T54" s="283">
        <v>0.17904876345760951</v>
      </c>
      <c r="U54" s="278">
        <v>13800706.162533561</v>
      </c>
      <c r="V54" s="283">
        <v>0.29428180471894994</v>
      </c>
      <c r="X54" s="276">
        <f t="shared" si="10"/>
        <v>363773601.523</v>
      </c>
      <c r="Y54" s="277">
        <f t="shared" si="10"/>
        <v>7.5870000000000007E-2</v>
      </c>
      <c r="AA54" s="280">
        <v>4.4388308874672606E-2</v>
      </c>
      <c r="AB54" s="280">
        <v>0.16217139012024892</v>
      </c>
      <c r="AC54" s="280">
        <v>0.84135627443156247</v>
      </c>
      <c r="AD54" s="259"/>
      <c r="AE54" s="259"/>
      <c r="AG54" s="242"/>
      <c r="AI54" s="241"/>
      <c r="AJ54" s="241"/>
      <c r="AK54" s="241"/>
      <c r="AL54" s="241"/>
      <c r="AN54" s="243"/>
      <c r="AO54" s="243"/>
      <c r="AQ54" s="244"/>
      <c r="AR54" s="244"/>
    </row>
    <row r="55" spans="2:44" x14ac:dyDescent="0.25">
      <c r="B55">
        <f t="shared" si="9"/>
        <v>16</v>
      </c>
      <c r="C55" t="str">
        <f ca="1">OFFSET('MP Calculations'!$D$38,MATCH($C$39,'MP Calculations'!$D$39:$D$129)+'Reduction amount'!B55,)</f>
        <v>2038-39</v>
      </c>
      <c r="D55" s="245">
        <f t="shared" si="2"/>
        <v>2936133.6495047086</v>
      </c>
      <c r="E55" s="245">
        <f t="shared" si="3"/>
        <v>841098.74630633835</v>
      </c>
      <c r="F55" s="245">
        <f t="shared" si="4"/>
        <v>2015423.9141719355</v>
      </c>
      <c r="G55" s="245">
        <f t="shared" si="5"/>
        <v>1390270.540715514</v>
      </c>
      <c r="H55" s="245">
        <f t="shared" si="6"/>
        <v>2795212.6246341029</v>
      </c>
      <c r="I55" s="245">
        <f t="shared" si="7"/>
        <v>358431.64235365478</v>
      </c>
      <c r="J55" s="245">
        <f t="shared" si="0"/>
        <v>10336571.117686253</v>
      </c>
      <c r="L55" s="255">
        <v>4263497.2877786551</v>
      </c>
      <c r="M55" s="236">
        <v>30670.154999999999</v>
      </c>
      <c r="N55" s="272">
        <v>10360298.409302132</v>
      </c>
      <c r="O55" s="273">
        <v>1265757.29685</v>
      </c>
      <c r="P55" s="238">
        <f t="shared" si="8"/>
        <v>11626055.706152132</v>
      </c>
      <c r="R55" s="38" t="str">
        <f t="shared" ca="1" si="1"/>
        <v>2038-39</v>
      </c>
      <c r="S55" s="278">
        <v>20105307.605913904</v>
      </c>
      <c r="T55" s="283">
        <v>0.17803718852282074</v>
      </c>
      <c r="U55" s="278">
        <v>13800706.162533561</v>
      </c>
      <c r="V55" s="283">
        <v>0.29428156853409715</v>
      </c>
      <c r="X55" s="276">
        <f t="shared" si="10"/>
        <v>363773601.523</v>
      </c>
      <c r="Y55" s="277">
        <f t="shared" si="10"/>
        <v>7.5870000000000007E-2</v>
      </c>
      <c r="AA55" s="280">
        <v>4.4671335440784755E-2</v>
      </c>
      <c r="AB55" s="280">
        <v>0.17201041098861977</v>
      </c>
      <c r="AC55" s="280">
        <v>0.84900522826789659</v>
      </c>
      <c r="AD55" s="259"/>
      <c r="AE55" s="259"/>
      <c r="AG55" s="242"/>
      <c r="AI55" s="241"/>
      <c r="AJ55" s="241"/>
      <c r="AK55" s="241"/>
      <c r="AL55" s="241"/>
      <c r="AN55" s="243"/>
      <c r="AO55" s="243"/>
      <c r="AQ55" s="244"/>
      <c r="AR55" s="244"/>
    </row>
    <row r="56" spans="2:44" x14ac:dyDescent="0.25">
      <c r="B56">
        <f t="shared" si="9"/>
        <v>17</v>
      </c>
      <c r="C56" t="str">
        <f ca="1">OFFSET('MP Calculations'!$D$38,MATCH($C$39,'MP Calculations'!$D$39:$D$129)+'Reduction amount'!B56,)</f>
        <v>2039-40</v>
      </c>
      <c r="D56" s="245">
        <f t="shared" si="2"/>
        <v>3127639.6419492727</v>
      </c>
      <c r="E56" s="245">
        <f t="shared" si="3"/>
        <v>894034.1388177434</v>
      </c>
      <c r="F56" s="245">
        <f t="shared" si="4"/>
        <v>2146877.6567306612</v>
      </c>
      <c r="G56" s="245">
        <f t="shared" si="5"/>
        <v>1486116.406335966</v>
      </c>
      <c r="H56" s="245">
        <f t="shared" si="6"/>
        <v>2971707.4325811556</v>
      </c>
      <c r="I56" s="245">
        <f t="shared" si="7"/>
        <v>383142.38226341392</v>
      </c>
      <c r="J56" s="245">
        <f t="shared" si="0"/>
        <v>11009517.658678213</v>
      </c>
      <c r="L56" s="255">
        <v>4557428.2920071036</v>
      </c>
      <c r="M56" s="236">
        <v>32716.715</v>
      </c>
      <c r="N56" s="272">
        <v>11074550.749577262</v>
      </c>
      <c r="O56" s="273">
        <v>1350218.8280500001</v>
      </c>
      <c r="P56" s="238">
        <f t="shared" si="8"/>
        <v>12424769.577627262</v>
      </c>
      <c r="R56" s="38" t="str">
        <f t="shared" ca="1" si="1"/>
        <v>2039-40</v>
      </c>
      <c r="S56" s="278">
        <v>20105307.605913904</v>
      </c>
      <c r="T56" s="283">
        <v>0.17703697959853523</v>
      </c>
      <c r="U56" s="278">
        <v>13800706.162533561</v>
      </c>
      <c r="V56" s="283">
        <v>0.29428133500300668</v>
      </c>
      <c r="X56" s="276">
        <f t="shared" si="10"/>
        <v>363773601.523</v>
      </c>
      <c r="Y56" s="277">
        <f t="shared" si="10"/>
        <v>7.5870000000000007E-2</v>
      </c>
      <c r="AA56" s="280">
        <v>4.4955840302212335E-2</v>
      </c>
      <c r="AB56" s="280">
        <v>0.18171415165314514</v>
      </c>
      <c r="AC56" s="280">
        <v>0.85608568697717846</v>
      </c>
      <c r="AD56" s="259"/>
      <c r="AE56" s="259"/>
      <c r="AG56" s="242"/>
      <c r="AI56" s="241"/>
      <c r="AJ56" s="241"/>
      <c r="AK56" s="241"/>
      <c r="AL56" s="241"/>
      <c r="AN56" s="243"/>
      <c r="AO56" s="243"/>
      <c r="AQ56" s="244"/>
      <c r="AR56" s="244"/>
    </row>
    <row r="57" spans="2:44" x14ac:dyDescent="0.25">
      <c r="B57">
        <f t="shared" si="9"/>
        <v>18</v>
      </c>
      <c r="C57" t="str">
        <f ca="1">OFFSET('MP Calculations'!$D$38,MATCH($C$39,'MP Calculations'!$D$39:$D$129)+'Reduction amount'!B57,)</f>
        <v>2040-41</v>
      </c>
      <c r="D57" s="245">
        <f t="shared" si="2"/>
        <v>3310616.6294356128</v>
      </c>
      <c r="E57" s="245">
        <f t="shared" si="3"/>
        <v>944807.78882002877</v>
      </c>
      <c r="F57" s="245">
        <f t="shared" si="4"/>
        <v>2272476.9108331846</v>
      </c>
      <c r="G57" s="245">
        <f t="shared" si="5"/>
        <v>1579337.2501700951</v>
      </c>
      <c r="H57" s="245">
        <f t="shared" si="6"/>
        <v>3140885.2577440026</v>
      </c>
      <c r="I57" s="245">
        <f t="shared" si="7"/>
        <v>407176.38852320448</v>
      </c>
      <c r="J57" s="245">
        <f t="shared" si="0"/>
        <v>11655300.225526128</v>
      </c>
      <c r="L57" s="255">
        <v>4843309.6383921672</v>
      </c>
      <c r="M57" s="236">
        <v>34769.275000000001</v>
      </c>
      <c r="N57" s="272">
        <v>11769242.421292966</v>
      </c>
      <c r="O57" s="273">
        <v>1434927.9792500001</v>
      </c>
      <c r="P57" s="238">
        <f t="shared" si="8"/>
        <v>13204170.400542967</v>
      </c>
      <c r="R57" s="38" t="str">
        <f t="shared" ca="1" si="1"/>
        <v>2040-41</v>
      </c>
      <c r="S57" s="278">
        <v>20105307.605913904</v>
      </c>
      <c r="T57" s="283">
        <v>0.17604794619295683</v>
      </c>
      <c r="U57" s="278">
        <v>13800706.162533561</v>
      </c>
      <c r="V57" s="283">
        <v>0.29428110408120212</v>
      </c>
      <c r="X57" s="276">
        <f t="shared" si="10"/>
        <v>363773601.523</v>
      </c>
      <c r="Y57" s="277">
        <f t="shared" si="10"/>
        <v>7.5870000000000007E-2</v>
      </c>
      <c r="AA57" s="280">
        <v>4.522016408988281E-2</v>
      </c>
      <c r="AB57" s="280">
        <v>0.19093641207256901</v>
      </c>
      <c r="AC57" s="280">
        <v>0.86240132033185823</v>
      </c>
      <c r="AD57" s="259"/>
      <c r="AE57" s="259"/>
      <c r="AG57" s="242"/>
      <c r="AI57" s="241"/>
      <c r="AJ57" s="241"/>
      <c r="AK57" s="241"/>
      <c r="AL57" s="241"/>
      <c r="AN57" s="243"/>
      <c r="AO57" s="243"/>
      <c r="AQ57" s="244"/>
      <c r="AR57" s="244"/>
    </row>
    <row r="58" spans="2:44" x14ac:dyDescent="0.25">
      <c r="B58">
        <f t="shared" si="9"/>
        <v>19</v>
      </c>
      <c r="C58" t="str">
        <f ca="1">OFFSET('MP Calculations'!$D$38,MATCH($C$39,'MP Calculations'!$D$39:$D$129)+'Reduction amount'!B58,)</f>
        <v>2041-42</v>
      </c>
      <c r="D58" s="245">
        <f t="shared" si="2"/>
        <v>3486041.5899906009</v>
      </c>
      <c r="E58" s="245">
        <f t="shared" si="3"/>
        <v>993583.86135117663</v>
      </c>
      <c r="F58" s="245">
        <f t="shared" si="4"/>
        <v>2392892.2947530653</v>
      </c>
      <c r="G58" s="245">
        <f t="shared" si="5"/>
        <v>1670148.4687277251</v>
      </c>
      <c r="H58" s="245">
        <f t="shared" si="6"/>
        <v>3305942.9311198136</v>
      </c>
      <c r="I58" s="245">
        <f t="shared" si="7"/>
        <v>430589.19139788201</v>
      </c>
      <c r="J58" s="245">
        <f t="shared" si="0"/>
        <v>12279198.337340264</v>
      </c>
      <c r="L58" s="255">
        <v>5121801.8521376094</v>
      </c>
      <c r="M58" s="236">
        <v>36850.834999999999</v>
      </c>
      <c r="N58" s="272">
        <v>12445978.500694392</v>
      </c>
      <c r="O58" s="273">
        <v>1520833.9604500001</v>
      </c>
      <c r="P58" s="238">
        <f t="shared" si="8"/>
        <v>13966812.461144391</v>
      </c>
      <c r="R58" s="38" t="str">
        <f t="shared" ca="1" si="1"/>
        <v>2041-42</v>
      </c>
      <c r="S58" s="278">
        <v>20105307.605913904</v>
      </c>
      <c r="T58" s="283">
        <v>0.17506990204744041</v>
      </c>
      <c r="U58" s="278">
        <v>13800706.162533561</v>
      </c>
      <c r="V58" s="283">
        <v>0.29428087572519546</v>
      </c>
      <c r="X58" s="276">
        <f t="shared" si="10"/>
        <v>363773601.523</v>
      </c>
      <c r="Y58" s="277">
        <f t="shared" si="10"/>
        <v>7.5870000000000007E-2</v>
      </c>
      <c r="AA58" s="280">
        <v>4.5502680057083071E-2</v>
      </c>
      <c r="AB58" s="280">
        <v>0.19972259288151703</v>
      </c>
      <c r="AC58" s="280">
        <v>0.86814975383017545</v>
      </c>
      <c r="AD58" s="259"/>
      <c r="AE58" s="259"/>
      <c r="AG58" s="242"/>
      <c r="AI58" s="241"/>
      <c r="AJ58" s="241"/>
      <c r="AK58" s="241"/>
      <c r="AL58" s="241"/>
      <c r="AN58" s="243"/>
      <c r="AO58" s="243"/>
      <c r="AQ58" s="244"/>
      <c r="AR58" s="244"/>
    </row>
    <row r="59" spans="2:44" x14ac:dyDescent="0.25">
      <c r="B59">
        <f t="shared" si="9"/>
        <v>20</v>
      </c>
      <c r="C59" t="str">
        <f ca="1">OFFSET('MP Calculations'!$D$38,MATCH($C$39,'MP Calculations'!$D$39:$D$129)+'Reduction amount'!B59,)</f>
        <v>2042-43</v>
      </c>
      <c r="D59" s="245">
        <f t="shared" si="2"/>
        <v>3652964.5056700818</v>
      </c>
      <c r="E59" s="245">
        <f t="shared" si="3"/>
        <v>1040035.448981627</v>
      </c>
      <c r="F59" s="245">
        <f t="shared" si="4"/>
        <v>2507471.6961847683</v>
      </c>
      <c r="G59" s="245">
        <f t="shared" si="5"/>
        <v>1757941.5444509967</v>
      </c>
      <c r="H59" s="245">
        <f t="shared" si="6"/>
        <v>3463551.2298973268</v>
      </c>
      <c r="I59" s="245">
        <f t="shared" si="7"/>
        <v>453223.90386944229</v>
      </c>
      <c r="J59" s="245">
        <f t="shared" si="0"/>
        <v>12875188.329054244</v>
      </c>
      <c r="L59" s="255">
        <v>5391038.7827792689</v>
      </c>
      <c r="M59" s="236">
        <v>38938.397499999999</v>
      </c>
      <c r="N59" s="272">
        <v>13100224.242153624</v>
      </c>
      <c r="O59" s="273">
        <v>1606987.6648250001</v>
      </c>
      <c r="P59" s="238">
        <f t="shared" si="8"/>
        <v>14707211.906978624</v>
      </c>
      <c r="R59" s="38" t="str">
        <f t="shared" ca="1" si="1"/>
        <v>2042-43</v>
      </c>
      <c r="S59" s="278">
        <v>20105307.605913904</v>
      </c>
      <c r="T59" s="283">
        <v>0.17410266501955399</v>
      </c>
      <c r="U59" s="278">
        <v>13800706.162533561</v>
      </c>
      <c r="V59" s="283">
        <v>0.29428064989245961</v>
      </c>
      <c r="X59" s="276">
        <f t="shared" si="10"/>
        <v>363773601.523</v>
      </c>
      <c r="Y59" s="277">
        <f t="shared" si="10"/>
        <v>7.5870000000000007E-2</v>
      </c>
      <c r="AA59" s="280">
        <v>4.5766674075834554E-2</v>
      </c>
      <c r="AB59" s="280">
        <v>0.20803723984930891</v>
      </c>
      <c r="AC59" s="280">
        <v>0.87336070362654472</v>
      </c>
      <c r="AD59" s="259"/>
      <c r="AE59" s="259"/>
      <c r="AG59" s="242"/>
      <c r="AI59" s="241"/>
      <c r="AJ59" s="241"/>
      <c r="AK59" s="241"/>
      <c r="AL59" s="241"/>
      <c r="AN59" s="243"/>
      <c r="AO59" s="243"/>
      <c r="AQ59" s="244"/>
      <c r="AR59" s="244"/>
    </row>
    <row r="60" spans="2:44" x14ac:dyDescent="0.25">
      <c r="B60">
        <f t="shared" si="9"/>
        <v>21</v>
      </c>
      <c r="C60" t="str">
        <f ca="1">OFFSET('MP Calculations'!$D$38,MATCH($C$39,'MP Calculations'!$D$39:$D$129)+'Reduction amount'!B60,)</f>
        <v>2043-44</v>
      </c>
      <c r="D60" s="245">
        <f t="shared" si="2"/>
        <v>3816904.946620604</v>
      </c>
      <c r="E60" s="245">
        <f t="shared" si="3"/>
        <v>1085329.5443794879</v>
      </c>
      <c r="F60" s="245">
        <f t="shared" si="4"/>
        <v>2620003.8642103318</v>
      </c>
      <c r="G60" s="245">
        <f t="shared" si="5"/>
        <v>1844634.7947347581</v>
      </c>
      <c r="H60" s="245">
        <f t="shared" si="6"/>
        <v>3617603.9564315518</v>
      </c>
      <c r="I60" s="245">
        <f t="shared" si="7"/>
        <v>475575.09522923123</v>
      </c>
      <c r="J60" s="245">
        <f t="shared" si="0"/>
        <v>13460052.201605964</v>
      </c>
      <c r="L60" s="255">
        <v>5656903.2670511613</v>
      </c>
      <c r="M60" s="236">
        <v>41037.519999999997</v>
      </c>
      <c r="N60" s="272">
        <v>13746274.938934322</v>
      </c>
      <c r="O60" s="273">
        <v>1693618.4504</v>
      </c>
      <c r="P60" s="238">
        <f t="shared" si="8"/>
        <v>15439893.389334323</v>
      </c>
      <c r="R60" s="38" t="str">
        <f t="shared" ca="1" si="1"/>
        <v>2043-44</v>
      </c>
      <c r="S60" s="278">
        <v>20105307.605913904</v>
      </c>
      <c r="T60" s="283">
        <v>0.17314605696999602</v>
      </c>
      <c r="U60" s="278">
        <v>13800706.162533561</v>
      </c>
      <c r="V60" s="283">
        <v>0.29428042654140213</v>
      </c>
      <c r="X60" s="276">
        <f t="shared" si="10"/>
        <v>363773601.523</v>
      </c>
      <c r="Y60" s="277">
        <f t="shared" si="10"/>
        <v>7.5870000000000007E-2</v>
      </c>
      <c r="AA60" s="280">
        <v>4.6023053747741627E-2</v>
      </c>
      <c r="AB60" s="280">
        <v>0.21607991897318934</v>
      </c>
      <c r="AC60" s="280">
        <v>0.87858991595524094</v>
      </c>
      <c r="AD60" s="259"/>
      <c r="AE60" s="259"/>
      <c r="AG60" s="242"/>
      <c r="AI60" s="241"/>
      <c r="AJ60" s="241"/>
      <c r="AK60" s="241"/>
      <c r="AL60" s="241"/>
      <c r="AN60" s="243"/>
      <c r="AO60" s="243"/>
      <c r="AQ60" s="244"/>
      <c r="AR60" s="244"/>
    </row>
    <row r="61" spans="2:44" x14ac:dyDescent="0.25">
      <c r="B61">
        <f t="shared" si="9"/>
        <v>22</v>
      </c>
      <c r="C61" t="str">
        <f ca="1">OFFSET('MP Calculations'!$D$38,MATCH($C$39,'MP Calculations'!$D$39:$D$129)+'Reduction amount'!B61,)</f>
        <v>2044-45</v>
      </c>
      <c r="D61" s="245">
        <f t="shared" si="2"/>
        <v>3975876.8431581245</v>
      </c>
      <c r="E61" s="245">
        <f t="shared" si="3"/>
        <v>1129517.992200335</v>
      </c>
      <c r="F61" s="245">
        <f t="shared" si="4"/>
        <v>2729125.5188111137</v>
      </c>
      <c r="G61" s="245">
        <f t="shared" si="5"/>
        <v>1930284.3959680521</v>
      </c>
      <c r="H61" s="245">
        <f t="shared" si="6"/>
        <v>3768072.3751183334</v>
      </c>
      <c r="I61" s="245">
        <f t="shared" si="7"/>
        <v>497657.247479168</v>
      </c>
      <c r="J61" s="245">
        <f t="shared" si="0"/>
        <v>14030534.372735128</v>
      </c>
      <c r="L61" s="255">
        <v>5919567.5664631762</v>
      </c>
      <c r="M61" s="236">
        <v>43145.642500000002</v>
      </c>
      <c r="N61" s="272">
        <v>14384549.186505519</v>
      </c>
      <c r="O61" s="273">
        <v>1780620.6659750002</v>
      </c>
      <c r="P61" s="238">
        <f t="shared" si="8"/>
        <v>16165169.85248052</v>
      </c>
      <c r="R61" s="38" t="str">
        <f t="shared" ca="1" si="1"/>
        <v>2044-45</v>
      </c>
      <c r="S61" s="278">
        <v>20105307.605913904</v>
      </c>
      <c r="T61" s="283">
        <v>0.17219990365322008</v>
      </c>
      <c r="U61" s="278">
        <v>13800706.162533561</v>
      </c>
      <c r="V61" s="283">
        <v>0.29428020563133983</v>
      </c>
      <c r="X61" s="276">
        <f t="shared" si="10"/>
        <v>363773601.523</v>
      </c>
      <c r="Y61" s="277">
        <f t="shared" si="10"/>
        <v>7.5870000000000007E-2</v>
      </c>
      <c r="AA61" s="280">
        <v>4.6269844509016313E-2</v>
      </c>
      <c r="AB61" s="280">
        <v>0.22386696734229991</v>
      </c>
      <c r="AC61" s="280">
        <v>0.88334872207661075</v>
      </c>
      <c r="AD61" s="259"/>
      <c r="AE61" s="259"/>
      <c r="AG61" s="242"/>
      <c r="AI61" s="241"/>
      <c r="AJ61" s="241"/>
      <c r="AK61" s="241"/>
      <c r="AL61" s="241"/>
      <c r="AN61" s="243"/>
      <c r="AO61" s="243"/>
      <c r="AQ61" s="244"/>
      <c r="AR61" s="244"/>
    </row>
    <row r="62" spans="2:44" x14ac:dyDescent="0.25">
      <c r="B62">
        <f t="shared" si="9"/>
        <v>23</v>
      </c>
      <c r="C62" t="str">
        <f ca="1">OFFSET('MP Calculations'!$D$38,MATCH($C$39,'MP Calculations'!$D$39:$D$129)+'Reduction amount'!B62,)</f>
        <v>2045-46</v>
      </c>
      <c r="D62" s="245">
        <f t="shared" si="2"/>
        <v>4135020.9297084138</v>
      </c>
      <c r="E62" s="245">
        <f t="shared" si="3"/>
        <v>1174221.886297236</v>
      </c>
      <c r="F62" s="245">
        <f t="shared" si="4"/>
        <v>2838365.3682595906</v>
      </c>
      <c r="G62" s="245">
        <f t="shared" si="5"/>
        <v>2017644.874255575</v>
      </c>
      <c r="H62" s="245">
        <f t="shared" si="6"/>
        <v>3927640.1156484894</v>
      </c>
      <c r="I62" s="245">
        <f t="shared" si="7"/>
        <v>520180.51960176945</v>
      </c>
      <c r="J62" s="245">
        <f t="shared" si="0"/>
        <v>14613073.693771075</v>
      </c>
      <c r="L62" s="255">
        <v>6187478.9287972637</v>
      </c>
      <c r="M62" s="236">
        <v>45281.764999999999</v>
      </c>
      <c r="N62" s="272">
        <v>15035573.796977352</v>
      </c>
      <c r="O62" s="273">
        <v>1868778.4415500001</v>
      </c>
      <c r="P62" s="238">
        <f t="shared" si="8"/>
        <v>16904352.238527354</v>
      </c>
      <c r="R62" s="38" t="str">
        <f t="shared" ca="1" si="1"/>
        <v>2045-46</v>
      </c>
      <c r="S62" s="278">
        <v>20105307.605913904</v>
      </c>
      <c r="T62" s="283">
        <v>0.17126403461162648</v>
      </c>
      <c r="U62" s="278">
        <v>13800706.162533561</v>
      </c>
      <c r="V62" s="283">
        <v>0.29427998712247389</v>
      </c>
      <c r="X62" s="276">
        <f t="shared" si="10"/>
        <v>363773601.523</v>
      </c>
      <c r="Y62" s="277">
        <f t="shared" si="10"/>
        <v>7.5870000000000007E-2</v>
      </c>
      <c r="AA62" s="280">
        <v>4.6608468138284537E-2</v>
      </c>
      <c r="AB62" s="280">
        <v>0.23165179935367089</v>
      </c>
      <c r="AC62" s="280">
        <v>0.88783305876890051</v>
      </c>
      <c r="AD62" s="259"/>
      <c r="AE62" s="259"/>
      <c r="AG62" s="242"/>
      <c r="AI62" s="241"/>
      <c r="AJ62" s="241"/>
      <c r="AK62" s="241"/>
      <c r="AL62" s="241"/>
      <c r="AN62" s="243"/>
      <c r="AO62" s="243"/>
      <c r="AQ62" s="244"/>
      <c r="AR62" s="244"/>
    </row>
    <row r="63" spans="2:44" x14ac:dyDescent="0.25">
      <c r="B63">
        <f t="shared" si="9"/>
        <v>24</v>
      </c>
      <c r="C63" t="str">
        <f ca="1">OFFSET('MP Calculations'!$D$38,MATCH($C$39,'MP Calculations'!$D$39:$D$129)+'Reduction amount'!B63,)</f>
        <v>2046-47</v>
      </c>
      <c r="D63" s="245">
        <f t="shared" si="2"/>
        <v>4291644.9487972809</v>
      </c>
      <c r="E63" s="245">
        <f t="shared" si="3"/>
        <v>1218588.7057335416</v>
      </c>
      <c r="F63" s="245">
        <f t="shared" si="4"/>
        <v>2945875.3903795551</v>
      </c>
      <c r="G63" s="245">
        <f t="shared" si="5"/>
        <v>2105257.836155185</v>
      </c>
      <c r="H63" s="245">
        <f t="shared" si="6"/>
        <v>4091658.341031543</v>
      </c>
      <c r="I63" s="245">
        <f t="shared" si="7"/>
        <v>542768.91510219767</v>
      </c>
      <c r="J63" s="245">
        <f t="shared" si="0"/>
        <v>15195794.137199303</v>
      </c>
      <c r="L63" s="255">
        <v>6456164.9251533691</v>
      </c>
      <c r="M63" s="236">
        <v>47432.887499999997</v>
      </c>
      <c r="N63" s="272">
        <v>15688480.768122688</v>
      </c>
      <c r="O63" s="273">
        <v>1957555.267125</v>
      </c>
      <c r="P63" s="238">
        <f t="shared" si="8"/>
        <v>17646036.035247687</v>
      </c>
      <c r="R63" s="38" t="str">
        <f t="shared" ca="1" si="1"/>
        <v>2046-47</v>
      </c>
      <c r="S63" s="278">
        <v>20105307.605913904</v>
      </c>
      <c r="T63" s="283">
        <v>0.17033828307318527</v>
      </c>
      <c r="U63" s="278">
        <v>13800706.162533561</v>
      </c>
      <c r="V63" s="283">
        <v>0.29427977097586588</v>
      </c>
      <c r="X63" s="276">
        <f t="shared" si="10"/>
        <v>363773601.523</v>
      </c>
      <c r="Y63" s="277">
        <f t="shared" si="10"/>
        <v>7.5870000000000007E-2</v>
      </c>
      <c r="AA63" s="280">
        <v>4.7002232394047813E-2</v>
      </c>
      <c r="AB63" s="280">
        <v>0.23930385626951423</v>
      </c>
      <c r="AC63" s="280">
        <v>0.89199694312131461</v>
      </c>
      <c r="AD63" s="259"/>
      <c r="AE63" s="259"/>
      <c r="AG63" s="242"/>
      <c r="AI63" s="241"/>
      <c r="AJ63" s="241"/>
      <c r="AK63" s="241"/>
      <c r="AL63" s="241"/>
      <c r="AN63" s="243"/>
      <c r="AO63" s="243"/>
      <c r="AQ63" s="244"/>
      <c r="AR63" s="244"/>
    </row>
    <row r="64" spans="2:44" x14ac:dyDescent="0.25">
      <c r="B64">
        <f t="shared" si="9"/>
        <v>25</v>
      </c>
      <c r="C64" t="str">
        <f ca="1">OFFSET('MP Calculations'!$D$38,MATCH($C$39,'MP Calculations'!$D$39:$D$129)+'Reduction amount'!B64,)</f>
        <v>2047-48</v>
      </c>
      <c r="D64" s="245">
        <f t="shared" si="2"/>
        <v>4446136.0827255538</v>
      </c>
      <c r="E64" s="245">
        <f t="shared" si="3"/>
        <v>1262738.2114923664</v>
      </c>
      <c r="F64" s="245">
        <f t="shared" si="4"/>
        <v>3051921.3552487306</v>
      </c>
      <c r="G64" s="245">
        <f t="shared" si="5"/>
        <v>2193321.8593102642</v>
      </c>
      <c r="H64" s="245">
        <f t="shared" si="6"/>
        <v>4255982.6251069028</v>
      </c>
      <c r="I64" s="245">
        <f t="shared" si="7"/>
        <v>565473.63016153255</v>
      </c>
      <c r="J64" s="245">
        <f t="shared" si="0"/>
        <v>15775573.76404535</v>
      </c>
      <c r="L64" s="255">
        <v>6726234.5273782471</v>
      </c>
      <c r="M64" s="236">
        <v>49589.572500000002</v>
      </c>
      <c r="N64" s="272">
        <v>16344749.901529141</v>
      </c>
      <c r="O64" s="273">
        <v>2046561.6570750002</v>
      </c>
      <c r="P64" s="238">
        <f t="shared" si="8"/>
        <v>18391311.55860414</v>
      </c>
      <c r="R64" s="38" t="str">
        <f t="shared" ca="1" si="1"/>
        <v>2047-48</v>
      </c>
      <c r="S64" s="278">
        <v>20105307.605913904</v>
      </c>
      <c r="T64" s="283">
        <v>0.16942248585236169</v>
      </c>
      <c r="U64" s="278">
        <v>13800706.162533561</v>
      </c>
      <c r="V64" s="283">
        <v>0.29427955715341497</v>
      </c>
      <c r="X64" s="276">
        <f t="shared" si="10"/>
        <v>363773601.523</v>
      </c>
      <c r="Y64" s="277">
        <f t="shared" si="10"/>
        <v>7.5870000000000007E-2</v>
      </c>
      <c r="AA64" s="280">
        <v>4.73966251101125E-2</v>
      </c>
      <c r="AB64" s="280">
        <v>0.24684324543546743</v>
      </c>
      <c r="AC64" s="280">
        <v>0.89588193868899724</v>
      </c>
      <c r="AD64" s="259"/>
      <c r="AE64" s="259"/>
      <c r="AG64" s="242"/>
      <c r="AI64" s="241"/>
      <c r="AJ64" s="241"/>
      <c r="AK64" s="241"/>
      <c r="AL64" s="241"/>
      <c r="AN64" s="243"/>
      <c r="AO64" s="243"/>
      <c r="AQ64" s="244"/>
      <c r="AR64" s="244"/>
    </row>
    <row r="65" spans="2:44" x14ac:dyDescent="0.25">
      <c r="B65">
        <f t="shared" si="9"/>
        <v>26</v>
      </c>
      <c r="C65" t="str">
        <f ca="1">OFFSET('MP Calculations'!$D$38,MATCH($C$39,'MP Calculations'!$D$39:$D$129)+'Reduction amount'!B65,)</f>
        <v>2048-49</v>
      </c>
      <c r="D65" s="245">
        <f t="shared" si="2"/>
        <v>4596665.5198236778</v>
      </c>
      <c r="E65" s="245">
        <f t="shared" si="3"/>
        <v>1306051.7739381772</v>
      </c>
      <c r="F65" s="245">
        <f t="shared" si="4"/>
        <v>3155247.9280583761</v>
      </c>
      <c r="G65" s="245">
        <f t="shared" si="5"/>
        <v>2280750.5471006394</v>
      </c>
      <c r="H65" s="245">
        <f t="shared" si="6"/>
        <v>4418479.3111366332</v>
      </c>
      <c r="I65" s="245">
        <f t="shared" si="7"/>
        <v>588014.57385746657</v>
      </c>
      <c r="J65" s="245">
        <f t="shared" si="0"/>
        <v>16345209.653914969</v>
      </c>
      <c r="L65" s="255">
        <v>6994356.0907550761</v>
      </c>
      <c r="M65" s="236">
        <v>51752.697500000002</v>
      </c>
      <c r="N65" s="272">
        <v>16996285.300534837</v>
      </c>
      <c r="O65" s="273">
        <v>2135833.8258250002</v>
      </c>
      <c r="P65" s="238">
        <f t="shared" si="8"/>
        <v>19132119.126359835</v>
      </c>
      <c r="R65" s="38" t="str">
        <f t="shared" ca="1" si="1"/>
        <v>2048-49</v>
      </c>
      <c r="S65" s="278">
        <v>20105307.605913904</v>
      </c>
      <c r="T65" s="283">
        <v>0.16851648325422072</v>
      </c>
      <c r="U65" s="278">
        <v>13800706.162533561</v>
      </c>
      <c r="V65" s="283">
        <v>0.29427934561783525</v>
      </c>
      <c r="X65" s="276">
        <f t="shared" si="10"/>
        <v>363773601.523</v>
      </c>
      <c r="Y65" s="277">
        <f t="shared" si="10"/>
        <v>7.5870000000000007E-2</v>
      </c>
      <c r="AA65" s="280">
        <v>4.7785605893205671E-2</v>
      </c>
      <c r="AB65" s="280">
        <v>0.25418185746483873</v>
      </c>
      <c r="AC65" s="280">
        <v>0.8994719656402993</v>
      </c>
      <c r="AD65" s="259"/>
      <c r="AE65" s="259"/>
      <c r="AG65" s="242"/>
      <c r="AI65" s="241"/>
      <c r="AJ65" s="241"/>
      <c r="AK65" s="241"/>
      <c r="AL65" s="241"/>
      <c r="AN65" s="243"/>
      <c r="AO65" s="243"/>
      <c r="AQ65" s="244"/>
      <c r="AR65" s="244"/>
    </row>
    <row r="66" spans="2:44" x14ac:dyDescent="0.25">
      <c r="B66">
        <f t="shared" si="9"/>
        <v>27</v>
      </c>
      <c r="C66" t="str">
        <f ca="1">OFFSET('MP Calculations'!$D$38,MATCH($C$39,'MP Calculations'!$D$39:$D$129)+'Reduction amount'!B66,)</f>
        <v>2049-50</v>
      </c>
      <c r="D66" s="245">
        <f t="shared" si="2"/>
        <v>4744961.8111953763</v>
      </c>
      <c r="E66" s="245">
        <f t="shared" si="3"/>
        <v>1349087.1075752359</v>
      </c>
      <c r="F66" s="245">
        <f t="shared" si="4"/>
        <v>3257041.622655333</v>
      </c>
      <c r="G66" s="245">
        <f t="shared" si="5"/>
        <v>2368499.6244295193</v>
      </c>
      <c r="H66" s="245">
        <f t="shared" si="6"/>
        <v>4581002.3784432001</v>
      </c>
      <c r="I66" s="245">
        <f t="shared" si="7"/>
        <v>610638.14698147227</v>
      </c>
      <c r="J66" s="245">
        <f t="shared" si="0"/>
        <v>16911230.691280138</v>
      </c>
      <c r="L66" s="255">
        <v>7263460.5203212863</v>
      </c>
      <c r="M66" s="236">
        <v>53925.3825</v>
      </c>
      <c r="N66" s="272">
        <v>17650209.064380728</v>
      </c>
      <c r="O66" s="273">
        <v>2225500.5357750002</v>
      </c>
      <c r="P66" s="238">
        <f t="shared" si="8"/>
        <v>19875709.600155726</v>
      </c>
      <c r="R66" s="38" t="str">
        <f t="shared" ca="1" si="1"/>
        <v>2049-50</v>
      </c>
      <c r="S66" s="278">
        <v>20105307.605913904</v>
      </c>
      <c r="T66" s="283">
        <v>0.16762011898159188</v>
      </c>
      <c r="U66" s="278">
        <v>13800706.162533561</v>
      </c>
      <c r="V66" s="283">
        <v>0.29427913633263397</v>
      </c>
      <c r="X66" s="276">
        <f t="shared" si="10"/>
        <v>363773601.523</v>
      </c>
      <c r="Y66" s="277">
        <f t="shared" si="10"/>
        <v>7.5870000000000007E-2</v>
      </c>
      <c r="AA66" s="280">
        <v>4.8174310385106368E-2</v>
      </c>
      <c r="AB66" s="280">
        <v>0.26140496433970695</v>
      </c>
      <c r="AC66" s="280">
        <v>0.902834545638728</v>
      </c>
      <c r="AD66" s="259"/>
      <c r="AE66" s="259"/>
      <c r="AG66" s="242"/>
      <c r="AI66" s="241"/>
      <c r="AJ66" s="241"/>
      <c r="AK66" s="241"/>
      <c r="AL66" s="241"/>
      <c r="AN66" s="243"/>
      <c r="AO66" s="243"/>
      <c r="AQ66" s="244"/>
      <c r="AR66" s="244"/>
    </row>
    <row r="67" spans="2:44" x14ac:dyDescent="0.25">
      <c r="B67">
        <f t="shared" si="9"/>
        <v>28</v>
      </c>
      <c r="C67" t="str">
        <f ca="1">OFFSET('MP Calculations'!$D$38,MATCH($C$39,'MP Calculations'!$D$39:$D$129)+'Reduction amount'!B67,)</f>
        <v>2050-51</v>
      </c>
      <c r="D67" s="245">
        <f t="shared" si="2"/>
        <v>4892000.5843692338</v>
      </c>
      <c r="E67" s="245">
        <f t="shared" si="3"/>
        <v>1392172.2280808673</v>
      </c>
      <c r="F67" s="245">
        <f t="shared" si="4"/>
        <v>3357972.1303027235</v>
      </c>
      <c r="G67" s="245">
        <f t="shared" si="5"/>
        <v>2457140.2350067701</v>
      </c>
      <c r="H67" s="245">
        <f t="shared" si="6"/>
        <v>4744605.4962369483</v>
      </c>
      <c r="I67" s="245">
        <f t="shared" si="7"/>
        <v>633491.59961069201</v>
      </c>
      <c r="J67" s="245">
        <f t="shared" si="0"/>
        <v>17477382.273607239</v>
      </c>
      <c r="L67" s="255">
        <v>7535299.3363957871</v>
      </c>
      <c r="M67" s="236">
        <v>56105.067499999997</v>
      </c>
      <c r="N67" s="272">
        <v>18310777.387441766</v>
      </c>
      <c r="O67" s="273">
        <v>2315456.1357249999</v>
      </c>
      <c r="P67" s="238">
        <f t="shared" si="8"/>
        <v>20626233.523166765</v>
      </c>
      <c r="R67" s="38" t="str">
        <f t="shared" ca="1" si="1"/>
        <v>2050-51</v>
      </c>
      <c r="S67" s="278">
        <v>20105307.605913904</v>
      </c>
      <c r="T67" s="283">
        <v>0.16673324004518134</v>
      </c>
      <c r="U67" s="278">
        <v>13800706.162533561</v>
      </c>
      <c r="V67" s="283">
        <v>0.29427892926209093</v>
      </c>
      <c r="X67" s="276">
        <f t="shared" si="10"/>
        <v>363773601.523</v>
      </c>
      <c r="Y67" s="277">
        <f t="shared" si="10"/>
        <v>7.5870000000000007E-2</v>
      </c>
      <c r="AA67" s="280">
        <v>4.8565326921529602E-2</v>
      </c>
      <c r="AB67" s="280">
        <v>0.26856079338235522</v>
      </c>
      <c r="AC67" s="280">
        <v>0.90601036662080825</v>
      </c>
      <c r="AD67" s="259"/>
      <c r="AE67" s="259"/>
      <c r="AG67" s="242"/>
      <c r="AI67" s="241"/>
      <c r="AJ67" s="241"/>
      <c r="AK67" s="241"/>
      <c r="AL67" s="241"/>
      <c r="AN67" s="243"/>
      <c r="AO67" s="243"/>
      <c r="AQ67" s="244"/>
      <c r="AR67" s="244"/>
    </row>
    <row r="68" spans="2:44" ht="12" thickBot="1" x14ac:dyDescent="0.3">
      <c r="B68">
        <f t="shared" si="9"/>
        <v>29</v>
      </c>
      <c r="C68" t="str">
        <f ca="1">OFFSET('MP Calculations'!$D$38,MATCH($C$39,'MP Calculations'!$D$39:$D$129)+'Reduction amount'!B68,)</f>
        <v>2051-52</v>
      </c>
      <c r="D68" s="245">
        <f t="shared" si="2"/>
        <v>5036816.4301845618</v>
      </c>
      <c r="E68" s="245">
        <f t="shared" si="3"/>
        <v>1434974.0961438755</v>
      </c>
      <c r="F68" s="245">
        <f t="shared" si="4"/>
        <v>3457376.7738401471</v>
      </c>
      <c r="G68" s="245">
        <f t="shared" si="5"/>
        <v>2546082.8598645614</v>
      </c>
      <c r="H68" s="245">
        <f t="shared" si="6"/>
        <v>4908256.6485684263</v>
      </c>
      <c r="I68" s="245">
        <f t="shared" si="7"/>
        <v>656422.94389666885</v>
      </c>
      <c r="J68" s="245">
        <f t="shared" si="0"/>
        <v>18039929.752498243</v>
      </c>
      <c r="L68" s="256">
        <v>7808064.6634924272</v>
      </c>
      <c r="M68" s="237">
        <v>58284.752500000002</v>
      </c>
      <c r="N68" s="274">
        <v>18973597.132286601</v>
      </c>
      <c r="O68" s="275">
        <v>2405411.7356750001</v>
      </c>
      <c r="P68" s="239">
        <f t="shared" si="8"/>
        <v>21379008.8679616</v>
      </c>
      <c r="R68" s="38" t="str">
        <f t="shared" ca="1" si="1"/>
        <v>2051-52</v>
      </c>
      <c r="S68" s="278">
        <v>20105307.605913904</v>
      </c>
      <c r="T68" s="283">
        <v>0.1658556966765225</v>
      </c>
      <c r="U68" s="278">
        <v>13800706.162533561</v>
      </c>
      <c r="V68" s="283">
        <v>0.29427872437123781</v>
      </c>
      <c r="X68" s="276">
        <f t="shared" si="10"/>
        <v>363773601.523</v>
      </c>
      <c r="Y68" s="277">
        <f t="shared" si="10"/>
        <v>7.5870000000000007E-2</v>
      </c>
      <c r="AA68" s="280">
        <v>4.8956703251911128E-2</v>
      </c>
      <c r="AB68" s="280">
        <v>0.27560298628049151</v>
      </c>
      <c r="AC68" s="280">
        <v>0.90899497394050277</v>
      </c>
      <c r="AD68" s="259"/>
      <c r="AE68" s="259"/>
      <c r="AG68" s="242"/>
      <c r="AI68" s="241"/>
      <c r="AJ68" s="241"/>
      <c r="AK68" s="241"/>
      <c r="AL68" s="241"/>
      <c r="AN68" s="243"/>
      <c r="AO68" s="243"/>
      <c r="AQ68" s="244"/>
      <c r="AR68" s="244"/>
    </row>
    <row r="70" spans="2:44" x14ac:dyDescent="0.25">
      <c r="L70" s="257" t="s">
        <v>442</v>
      </c>
      <c r="X70" s="257" t="s">
        <v>443</v>
      </c>
      <c r="Y70" s="37"/>
    </row>
  </sheetData>
  <mergeCells count="5">
    <mergeCell ref="L37:M37"/>
    <mergeCell ref="N37:P37"/>
    <mergeCell ref="S37:V37"/>
    <mergeCell ref="X37:Y37"/>
    <mergeCell ref="AA37:AB37"/>
  </mergeCells>
  <dataValidations disablePrompts="1" count="2">
    <dataValidation type="list" allowBlank="1" showInputMessage="1" showErrorMessage="1" sqref="O9" xr:uid="{49EF2945-D721-4933-8CDE-42B494469D2C}">
      <formula1>$O$10:$O$11</formula1>
    </dataValidation>
    <dataValidation type="list" allowBlank="1" showInputMessage="1" showErrorMessage="1" sqref="L9" xr:uid="{3CA36E23-4BCE-40C1-8B5A-0B024E30461A}">
      <formula1>"1 Demand, 2 Demand zero out"</formula1>
    </dataValidation>
  </dataValidations>
  <hyperlinks>
    <hyperlink ref="J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election activeCell="J10" sqref="J10"/>
    </sheetView>
  </sheetViews>
  <sheetFormatPr defaultRowHeight="11.5" x14ac:dyDescent="0.25"/>
  <cols>
    <col min="1" max="2" width="2.69921875" customWidth="1"/>
    <col min="3" max="3" width="23.3984375" customWidth="1"/>
    <col min="13" max="13" width="9.09765625" customWidth="1"/>
    <col min="16" max="16" width="9.09765625" customWidth="1"/>
  </cols>
  <sheetData>
    <row r="3" spans="1:30" ht="20" x14ac:dyDescent="0.4">
      <c r="C3" s="127" t="s">
        <v>444</v>
      </c>
      <c r="M3" s="129"/>
    </row>
    <row r="6" spans="1:30" x14ac:dyDescent="0.25">
      <c r="C6" t="s">
        <v>391</v>
      </c>
      <c r="G6" s="187" t="s">
        <v>29</v>
      </c>
    </row>
    <row r="8" spans="1:30" x14ac:dyDescent="0.25">
      <c r="C8" t="s">
        <v>445</v>
      </c>
    </row>
    <row r="10" spans="1:30" x14ac:dyDescent="0.25">
      <c r="C10" t="s">
        <v>446</v>
      </c>
      <c r="J10" s="162" t="str">
        <f>ADDRESS(ROW('MP Calculations'!$G$22),COLUMN('MP Calculations'!$G$22))</f>
        <v>$G$22</v>
      </c>
      <c r="K10" t="str">
        <f ca="1">"on the "&amp;MID(CELL("filename",'MP Calculations'!$A$1),FIND("]",CELL("filename",'MP Calculations'!$A$1))+1,255)&amp;" worksheet."</f>
        <v>on the MP Calculations worksheet.</v>
      </c>
    </row>
    <row r="12" spans="1:30" x14ac:dyDescent="0.25">
      <c r="C12" s="74" t="s">
        <v>447</v>
      </c>
    </row>
    <row r="13" spans="1:30" x14ac:dyDescent="0.25">
      <c r="D13" s="73" t="s">
        <v>448</v>
      </c>
    </row>
    <row r="14" spans="1:30" x14ac:dyDescent="0.25">
      <c r="D14" s="73"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$2021-22 before being linked into the MP Calculations.</v>
      </c>
    </row>
    <row r="16" spans="1:30" x14ac:dyDescent="0.25">
      <c r="A16" s="70"/>
      <c r="B16" s="70"/>
      <c r="C16" s="70" t="s">
        <v>412</v>
      </c>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row>
  </sheetData>
  <hyperlinks>
    <hyperlink ref="G6" r:id="rId1" xr:uid="{00000000-0004-0000-0B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1:AD40"/>
  <sheetViews>
    <sheetView showGridLines="0" topLeftCell="A3" workbookViewId="0">
      <selection activeCell="C40" sqref="C40:D40"/>
    </sheetView>
  </sheetViews>
  <sheetFormatPr defaultRowHeight="11.5" x14ac:dyDescent="0.25"/>
  <cols>
    <col min="1" max="2" width="2.69921875" customWidth="1"/>
    <col min="3" max="3" width="31.3984375" customWidth="1"/>
    <col min="4" max="11" width="17.59765625" customWidth="1"/>
    <col min="13" max="13" width="9.09765625" customWidth="1"/>
    <col min="16" max="16" width="9.09765625" customWidth="1"/>
  </cols>
  <sheetData>
    <row r="1" spans="1:30" hidden="1" x14ac:dyDescent="0.25"/>
    <row r="2" spans="1:30" hidden="1" x14ac:dyDescent="0.25"/>
    <row r="3" spans="1:30" ht="20" x14ac:dyDescent="0.4">
      <c r="C3" s="127" t="s">
        <v>449</v>
      </c>
      <c r="M3" s="129"/>
    </row>
    <row r="4" spans="1:30" hidden="1" x14ac:dyDescent="0.25"/>
    <row r="6" spans="1:30" x14ac:dyDescent="0.25">
      <c r="C6" t="s">
        <v>391</v>
      </c>
      <c r="G6" s="129" t="s">
        <v>28</v>
      </c>
    </row>
    <row r="8" spans="1:30" x14ac:dyDescent="0.25">
      <c r="C8" t="s">
        <v>450</v>
      </c>
    </row>
    <row r="9" spans="1:30" hidden="1" x14ac:dyDescent="0.25"/>
    <row r="10" spans="1:30" hidden="1" x14ac:dyDescent="0.25">
      <c r="C10" t="s">
        <v>446</v>
      </c>
      <c r="J10" s="162" t="str">
        <f>ADDRESS(ROW('MP Calculations'!$F$22),COLUMN('MP Calculations'!$F$22))</f>
        <v>$F$22</v>
      </c>
      <c r="K10" t="str">
        <f ca="1">"on the "&amp;MID(CELL("filename",'MP Calculations'!$A$1),FIND("]",CELL("filename",'MP Calculations'!$A$1))+1,255)&amp;" worksheet."</f>
        <v>on the MP Calculations worksheet.</v>
      </c>
    </row>
    <row r="11" spans="1:30" hidden="1" x14ac:dyDescent="0.25"/>
    <row r="12" spans="1:30" hidden="1" x14ac:dyDescent="0.25">
      <c r="C12" s="74" t="s">
        <v>447</v>
      </c>
    </row>
    <row r="13" spans="1:30" hidden="1" x14ac:dyDescent="0.25">
      <c r="D13" s="180" t="s">
        <v>451</v>
      </c>
    </row>
    <row r="14" spans="1:30" hidden="1" x14ac:dyDescent="0.25">
      <c r="D14" s="73"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$2021-22 before being linked into the MP Calculations.</v>
      </c>
    </row>
    <row r="16" spans="1:30" x14ac:dyDescent="0.25">
      <c r="A16" s="70"/>
      <c r="B16" s="70"/>
      <c r="C16" s="70" t="s">
        <v>412</v>
      </c>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row>
    <row r="18" spans="3:12" x14ac:dyDescent="0.25">
      <c r="C18" s="104" t="s">
        <v>15</v>
      </c>
      <c r="D18" s="6" t="s">
        <v>452</v>
      </c>
    </row>
    <row r="19" spans="3:12" x14ac:dyDescent="0.25">
      <c r="C19" s="4" t="s">
        <v>453</v>
      </c>
      <c r="D19" s="248">
        <v>0.13308332963113895</v>
      </c>
      <c r="F19" s="43" t="s">
        <v>94</v>
      </c>
      <c r="G19" s="267">
        <v>2</v>
      </c>
    </row>
    <row r="21" spans="3:12" x14ac:dyDescent="0.25">
      <c r="C21" t="s">
        <v>439</v>
      </c>
      <c r="D21" s="249" t="s">
        <v>480</v>
      </c>
      <c r="E21" s="249" t="s">
        <v>481</v>
      </c>
      <c r="F21" s="249" t="s">
        <v>482</v>
      </c>
      <c r="G21" s="249" t="s">
        <v>485</v>
      </c>
      <c r="H21" s="249" t="s">
        <v>483</v>
      </c>
      <c r="I21" s="38"/>
      <c r="J21" s="38"/>
      <c r="K21" s="38"/>
      <c r="L21" s="38"/>
    </row>
    <row r="22" spans="3:12" x14ac:dyDescent="0.25">
      <c r="C22" t="s">
        <v>454</v>
      </c>
      <c r="D22" s="250">
        <v>183.11</v>
      </c>
      <c r="E22" s="250">
        <v>198.28</v>
      </c>
      <c r="F22" s="250">
        <v>186.21</v>
      </c>
      <c r="G22" s="250">
        <v>197.12</v>
      </c>
      <c r="H22" s="250">
        <v>193.75</v>
      </c>
    </row>
    <row r="23" spans="3:12" x14ac:dyDescent="0.25">
      <c r="C23" t="s">
        <v>455</v>
      </c>
      <c r="D23" s="251">
        <f>$D$19*D22</f>
        <v>24.368888488757854</v>
      </c>
      <c r="E23" s="251">
        <f t="shared" ref="E23:G23" si="0">$D$19*E22</f>
        <v>26.387762599262231</v>
      </c>
      <c r="F23" s="251">
        <f t="shared" si="0"/>
        <v>24.781446810614383</v>
      </c>
      <c r="G23" s="251">
        <f t="shared" si="0"/>
        <v>26.233385936890109</v>
      </c>
      <c r="H23" s="251">
        <f>$D$19*H22</f>
        <v>25.784895116033169</v>
      </c>
    </row>
    <row r="25" spans="3:12" x14ac:dyDescent="0.25">
      <c r="C25" s="104" t="s">
        <v>15</v>
      </c>
      <c r="D25" s="6" t="s">
        <v>456</v>
      </c>
    </row>
    <row r="26" spans="3:12" x14ac:dyDescent="0.25">
      <c r="C26" s="4" t="s">
        <v>453</v>
      </c>
      <c r="D26" s="248">
        <v>0.1612411611568344</v>
      </c>
      <c r="F26" s="43" t="s">
        <v>94</v>
      </c>
      <c r="G26" s="267">
        <v>2</v>
      </c>
    </row>
    <row r="28" spans="3:12" x14ac:dyDescent="0.25">
      <c r="C28" t="s">
        <v>439</v>
      </c>
      <c r="D28" s="249" t="s">
        <v>486</v>
      </c>
      <c r="E28" s="249" t="s">
        <v>487</v>
      </c>
      <c r="F28" s="249" t="s">
        <v>480</v>
      </c>
      <c r="G28" s="249" t="s">
        <v>481</v>
      </c>
      <c r="H28" s="249" t="s">
        <v>482</v>
      </c>
      <c r="I28" s="249" t="s">
        <v>485</v>
      </c>
      <c r="J28" s="249" t="s">
        <v>483</v>
      </c>
      <c r="K28" s="249" t="s">
        <v>484</v>
      </c>
    </row>
    <row r="29" spans="3:12" x14ac:dyDescent="0.25">
      <c r="C29" t="s">
        <v>454</v>
      </c>
      <c r="D29" s="250">
        <v>148.69999999999999</v>
      </c>
      <c r="E29" s="250">
        <v>182.4</v>
      </c>
      <c r="F29" s="250">
        <v>183.11</v>
      </c>
      <c r="G29" s="250">
        <v>198.28</v>
      </c>
      <c r="H29" s="250">
        <v>186.21</v>
      </c>
      <c r="I29" s="250">
        <v>197.12</v>
      </c>
      <c r="J29" s="250">
        <v>193.75</v>
      </c>
      <c r="K29" s="250">
        <v>179.69</v>
      </c>
    </row>
    <row r="30" spans="3:12" x14ac:dyDescent="0.25">
      <c r="C30" t="s">
        <v>455</v>
      </c>
      <c r="D30" s="251">
        <f>$D$26*D29</f>
        <v>23.976560664021275</v>
      </c>
      <c r="E30" s="251">
        <f t="shared" ref="E30:K30" si="1">$D$26*E29</f>
        <v>29.410387795006596</v>
      </c>
      <c r="F30" s="251">
        <f t="shared" si="1"/>
        <v>29.52486901942795</v>
      </c>
      <c r="G30" s="251">
        <f t="shared" si="1"/>
        <v>31.970897434177125</v>
      </c>
      <c r="H30" s="251">
        <f t="shared" si="1"/>
        <v>30.024716619014136</v>
      </c>
      <c r="I30" s="251">
        <f t="shared" si="1"/>
        <v>31.783857687235198</v>
      </c>
      <c r="J30" s="251">
        <f t="shared" si="1"/>
        <v>31.240474974136664</v>
      </c>
      <c r="K30" s="251">
        <f t="shared" si="1"/>
        <v>28.973424248271574</v>
      </c>
    </row>
    <row r="32" spans="3:12" x14ac:dyDescent="0.25">
      <c r="C32" s="104" t="s">
        <v>15</v>
      </c>
      <c r="D32" s="6" t="s">
        <v>457</v>
      </c>
    </row>
    <row r="33" spans="3:8" x14ac:dyDescent="0.25">
      <c r="C33" s="4" t="s">
        <v>453</v>
      </c>
      <c r="D33" s="248">
        <v>0.41161635473610148</v>
      </c>
      <c r="F33" s="43" t="s">
        <v>94</v>
      </c>
      <c r="G33" s="267">
        <v>2</v>
      </c>
    </row>
    <row r="35" spans="3:8" x14ac:dyDescent="0.25">
      <c r="C35" t="s">
        <v>439</v>
      </c>
      <c r="D35" s="249" t="s">
        <v>480</v>
      </c>
      <c r="E35" s="249" t="s">
        <v>481</v>
      </c>
      <c r="F35" s="249" t="s">
        <v>482</v>
      </c>
      <c r="G35" s="249" t="s">
        <v>483</v>
      </c>
      <c r="H35" s="249" t="s">
        <v>484</v>
      </c>
    </row>
    <row r="36" spans="3:8" x14ac:dyDescent="0.25">
      <c r="C36" t="s">
        <v>454</v>
      </c>
      <c r="D36" s="250">
        <v>183.11</v>
      </c>
      <c r="E36" s="250">
        <v>198.28</v>
      </c>
      <c r="F36" s="250">
        <v>186.21</v>
      </c>
      <c r="G36" s="250">
        <v>193.75</v>
      </c>
      <c r="H36" s="250">
        <v>179.69</v>
      </c>
    </row>
    <row r="37" spans="3:8" x14ac:dyDescent="0.25">
      <c r="C37" t="s">
        <v>455</v>
      </c>
      <c r="D37" s="251">
        <f>$D$33*D36</f>
        <v>75.371070715727541</v>
      </c>
      <c r="E37" s="251">
        <f t="shared" ref="E37:H37" si="2">$D$33*E36</f>
        <v>81.615290817074197</v>
      </c>
      <c r="F37" s="251">
        <f t="shared" si="2"/>
        <v>76.64708141540946</v>
      </c>
      <c r="G37" s="251">
        <f t="shared" si="2"/>
        <v>79.750668730119656</v>
      </c>
      <c r="H37" s="251">
        <f t="shared" si="2"/>
        <v>73.963342782530077</v>
      </c>
    </row>
    <row r="39" spans="3:8" x14ac:dyDescent="0.25">
      <c r="C39" s="104"/>
      <c r="D39" s="6"/>
    </row>
    <row r="40" spans="3:8" x14ac:dyDescent="0.25">
      <c r="C40" s="6"/>
      <c r="D40" s="268"/>
    </row>
  </sheetData>
  <hyperlinks>
    <hyperlink ref="G6" r:id="rId1"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59" t="s">
        <v>458</v>
      </c>
    </row>
    <row r="6" spans="3:7" x14ac:dyDescent="0.25">
      <c r="C6" t="s">
        <v>391</v>
      </c>
      <c r="G6" s="129" t="s">
        <v>28</v>
      </c>
    </row>
    <row r="8" spans="3:7" x14ac:dyDescent="0.25">
      <c r="C8" s="6" t="s">
        <v>459</v>
      </c>
      <c r="G8" s="129"/>
    </row>
    <row r="10" spans="3:7" x14ac:dyDescent="0.25">
      <c r="C10" t="s">
        <v>460</v>
      </c>
      <c r="D10" t="s">
        <v>461</v>
      </c>
    </row>
    <row r="12" spans="3:7" x14ac:dyDescent="0.25">
      <c r="C12" t="s">
        <v>462</v>
      </c>
      <c r="D12" t="s">
        <v>463</v>
      </c>
    </row>
    <row r="14" spans="3:7" x14ac:dyDescent="0.25">
      <c r="C14" t="s">
        <v>464</v>
      </c>
      <c r="D14" t="s">
        <v>465</v>
      </c>
    </row>
    <row r="16" spans="3:7" x14ac:dyDescent="0.25">
      <c r="C16" t="s">
        <v>466</v>
      </c>
      <c r="D16" t="s">
        <v>467</v>
      </c>
    </row>
    <row r="18" spans="3:4" x14ac:dyDescent="0.25">
      <c r="C18" t="s">
        <v>468</v>
      </c>
      <c r="D18" t="s">
        <v>469</v>
      </c>
    </row>
    <row r="20" spans="3:4" x14ac:dyDescent="0.25">
      <c r="C20" t="s">
        <v>470</v>
      </c>
      <c r="D20" t="s">
        <v>471</v>
      </c>
    </row>
    <row r="22" spans="3:4" x14ac:dyDescent="0.25">
      <c r="D22" t="s">
        <v>81</v>
      </c>
    </row>
    <row r="24" spans="3:4" x14ac:dyDescent="0.25">
      <c r="C24" s="6" t="s">
        <v>472</v>
      </c>
    </row>
    <row r="26" spans="3:4" x14ac:dyDescent="0.25">
      <c r="C26" t="s">
        <v>473</v>
      </c>
    </row>
    <row r="28" spans="3:4" x14ac:dyDescent="0.25">
      <c r="C28" t="s">
        <v>474</v>
      </c>
      <c r="D28" t="s">
        <v>475</v>
      </c>
    </row>
    <row r="30" spans="3:4" x14ac:dyDescent="0.25">
      <c r="C30" t="s">
        <v>476</v>
      </c>
      <c r="D30" t="s">
        <v>477</v>
      </c>
    </row>
    <row r="32" spans="3:4" x14ac:dyDescent="0.25">
      <c r="C32" t="s">
        <v>478</v>
      </c>
      <c r="D32" t="s">
        <v>479</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82" t="s">
        <v>48</v>
      </c>
      <c r="D6" s="182" t="s">
        <v>49</v>
      </c>
      <c r="E6" s="182" t="s">
        <v>50</v>
      </c>
      <c r="F6" s="185" t="s">
        <v>51</v>
      </c>
      <c r="G6" s="186">
        <v>43678</v>
      </c>
    </row>
    <row r="7" spans="3:7" ht="23" x14ac:dyDescent="0.25">
      <c r="C7" s="182" t="s">
        <v>48</v>
      </c>
      <c r="D7" s="182" t="s">
        <v>52</v>
      </c>
      <c r="E7" s="182" t="s">
        <v>53</v>
      </c>
      <c r="F7" s="185" t="s">
        <v>51</v>
      </c>
      <c r="G7" s="186">
        <v>43678</v>
      </c>
    </row>
    <row r="8" spans="3:7" ht="46" x14ac:dyDescent="0.25">
      <c r="C8" s="184" t="s">
        <v>54</v>
      </c>
      <c r="D8" s="184" t="s">
        <v>55</v>
      </c>
      <c r="E8" s="184" t="s">
        <v>56</v>
      </c>
      <c r="F8" s="185" t="s">
        <v>51</v>
      </c>
      <c r="G8" s="186">
        <v>43678</v>
      </c>
    </row>
    <row r="9" spans="3:7" x14ac:dyDescent="0.25">
      <c r="C9" s="183"/>
      <c r="D9" s="183"/>
      <c r="E9" s="183"/>
      <c r="F9" s="185"/>
      <c r="G9" s="186"/>
    </row>
    <row r="10" spans="3:7" x14ac:dyDescent="0.25">
      <c r="C10" s="183"/>
      <c r="D10" s="183"/>
      <c r="E10" s="183"/>
      <c r="F10" s="185"/>
      <c r="G10" s="186"/>
    </row>
    <row r="11" spans="3:7" x14ac:dyDescent="0.25">
      <c r="C11" s="183"/>
      <c r="D11" s="183"/>
      <c r="E11" s="183"/>
      <c r="F11" s="185"/>
      <c r="G11" s="186"/>
    </row>
    <row r="12" spans="3:7" x14ac:dyDescent="0.25">
      <c r="C12" s="183"/>
      <c r="D12" s="183"/>
      <c r="E12" s="183"/>
      <c r="F12" s="185"/>
      <c r="G12" s="186"/>
    </row>
    <row r="13" spans="3:7" x14ac:dyDescent="0.25">
      <c r="C13" s="183"/>
      <c r="D13" s="183"/>
      <c r="E13" s="183"/>
      <c r="F13" s="185"/>
      <c r="G13" s="186"/>
    </row>
    <row r="14" spans="3:7" x14ac:dyDescent="0.25">
      <c r="C14" s="183"/>
      <c r="D14" s="183"/>
      <c r="E14" s="183"/>
      <c r="F14" s="185"/>
      <c r="G14" s="186"/>
    </row>
    <row r="15" spans="3:7" x14ac:dyDescent="0.25">
      <c r="C15" s="183"/>
      <c r="D15" s="183"/>
      <c r="E15" s="183"/>
      <c r="F15" s="185"/>
      <c r="G15" s="186"/>
    </row>
    <row r="16" spans="3:7" x14ac:dyDescent="0.25">
      <c r="C16" s="183"/>
      <c r="D16" s="183"/>
      <c r="E16" s="183"/>
      <c r="F16" s="185"/>
      <c r="G16" s="186"/>
    </row>
    <row r="17" spans="3:7" x14ac:dyDescent="0.25">
      <c r="C17" s="183"/>
      <c r="D17" s="183"/>
      <c r="E17" s="183"/>
      <c r="F17" s="185"/>
      <c r="G17" s="186"/>
    </row>
    <row r="18" spans="3:7" x14ac:dyDescent="0.25">
      <c r="C18" s="183"/>
      <c r="D18" s="183"/>
      <c r="E18" s="183"/>
      <c r="F18" s="185"/>
      <c r="G18" s="186"/>
    </row>
    <row r="19" spans="3:7" x14ac:dyDescent="0.25">
      <c r="C19" s="183"/>
      <c r="D19" s="183"/>
      <c r="E19" s="183"/>
      <c r="F19" s="185"/>
      <c r="G19" s="186"/>
    </row>
    <row r="20" spans="3:7" x14ac:dyDescent="0.25">
      <c r="C20" s="183"/>
      <c r="D20" s="183"/>
      <c r="E20" s="183"/>
      <c r="F20" s="185"/>
      <c r="G20" s="186"/>
    </row>
    <row r="21" spans="3:7" x14ac:dyDescent="0.25">
      <c r="C21" s="183"/>
      <c r="D21" s="183"/>
      <c r="E21" s="183"/>
      <c r="F21" s="185"/>
      <c r="G21" s="186"/>
    </row>
    <row r="22" spans="3:7" x14ac:dyDescent="0.25">
      <c r="C22" s="183"/>
      <c r="D22" s="183"/>
      <c r="E22" s="183"/>
      <c r="F22" s="185"/>
      <c r="G22" s="186"/>
    </row>
    <row r="23" spans="3:7" x14ac:dyDescent="0.25">
      <c r="C23" s="183"/>
      <c r="D23" s="183"/>
      <c r="E23" s="183"/>
      <c r="F23" s="185"/>
      <c r="G23" s="18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election activeCell="O14" sqref="O14"/>
    </sheetView>
  </sheetViews>
  <sheetFormatPr defaultRowHeight="11.5" outlineLevelRow="1"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175" t="s">
        <v>57</v>
      </c>
    </row>
    <row r="5" spans="1:17" outlineLevel="1" x14ac:dyDescent="0.25">
      <c r="D5" t="s">
        <v>58</v>
      </c>
      <c r="Q5" s="188" t="s">
        <v>29</v>
      </c>
    </row>
    <row r="6" spans="1:17" outlineLevel="1" x14ac:dyDescent="0.25">
      <c r="Q6" s="188"/>
    </row>
    <row r="7" spans="1:17" outlineLevel="1" x14ac:dyDescent="0.25"/>
    <row r="8" spans="1:17" x14ac:dyDescent="0.25">
      <c r="D8" s="1" t="str">
        <f>"The maximum price for the new development area '"&amp;'General inputs'!H7&amp;"' is:"</f>
        <v>The maximum price for the new development area 'Illawarra Drinking Water' is:</v>
      </c>
      <c r="J8" s="72">
        <f>G19</f>
        <v>0</v>
      </c>
      <c r="K8" t="str">
        <f>"per ET ($"&amp;'General inputs'!$I$40&amp;")."</f>
        <v>per ET ($2021-22).</v>
      </c>
    </row>
    <row r="10" spans="1:17" x14ac:dyDescent="0.25">
      <c r="A10" s="109"/>
      <c r="B10" s="109"/>
      <c r="C10" s="1"/>
      <c r="D10" s="110" t="s">
        <v>59</v>
      </c>
      <c r="E10" s="1"/>
      <c r="F10" s="1"/>
      <c r="G10" s="1"/>
      <c r="H10" s="1"/>
      <c r="J10" s="164">
        <f>IF($J$8&lt;=0,0,IF('General inputs'!$H$42='General inputs'!$L$37,'MP Calculations'!F22,IF('General inputs'!$H$42='General inputs'!$L$38,'MP Calculations'!F22*1000,'MP Calculations'!F22*1000000)))</f>
        <v>0</v>
      </c>
      <c r="K10" s="1" t="s">
        <v>60</v>
      </c>
      <c r="L10" s="1"/>
      <c r="M10" s="1"/>
    </row>
    <row r="12" spans="1:17" x14ac:dyDescent="0.25">
      <c r="G12" s="1"/>
    </row>
    <row r="13" spans="1:17" x14ac:dyDescent="0.25">
      <c r="D13" s="110" t="s">
        <v>61</v>
      </c>
      <c r="G13" s="1"/>
    </row>
    <row r="14" spans="1:17" x14ac:dyDescent="0.25">
      <c r="G14" s="1"/>
    </row>
    <row r="15" spans="1:17" x14ac:dyDescent="0.25">
      <c r="G15" s="1"/>
    </row>
    <row r="17" spans="4:21" x14ac:dyDescent="0.25">
      <c r="D17" t="str">
        <f>"in $, $"&amp;'General inputs'!$I$40&amp;", where:"</f>
        <v>in $, $2021-22, where:</v>
      </c>
    </row>
    <row r="19" spans="4:21" x14ac:dyDescent="0.25">
      <c r="E19" t="s">
        <v>62</v>
      </c>
      <c r="F19" s="37" t="s">
        <v>63</v>
      </c>
      <c r="G19" s="128">
        <f>IF('General inputs'!$H$42='General inputs'!$L$37,'MP Calculations'!C22,IF('General inputs'!$H$42='General inputs'!$L$38,'MP Calculations'!C22*1000,'MP Calculations'!C22*1000000))</f>
        <v>0</v>
      </c>
      <c r="H19" s="37" t="s">
        <v>63</v>
      </c>
      <c r="I19" s="178" t="s">
        <v>64</v>
      </c>
      <c r="J19" s="1"/>
      <c r="K19" s="1"/>
      <c r="L19" s="1"/>
      <c r="M19" s="1"/>
      <c r="N19" s="1"/>
      <c r="O19" s="1"/>
      <c r="P19" s="1"/>
      <c r="Q19" s="1"/>
      <c r="R19" s="1"/>
      <c r="S19" s="1"/>
      <c r="T19" s="1"/>
      <c r="U19" s="1"/>
    </row>
    <row r="20" spans="4:21" ht="13.5" x14ac:dyDescent="0.35">
      <c r="E20" t="s">
        <v>65</v>
      </c>
      <c r="F20" s="37" t="s">
        <v>63</v>
      </c>
      <c r="G20" s="128">
        <f>IF('General inputs'!$H$42='General inputs'!$L$37,'MP Calculations'!H20,IF('General inputs'!$H$42='General inputs'!$L$38,'MP Calculations'!H20*1000,'MP Calculations'!H20*1000000))</f>
        <v>9311848.1031048745</v>
      </c>
      <c r="H20" s="37" t="s">
        <v>63</v>
      </c>
      <c r="I20" s="1" t="s">
        <v>66</v>
      </c>
      <c r="J20" s="1"/>
      <c r="K20" s="1"/>
      <c r="L20" s="1"/>
      <c r="M20" s="1"/>
      <c r="N20" s="1"/>
      <c r="O20" s="1"/>
      <c r="P20" s="1"/>
      <c r="Q20" s="1"/>
      <c r="R20" s="1"/>
      <c r="S20" s="1"/>
      <c r="T20" s="1"/>
      <c r="U20" s="1"/>
    </row>
    <row r="21" spans="4:21" ht="13.5" x14ac:dyDescent="0.35">
      <c r="E21" t="s">
        <v>67</v>
      </c>
      <c r="F21" s="37" t="s">
        <v>63</v>
      </c>
      <c r="G21" s="128">
        <f>IF('General inputs'!$H$42='General inputs'!$L$37,SUM('MP Calculations'!I20:K20),IF('General inputs'!$H$42='General inputs'!$L$38,SUM('MP Calculations'!I20:K20)*1000,SUM('MP Calculations'!I20:K20)*1000000))</f>
        <v>39372907.574440278</v>
      </c>
      <c r="H21" s="37" t="s">
        <v>63</v>
      </c>
      <c r="I21" s="1" t="s">
        <v>68</v>
      </c>
      <c r="J21" s="1"/>
      <c r="K21" s="1"/>
      <c r="L21" s="1"/>
      <c r="M21" s="1"/>
      <c r="N21" s="1"/>
      <c r="O21" s="1"/>
      <c r="P21" s="1"/>
      <c r="Q21" s="1"/>
      <c r="R21" s="1"/>
      <c r="S21" s="1"/>
      <c r="T21" s="1"/>
      <c r="U21" s="1"/>
    </row>
    <row r="22" spans="4:21" ht="13.5" x14ac:dyDescent="0.35">
      <c r="E22" t="s">
        <v>69</v>
      </c>
      <c r="F22" s="37" t="s">
        <v>63</v>
      </c>
      <c r="G22" s="71">
        <f>'MP Calculations'!H21</f>
        <v>89120.138941890036</v>
      </c>
      <c r="H22" s="37" t="s">
        <v>63</v>
      </c>
      <c r="I22" s="176" t="s">
        <v>70</v>
      </c>
      <c r="J22" s="177"/>
      <c r="K22" s="177"/>
      <c r="L22" s="177"/>
      <c r="M22" s="177"/>
      <c r="N22" s="177"/>
      <c r="O22" s="177"/>
      <c r="P22" s="177"/>
      <c r="Q22" s="177"/>
      <c r="R22" s="177"/>
      <c r="S22" s="177"/>
      <c r="T22" s="177"/>
      <c r="U22" s="177"/>
    </row>
    <row r="23" spans="4:21" ht="13.5" x14ac:dyDescent="0.35">
      <c r="E23" t="s">
        <v>71</v>
      </c>
      <c r="F23" s="37" t="s">
        <v>63</v>
      </c>
      <c r="G23" s="71">
        <f>'MP Calculations'!J21</f>
        <v>104963.01676658151</v>
      </c>
      <c r="H23" s="37" t="s">
        <v>63</v>
      </c>
      <c r="I23" s="176" t="s">
        <v>72</v>
      </c>
      <c r="J23" s="177"/>
      <c r="K23" s="177"/>
      <c r="L23" s="177"/>
      <c r="M23" s="177"/>
      <c r="N23" s="177"/>
      <c r="O23" s="177"/>
      <c r="P23" s="177"/>
      <c r="Q23" s="177"/>
      <c r="R23" s="177"/>
      <c r="S23" s="177"/>
      <c r="T23" s="177"/>
      <c r="U23" s="177"/>
    </row>
    <row r="24" spans="4:21" ht="13.5" x14ac:dyDescent="0.35">
      <c r="E24" t="s">
        <v>73</v>
      </c>
      <c r="F24" s="37" t="s">
        <v>63</v>
      </c>
      <c r="G24" s="71">
        <f>'MP Calculations'!L21</f>
        <v>8315.3326634024397</v>
      </c>
      <c r="H24" s="37" t="s">
        <v>63</v>
      </c>
      <c r="I24" s="176" t="s">
        <v>74</v>
      </c>
      <c r="J24" s="177"/>
      <c r="K24" s="177"/>
      <c r="L24" s="177"/>
      <c r="M24" s="177"/>
      <c r="N24" s="177"/>
      <c r="O24" s="177"/>
      <c r="P24" s="177"/>
      <c r="Q24" s="177"/>
      <c r="R24" s="177"/>
      <c r="S24" s="177"/>
      <c r="T24" s="177"/>
      <c r="U24" s="177"/>
    </row>
    <row r="25" spans="4:21" ht="13.5" x14ac:dyDescent="0.35">
      <c r="E25" t="s">
        <v>75</v>
      </c>
      <c r="F25" s="37" t="s">
        <v>63</v>
      </c>
      <c r="G25" s="128">
        <f>'MP Calculations'!R29</f>
        <v>147002769.59680933</v>
      </c>
      <c r="H25" s="37" t="s">
        <v>63</v>
      </c>
      <c r="I25" s="1" t="s">
        <v>76</v>
      </c>
      <c r="J25" s="1"/>
      <c r="K25" s="1"/>
      <c r="L25" s="1"/>
      <c r="M25" s="1"/>
      <c r="N25" s="1"/>
      <c r="O25" s="1"/>
      <c r="P25" s="1"/>
      <c r="Q25" s="1"/>
      <c r="R25" s="1"/>
      <c r="S25" s="1"/>
      <c r="T25" s="1"/>
      <c r="U25" s="1"/>
    </row>
    <row r="26" spans="4:21" ht="13.5" x14ac:dyDescent="0.35">
      <c r="E26" t="s">
        <v>77</v>
      </c>
      <c r="F26" s="37" t="s">
        <v>63</v>
      </c>
      <c r="G26" s="128">
        <f>'MP Calculations'!U29</f>
        <v>128988815.6097817</v>
      </c>
      <c r="H26" s="37" t="s">
        <v>63</v>
      </c>
      <c r="I26" s="1" t="s">
        <v>78</v>
      </c>
      <c r="J26" s="1"/>
      <c r="K26" s="1"/>
      <c r="L26" s="1"/>
      <c r="M26" s="1"/>
      <c r="N26" s="1"/>
      <c r="O26" s="1"/>
      <c r="P26" s="1"/>
      <c r="Q26" s="1"/>
      <c r="R26" s="1"/>
      <c r="S26" s="1"/>
      <c r="T26" s="1"/>
      <c r="U26" s="1"/>
    </row>
    <row r="27" spans="4:21" x14ac:dyDescent="0.25">
      <c r="E27" t="s">
        <v>79</v>
      </c>
      <c r="F27" s="37" t="s">
        <v>63</v>
      </c>
      <c r="G27" s="28" t="str">
        <f>INDEX('MP Calculations'!$D$39:$D$129,MATCH('General inputs'!$H$38-1,'MP Calculations'!C39:C129))</f>
        <v>2051-52</v>
      </c>
      <c r="H27" s="37" t="s">
        <v>63</v>
      </c>
      <c r="I27" s="1" t="s">
        <v>80</v>
      </c>
      <c r="J27" s="1"/>
      <c r="K27" s="1"/>
      <c r="L27" s="1"/>
      <c r="M27" s="1"/>
      <c r="N27" s="1"/>
      <c r="O27" s="1"/>
      <c r="P27" s="1"/>
      <c r="Q27" s="1"/>
      <c r="R27" s="1"/>
      <c r="S27" s="1"/>
      <c r="T27" s="1"/>
      <c r="U27" s="1"/>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zoomScaleNormal="100" workbookViewId="0"/>
  </sheetViews>
  <sheetFormatPr defaultRowHeight="11.5" outlineLevelRow="1" x14ac:dyDescent="0.25"/>
  <cols>
    <col min="1" max="2" width="2.69921875" customWidth="1"/>
    <col min="3" max="3" width="20.09765625" customWidth="1"/>
    <col min="4" max="4" width="21.59765625" customWidth="1"/>
    <col min="5" max="5" width="28.19921875" customWidth="1"/>
    <col min="6" max="8" width="15.69921875" customWidth="1"/>
    <col min="9" max="9" width="3.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81</v>
      </c>
    </row>
    <row r="3" spans="1:11" ht="20" x14ac:dyDescent="0.4">
      <c r="C3" s="59" t="s">
        <v>82</v>
      </c>
    </row>
    <row r="5" spans="1:11" hidden="1" outlineLevel="1" x14ac:dyDescent="0.25"/>
    <row r="6" spans="1:11" ht="15.5" hidden="1" outlineLevel="1" x14ac:dyDescent="0.35">
      <c r="C6" s="2" t="s">
        <v>83</v>
      </c>
      <c r="E6" s="43"/>
    </row>
    <row r="7" spans="1:11" hidden="1" outlineLevel="1" x14ac:dyDescent="0.25">
      <c r="B7" s="53"/>
      <c r="C7" s="42"/>
      <c r="D7" s="42"/>
      <c r="E7" s="42"/>
      <c r="F7" s="42"/>
      <c r="G7" s="42"/>
      <c r="H7" s="42"/>
      <c r="I7" s="42"/>
      <c r="J7" s="42"/>
      <c r="K7" s="54"/>
    </row>
    <row r="8" spans="1:11" hidden="1" outlineLevel="1" x14ac:dyDescent="0.25">
      <c r="B8" s="55"/>
      <c r="J8" s="28" t="s">
        <v>84</v>
      </c>
      <c r="K8" s="56"/>
    </row>
    <row r="9" spans="1:11" hidden="1" outlineLevel="1" x14ac:dyDescent="0.25">
      <c r="A9" s="61">
        <v>1</v>
      </c>
      <c r="B9" s="55"/>
      <c r="C9" t="str">
        <f>"Table "&amp;A9&amp;":  Calculation of maximum price ("&amp;'General inputs'!H42&amp;", $"&amp;'General inputs'!I40&amp;")"</f>
        <v>Table 1:  Calculation of maximum price ($, $2021-22)</v>
      </c>
      <c r="J9">
        <f>ROW(C17)</f>
        <v>17</v>
      </c>
      <c r="K9" s="56"/>
    </row>
    <row r="10" spans="1:11" hidden="1" outlineLevel="1" x14ac:dyDescent="0.25">
      <c r="A10" s="78">
        <f>A9+1</f>
        <v>2</v>
      </c>
      <c r="B10" s="55"/>
      <c r="C10" t="str">
        <f>"Table "&amp;A10&amp;":  Key variables used in maximum price calculation ("&amp;'General inputs'!H42&amp;", $"&amp;'General inputs'!I40&amp;")"</f>
        <v>Table 2:  Key variables used in maximum price calculation ($, $2021-22)</v>
      </c>
      <c r="J10">
        <f>ROW(C26)</f>
        <v>26</v>
      </c>
      <c r="K10" s="56"/>
    </row>
    <row r="11" spans="1:11" hidden="1" outlineLevel="1" x14ac:dyDescent="0.25">
      <c r="A11" s="78">
        <f>A10+1</f>
        <v>3</v>
      </c>
      <c r="B11" s="55"/>
      <c r="C11" t="str">
        <f>"Table "&amp;A11&amp;":  Annual calculation over analysis horizon ("&amp;'General inputs'!H42&amp;", $"&amp;'General inputs'!I40&amp;")"</f>
        <v>Table 3:  Annual calculation over analysis horizon ($, $2021-22)</v>
      </c>
      <c r="J11">
        <f>ROW(C35)</f>
        <v>35</v>
      </c>
      <c r="K11" s="56"/>
    </row>
    <row r="12" spans="1:11" hidden="1" outlineLevel="1" x14ac:dyDescent="0.25">
      <c r="B12" s="57"/>
      <c r="C12" s="43"/>
      <c r="D12" s="43"/>
      <c r="E12" s="43"/>
      <c r="F12" s="43"/>
      <c r="G12" s="43"/>
      <c r="H12" s="43"/>
      <c r="I12" s="43"/>
      <c r="J12" s="43"/>
      <c r="K12" s="58"/>
    </row>
    <row r="13" spans="1:11" hidden="1" outlineLevel="1" x14ac:dyDescent="0.25">
      <c r="E13" s="42"/>
    </row>
    <row r="14" spans="1:11" hidden="1" outlineLevel="1" x14ac:dyDescent="0.25">
      <c r="B14" s="132" t="str">
        <f>"Note:  an input is required in "&amp;ADDRESS(ROW($G$22),COLUMN($G$22))&amp;" to incorporate the Headwork costs per ET into the maximum price."</f>
        <v>Note:  an input is required in $G$22 to incorporate the Headwork costs per ET into the maximum price.</v>
      </c>
    </row>
    <row r="15" spans="1:11" hidden="1" outlineLevel="1" x14ac:dyDescent="0.25">
      <c r="B15" s="132" t="str">
        <f>"Note:  an input is required in "&amp;ADDRESS(ROW($F$22),COLUMN($F$22))&amp;" to incorporate the Scheme cost allocation per ET into the maximum price."</f>
        <v>Note:  an input is required in $F$22 to incorporate the Scheme cost allocation per ET into the maximum price.</v>
      </c>
      <c r="J15">
        <v>54720522.085422724</v>
      </c>
    </row>
    <row r="16" spans="1:11" collapsed="1" x14ac:dyDescent="0.25"/>
    <row r="17" spans="2:22" ht="18" x14ac:dyDescent="0.4">
      <c r="C17" s="77" t="str">
        <f>C9</f>
        <v>Table 1:  Calculation of maximum price ($, $2021-22)</v>
      </c>
      <c r="E17" s="43"/>
    </row>
    <row r="18" spans="2:22" x14ac:dyDescent="0.25">
      <c r="B18" s="53"/>
      <c r="C18" s="145"/>
      <c r="D18" s="130"/>
      <c r="E18" s="130"/>
      <c r="F18" s="145"/>
      <c r="G18" s="145"/>
      <c r="H18" s="145"/>
      <c r="I18" s="130"/>
      <c r="J18" s="145"/>
      <c r="K18" s="145"/>
      <c r="L18" s="42"/>
      <c r="M18" s="54"/>
    </row>
    <row r="19" spans="2:22" ht="46" x14ac:dyDescent="0.25">
      <c r="B19" s="55"/>
      <c r="C19" s="48" t="s">
        <v>85</v>
      </c>
      <c r="F19" s="152" t="s">
        <v>86</v>
      </c>
      <c r="G19" s="152" t="s">
        <v>87</v>
      </c>
      <c r="H19" s="151" t="s">
        <v>88</v>
      </c>
      <c r="I19" s="153"/>
      <c r="J19" s="151" t="s">
        <v>89</v>
      </c>
      <c r="K19" s="151" t="s">
        <v>90</v>
      </c>
      <c r="L19" s="151" t="s">
        <v>91</v>
      </c>
      <c r="M19" s="56"/>
    </row>
    <row r="20" spans="2:22" x14ac:dyDescent="0.25">
      <c r="B20" s="55"/>
      <c r="E20" s="6" t="s">
        <v>92</v>
      </c>
      <c r="H20" s="154">
        <f>K29</f>
        <v>9311848.1031048745</v>
      </c>
      <c r="I20" s="156"/>
      <c r="J20" s="157">
        <f>M29</f>
        <v>39372907.574440278</v>
      </c>
      <c r="K20" s="157">
        <f>O29</f>
        <v>0</v>
      </c>
      <c r="L20" s="154">
        <f>R29-U29</f>
        <v>18013953.98702763</v>
      </c>
      <c r="M20" s="56"/>
    </row>
    <row r="21" spans="2:22" x14ac:dyDescent="0.25">
      <c r="B21" s="55"/>
      <c r="E21" s="6" t="s">
        <v>93</v>
      </c>
      <c r="F21" s="43"/>
      <c r="H21" s="154">
        <f>F29</f>
        <v>89120.138941890036</v>
      </c>
      <c r="I21" s="156"/>
      <c r="J21" s="157">
        <f>G29</f>
        <v>104963.01676658151</v>
      </c>
      <c r="K21" s="157">
        <f>G29</f>
        <v>104963.01676658151</v>
      </c>
      <c r="L21" s="154">
        <f>H29</f>
        <v>8315.3326634024397</v>
      </c>
      <c r="M21" s="56"/>
    </row>
    <row r="22" spans="2:22" ht="12" customHeight="1" x14ac:dyDescent="0.25">
      <c r="B22" s="55"/>
      <c r="C22" s="79">
        <f>IF(SUM(F22:K22,-L22)&lt;0,0,SUM(F22:K22,-L22))</f>
        <v>0</v>
      </c>
      <c r="E22" s="6" t="s">
        <v>95</v>
      </c>
      <c r="F22" s="50">
        <f>IFERROR(HLOOKUP('General inputs'!$H$7,'Headwork assets'!$D$21:$H$23,3,FALSE),0)+IFERROR(HLOOKUP('General inputs'!$H$7,'Headwork assets'!$D$28:$K$30,3,FALSE),0)+IFERROR(HLOOKUP('General inputs'!$H$7,'Headwork assets'!$D$35:$H$37,3,FALSE),0)</f>
        <v>0</v>
      </c>
      <c r="G22" s="155"/>
      <c r="H22" s="285">
        <f>H20/H21</f>
        <v>104.48646303364248</v>
      </c>
      <c r="I22" s="286"/>
      <c r="J22" s="287">
        <f>J20/J21</f>
        <v>375.11219463135666</v>
      </c>
      <c r="K22" s="287">
        <f>K20/K21</f>
        <v>0</v>
      </c>
      <c r="L22" s="285">
        <f>L20/L21</f>
        <v>2166.3539771909427</v>
      </c>
      <c r="M22" s="56"/>
    </row>
    <row r="23" spans="2:22" x14ac:dyDescent="0.25">
      <c r="B23" s="57"/>
      <c r="C23" s="60"/>
      <c r="D23" s="43"/>
      <c r="E23" s="43"/>
      <c r="F23" s="43"/>
      <c r="G23" s="43"/>
      <c r="H23" s="43"/>
      <c r="I23" s="43"/>
      <c r="J23" s="43"/>
      <c r="K23" s="43"/>
      <c r="L23" s="43"/>
      <c r="M23" s="58"/>
    </row>
    <row r="24" spans="2:22" x14ac:dyDescent="0.25">
      <c r="E24" s="42"/>
    </row>
    <row r="25" spans="2:22" x14ac:dyDescent="0.25">
      <c r="C25" s="41"/>
      <c r="D25" s="52"/>
    </row>
    <row r="26" spans="2:22" ht="18" x14ac:dyDescent="0.4">
      <c r="C26" s="77" t="str">
        <f>C10</f>
        <v>Table 2:  Key variables used in maximum price calculation ($, $2021-22)</v>
      </c>
      <c r="D26" s="52"/>
    </row>
    <row r="27" spans="2:22" ht="18" x14ac:dyDescent="0.4">
      <c r="B27" s="53"/>
      <c r="C27" s="80"/>
      <c r="D27" s="81"/>
      <c r="E27" s="42"/>
      <c r="F27" s="42"/>
      <c r="G27" s="42"/>
      <c r="H27" s="42"/>
      <c r="I27" s="42"/>
      <c r="J27" s="42"/>
      <c r="K27" s="42"/>
      <c r="L27" s="42"/>
      <c r="M27" s="42"/>
      <c r="N27" s="42"/>
      <c r="O27" s="42"/>
      <c r="P27" s="42"/>
      <c r="Q27" s="42"/>
      <c r="R27" s="42"/>
      <c r="S27" s="42"/>
      <c r="T27" s="42"/>
      <c r="U27" s="42"/>
      <c r="V27" s="54"/>
    </row>
    <row r="28" spans="2:22" ht="92" x14ac:dyDescent="0.25">
      <c r="B28" s="55"/>
      <c r="E28" s="158" t="s">
        <v>96</v>
      </c>
      <c r="F28" s="158" t="s">
        <v>97</v>
      </c>
      <c r="G28" s="158" t="s">
        <v>98</v>
      </c>
      <c r="H28" s="158" t="s">
        <v>99</v>
      </c>
      <c r="I28" s="159"/>
      <c r="J28" s="159"/>
      <c r="K28" s="158" t="s">
        <v>100</v>
      </c>
      <c r="L28" s="159"/>
      <c r="M28" s="158" t="s">
        <v>101</v>
      </c>
      <c r="N28" s="159"/>
      <c r="O28" s="158" t="s">
        <v>102</v>
      </c>
      <c r="P28" s="159"/>
      <c r="Q28" s="159"/>
      <c r="R28" s="158" t="s">
        <v>103</v>
      </c>
      <c r="U28" s="158" t="s">
        <v>104</v>
      </c>
      <c r="V28" s="56"/>
    </row>
    <row r="29" spans="2:22" x14ac:dyDescent="0.25">
      <c r="B29" s="55"/>
      <c r="E29" s="143">
        <f>SUM(E39:E129)</f>
        <v>64278.464182051357</v>
      </c>
      <c r="F29" s="82">
        <f>SUM(F39:F129)</f>
        <v>89120.138941890036</v>
      </c>
      <c r="G29" s="82">
        <f t="shared" ref="G29:H29" si="0">SUM(G39:G129)</f>
        <v>104963.01676658151</v>
      </c>
      <c r="H29" s="79">
        <f t="shared" si="0"/>
        <v>8315.3326634024397</v>
      </c>
      <c r="K29" s="82">
        <f>K39</f>
        <v>9311848.1031048745</v>
      </c>
      <c r="M29" s="82">
        <f>SUM(M39:M129)</f>
        <v>39372907.574440278</v>
      </c>
      <c r="O29" s="82">
        <f>SUM(O39:O129)</f>
        <v>0</v>
      </c>
      <c r="R29" s="82">
        <f>SUM(R39:R129)</f>
        <v>147002769.59680933</v>
      </c>
      <c r="U29" s="82">
        <f>SUM(U39:U129)</f>
        <v>128988815.6097817</v>
      </c>
      <c r="V29" s="56"/>
    </row>
    <row r="30" spans="2:22" x14ac:dyDescent="0.25">
      <c r="B30" s="57"/>
      <c r="C30" s="43"/>
      <c r="D30" s="43"/>
      <c r="E30" s="43"/>
      <c r="F30" s="43"/>
      <c r="G30" s="43"/>
      <c r="H30" s="43"/>
      <c r="I30" s="43"/>
      <c r="J30" s="43"/>
      <c r="K30" s="43"/>
      <c r="L30" s="43"/>
      <c r="M30" s="43"/>
      <c r="N30" s="43"/>
      <c r="O30" s="43"/>
      <c r="P30" s="43"/>
      <c r="Q30" s="43"/>
      <c r="R30" s="43"/>
      <c r="S30" s="43"/>
      <c r="T30" s="43"/>
      <c r="U30" s="43"/>
      <c r="V30" s="58"/>
    </row>
    <row r="32" spans="2:22" x14ac:dyDescent="0.25">
      <c r="K32" s="37" t="s">
        <v>105</v>
      </c>
    </row>
    <row r="33" spans="2:27" x14ac:dyDescent="0.25">
      <c r="B33" s="132" t="str">
        <f>"Note:  inputs are required in "&amp;'Reduction amount'!D17&amp;" and "&amp;'Reduction amount'!D18&amp;" to calculate the 'Reduction amount'."</f>
        <v>Note:  inputs are required in $Q$66:$Q$95 and $T$66:$T$95 to calculate the 'Reduction amount'.</v>
      </c>
      <c r="J33" t="s">
        <v>106</v>
      </c>
      <c r="K33" s="218">
        <v>3.7999999999999999E-2</v>
      </c>
      <c r="L33" t="s">
        <v>107</v>
      </c>
    </row>
    <row r="34" spans="2:27" x14ac:dyDescent="0.25">
      <c r="J34" t="s">
        <v>108</v>
      </c>
      <c r="K34" s="218">
        <v>6.0999999999999999E-2</v>
      </c>
      <c r="L34" t="s">
        <v>107</v>
      </c>
    </row>
    <row r="35" spans="2:27" ht="18" x14ac:dyDescent="0.4">
      <c r="C35" s="77" t="str">
        <f>C11</f>
        <v>Table 3:  Annual calculation over analysis horizon ($, $2021-22)</v>
      </c>
      <c r="D35" s="146"/>
      <c r="E35" s="146"/>
      <c r="F35" s="146"/>
      <c r="G35" s="146"/>
      <c r="H35" s="146"/>
      <c r="I35" s="146"/>
      <c r="J35" t="s">
        <v>109</v>
      </c>
      <c r="K35" s="266">
        <v>0.06</v>
      </c>
      <c r="L35" t="s">
        <v>107</v>
      </c>
      <c r="M35" s="1"/>
      <c r="N35" s="146"/>
      <c r="O35" s="146"/>
      <c r="P35" s="1"/>
      <c r="Q35" s="146"/>
      <c r="R35" s="146"/>
      <c r="S35" s="1"/>
      <c r="T35" s="146"/>
      <c r="U35" s="146"/>
    </row>
    <row r="36" spans="2:27" ht="18" x14ac:dyDescent="0.4">
      <c r="B36" s="53"/>
      <c r="C36" s="80"/>
      <c r="D36" s="145"/>
      <c r="E36" s="145"/>
      <c r="F36" s="145"/>
      <c r="G36" s="145"/>
      <c r="H36" s="145"/>
      <c r="I36" s="145"/>
      <c r="J36" s="145"/>
      <c r="K36" s="42"/>
      <c r="L36" s="145"/>
      <c r="M36" s="42"/>
      <c r="N36" s="42"/>
      <c r="O36" s="42"/>
      <c r="P36" s="42"/>
      <c r="Q36" s="147" t="str">
        <f>IF(COUNT(Q39:Q129)&lt;&gt;'General inputs'!H38,"Data required in input range "&amp;'Reduction amount'!D17,"OK")</f>
        <v>OK</v>
      </c>
      <c r="R36" s="130"/>
      <c r="S36" s="42"/>
      <c r="T36" s="147" t="str">
        <f>IF(COUNT(T39:T129)&lt;&gt;'General inputs'!H38,"Data required in input range "&amp;'Reduction amount'!D18,"OK")</f>
        <v>OK</v>
      </c>
      <c r="U36" s="42"/>
      <c r="V36" s="54"/>
    </row>
    <row r="37" spans="2:27" ht="18" x14ac:dyDescent="0.4">
      <c r="B37" s="55"/>
      <c r="C37" s="77"/>
      <c r="D37" s="146"/>
      <c r="E37" s="149" t="s">
        <v>110</v>
      </c>
      <c r="F37" s="146"/>
      <c r="G37" s="146"/>
      <c r="H37" s="146"/>
      <c r="I37" s="146"/>
      <c r="J37" s="149" t="s">
        <v>111</v>
      </c>
      <c r="L37" s="146"/>
      <c r="Q37" s="149" t="s">
        <v>112</v>
      </c>
      <c r="R37" s="131"/>
      <c r="T37" s="149" t="s">
        <v>113</v>
      </c>
      <c r="V37" s="56"/>
    </row>
    <row r="38" spans="2:27" ht="82" x14ac:dyDescent="0.4">
      <c r="B38" s="55"/>
      <c r="C38" s="77"/>
      <c r="D38" s="165" t="s">
        <v>114</v>
      </c>
      <c r="E38" s="148" t="s">
        <v>115</v>
      </c>
      <c r="F38" s="148" t="s">
        <v>116</v>
      </c>
      <c r="G38" s="148" t="s">
        <v>117</v>
      </c>
      <c r="H38" s="24" t="s">
        <v>118</v>
      </c>
      <c r="I38" s="37"/>
      <c r="J38" s="24" t="s">
        <v>119</v>
      </c>
      <c r="K38" s="148" t="s">
        <v>120</v>
      </c>
      <c r="L38" s="24" t="s">
        <v>121</v>
      </c>
      <c r="M38" s="24" t="s">
        <v>122</v>
      </c>
      <c r="N38" s="24" t="s">
        <v>123</v>
      </c>
      <c r="O38" s="24" t="s">
        <v>124</v>
      </c>
      <c r="P38" s="37"/>
      <c r="Q38" s="24" t="s">
        <v>125</v>
      </c>
      <c r="R38" s="24" t="s">
        <v>126</v>
      </c>
      <c r="S38" s="150"/>
      <c r="T38" s="24" t="s">
        <v>127</v>
      </c>
      <c r="U38" s="24" t="s">
        <v>128</v>
      </c>
      <c r="V38" s="56"/>
    </row>
    <row r="39" spans="2:27" ht="12" thickBot="1" x14ac:dyDescent="0.3">
      <c r="B39" s="55"/>
      <c r="C39" s="28">
        <f>IF(D39='General inputs'!$I$16,0,IF(D39&lt;'General inputs'!$I$16,C40-1,C38+1))</f>
        <v>-27</v>
      </c>
      <c r="D39" s="166" t="str">
        <f>RIGHT(YEAR('General inputs'!$H$24),4)&amp;"-"&amp;RIGHT(YEAR('General inputs'!H24),2)+1</f>
        <v>1995-96</v>
      </c>
      <c r="E39" s="84">
        <f>IF(LEFT(D39,4)*1&gt;LEFT('General inputs'!$I$16,4)+'General inputs'!$H$38-1,"",'ET inputs'!D12)</f>
        <v>566.65333591288481</v>
      </c>
      <c r="F39" s="84">
        <f>IF(LEFT(D39,4)*1&gt;LEFT('General inputs'!$I$16,4)+'General inputs'!$H$38-1,"",E39/(1+'General inputs'!$H$30)^C39)</f>
        <v>1258.7008250329432</v>
      </c>
      <c r="G39" s="84">
        <f>IF(LEFT(D39,4)*1&gt;LEFT('General inputs'!$I$16,4)+'General inputs'!$H$38-1,"",E39/(1+'General inputs'!$H$32)^C39)</f>
        <v>1720.8612757298345</v>
      </c>
      <c r="H39" s="83" t="str">
        <f>IF(LEFT(D39,4)*1&lt;LEFT('General inputs'!$I$16,4)*1,"",IF(LEFT(D39,4)*1&gt;LEFT('General inputs'!$I$16,4)+'General inputs'!$H$38-1,"",E39/(1+'General inputs'!$H$34)^C39))</f>
        <v/>
      </c>
      <c r="J39" s="84">
        <f>'Pre-1996 assets'!P736*(1+$K$34)*(1+$K$35)</f>
        <v>4192092.1049689027</v>
      </c>
      <c r="K39" s="84">
        <f>J39/(1+'General inputs'!$H$30)^C39</f>
        <v>9311848.1031048745</v>
      </c>
      <c r="L39" s="167">
        <f>IF(LEFT(D39,4)*1&gt;LEFT('General inputs'!$I$18,4)*1,"",SUMIF('Post-1996 commissioned assets'!$F$22:$F$901,$D39,'Post-1996 commissioned assets'!$P$22:$P$901)*(1+$K$34)*(1+$K$35))</f>
        <v>1409862.8495135768</v>
      </c>
      <c r="M39" s="167">
        <f>IF(L39="","",L39/(1+'General inputs'!$H$32)^C39)</f>
        <v>4281591.9858822199</v>
      </c>
      <c r="N39" s="84" t="str">
        <f>IF(LEFT(D39,4)*1&lt;LEFT('General inputs'!$I$18,4)*1+1,"",SUMIF('Uncommissioned assets'!$F$22:$F$300,$D39,'Uncommissioned assets'!$P$22:$P$300))</f>
        <v/>
      </c>
      <c r="O39" s="84" t="str">
        <f>IF(N39="","",N39/(1+'General inputs'!$H$32)^C39)</f>
        <v/>
      </c>
      <c r="Q39" s="39"/>
      <c r="R39" s="83" t="str">
        <f>IF(OR(LEFT(D39,4)*1&lt;LEFT('General inputs'!$I$16,4)*1,LEFT(D39,4)*1&gt;LEFT('General inputs'!$I$16,4)+'General inputs'!$H$38-1),"",Q39/(1+'General inputs'!$H$34)^C39)</f>
        <v/>
      </c>
      <c r="T39" s="39"/>
      <c r="U39" s="83" t="str">
        <f>IF(OR(LEFT(D39,4)*1&lt;LEFT('General inputs'!$I$16,4)*1,LEFT(D39,4)*1&gt;LEFT('General inputs'!$I$16,4)+'General inputs'!$H$38-1),"",T39/(1+'General inputs'!$H$34)^C39)</f>
        <v/>
      </c>
      <c r="V39" s="56"/>
      <c r="X39" s="51"/>
      <c r="Y39" s="51"/>
      <c r="Z39" s="51"/>
      <c r="AA39" s="51"/>
    </row>
    <row r="40" spans="2:27" ht="12" thickTop="1" x14ac:dyDescent="0.25">
      <c r="B40" s="55"/>
      <c r="C40" s="28">
        <f>IF(D40='General inputs'!$I$16,0,IF(D40&lt;'General inputs'!$I$16,C41-1,C39+1))</f>
        <v>-26</v>
      </c>
      <c r="D40" s="28" t="str">
        <f>LEFT(D39,4)+1&amp;"-"&amp;RIGHT(D39,2)+1</f>
        <v>1996-97</v>
      </c>
      <c r="E40" s="83">
        <f>IF(LEFT(D40,4)*1&gt;LEFT('General inputs'!$I$16,4)+'General inputs'!$H$38-1,"",'ET inputs'!D13)</f>
        <v>865.15748162069531</v>
      </c>
      <c r="F40" s="83">
        <f>IF(LEFT(D40,4)*1&gt;LEFT('General inputs'!$I$16,4)+'General inputs'!$H$38-1,"",E40/(1+'General inputs'!$H$30)^C40)</f>
        <v>1865.7910699134122</v>
      </c>
      <c r="G40" s="83">
        <f>IF(LEFT(D40,4)*1&gt;LEFT('General inputs'!$I$16,4)+'General inputs'!$H$38-1,"",E40/(1+'General inputs'!$H$32)^C40)</f>
        <v>2521.4819338498282</v>
      </c>
      <c r="H40" s="83" t="str">
        <f>IF(LEFT(D40,4)*1&lt;LEFT('General inputs'!$I$16,4)*1,"",IF(LEFT(D40,4)*1&gt;LEFT('General inputs'!$I$16,4)+'General inputs'!$H$38-1,"",E40/(1+'General inputs'!$H$34)^C40))</f>
        <v/>
      </c>
      <c r="J40" s="113"/>
      <c r="K40" s="113"/>
      <c r="L40" s="83">
        <f>IF(LEFT(D40,4)*1&gt;LEFT('General inputs'!$I$18,4)*1,"",SUMIF('Post-1996 commissioned assets'!$F$22:$F$901,$D40,'Post-1996 commissioned assets'!$P$22:$P$901)*(1+$K$34)*(1+$K$35))</f>
        <v>1421318.4193562758</v>
      </c>
      <c r="M40" s="83">
        <f>IF(L40="","",L40/(1+'General inputs'!$H$32)^C40)</f>
        <v>4142400.4216449405</v>
      </c>
      <c r="N40" s="83" t="str">
        <f>IF(LEFT(D40,4)*1&lt;LEFT('General inputs'!$I$18,4)*1+1,"",SUMIF('Uncommissioned assets'!$F$22:$F$300,$D40,'Uncommissioned assets'!$P$22:$P$300))</f>
        <v/>
      </c>
      <c r="O40" s="83" t="str">
        <f>IF(N40="","",N40/(1+'General inputs'!$H$32)^C40)</f>
        <v/>
      </c>
      <c r="Q40" s="39"/>
      <c r="R40" s="83" t="str">
        <f>IF(OR(LEFT(D40,4)*1&lt;LEFT('General inputs'!$I$16,4)*1,LEFT(D40,4)*1&gt;LEFT('General inputs'!$I$16,4)+'General inputs'!$H$38-1),"",Q40/(1+'General inputs'!$H$34)^C40)</f>
        <v/>
      </c>
      <c r="T40" s="39"/>
      <c r="U40" s="83" t="str">
        <f>IF(OR(LEFT(D40,4)*1&lt;LEFT('General inputs'!$I$16,4)*1,LEFT(D40,4)*1&gt;LEFT('General inputs'!$I$16,4)+'General inputs'!$H$38-1),"",T40/(1+'General inputs'!$H$34)^C40)</f>
        <v/>
      </c>
      <c r="V40" s="56"/>
    </row>
    <row r="41" spans="2:27" x14ac:dyDescent="0.25">
      <c r="B41" s="55"/>
      <c r="C41" s="28">
        <f>IF(D41='General inputs'!$I$16,0,IF(D41&lt;'General inputs'!$I$16,C42-1,C40+1))</f>
        <v>-25</v>
      </c>
      <c r="D41" s="28" t="str">
        <f t="shared" ref="D41:D99" si="1">LEFT(D40,4)+1&amp;"-"&amp;RIGHT(D40,2)+1</f>
        <v>1997-98</v>
      </c>
      <c r="E41" s="83">
        <f>IF(LEFT(D41,4)*1&gt;LEFT('General inputs'!$I$16,4)+'General inputs'!$H$38-1,"",'ET inputs'!D14)</f>
        <v>1613.8905533139259</v>
      </c>
      <c r="F41" s="83">
        <f>IF(LEFT(D41,4)*1&gt;LEFT('General inputs'!$I$16,4)+'General inputs'!$H$38-1,"",E41/(1+'General inputs'!$H$30)^C41)</f>
        <v>3379.1284214061257</v>
      </c>
      <c r="G41" s="83">
        <f>IF(LEFT(D41,4)*1&gt;LEFT('General inputs'!$I$16,4)+'General inputs'!$H$38-1,"",E41/(1+'General inputs'!$H$32)^C41)</f>
        <v>4514.0571548176304</v>
      </c>
      <c r="H41" s="83" t="str">
        <f>IF(LEFT(D41,4)*1&lt;LEFT('General inputs'!$I$16,4)*1,"",IF(LEFT(D41,4)*1&gt;LEFT('General inputs'!$I$16,4)+'General inputs'!$H$38-1,"",E41/(1+'General inputs'!$H$34)^C41))</f>
        <v/>
      </c>
      <c r="J41" s="113"/>
      <c r="K41" s="113"/>
      <c r="L41" s="83">
        <f>IF(LEFT(D41,4)*1&gt;LEFT('General inputs'!$I$18,4)*1,"",SUMIF('Post-1996 commissioned assets'!$F$22:$F$901,$D41,'Post-1996 commissioned assets'!$P$22:$P$901)*(1+$K$34)*(1+$K$35))</f>
        <v>0</v>
      </c>
      <c r="M41" s="83">
        <f>IF(L41="","",L41/(1+'General inputs'!$H$32)^C41)</f>
        <v>0</v>
      </c>
      <c r="N41" s="83" t="str">
        <f>IF(LEFT(D41,4)*1&lt;LEFT('General inputs'!$I$18,4)*1+1,"",SUMIF('Uncommissioned assets'!$F$22:$F$300,$D41,'Uncommissioned assets'!$P$22:$P$300))</f>
        <v/>
      </c>
      <c r="O41" s="83" t="str">
        <f>IF(N41="","",N41/(1+'General inputs'!$H$32)^C41)</f>
        <v/>
      </c>
      <c r="Q41" s="39"/>
      <c r="R41" s="83" t="str">
        <f>IF(OR(LEFT(D41,4)*1&lt;LEFT('General inputs'!$I$16,4)*1,LEFT(D41,4)*1&gt;LEFT('General inputs'!$I$16,4)+'General inputs'!$H$38-1),"",Q41/(1+'General inputs'!$H$34)^C41)</f>
        <v/>
      </c>
      <c r="T41" s="39"/>
      <c r="U41" s="83" t="str">
        <f>IF(OR(LEFT(D41,4)*1&lt;LEFT('General inputs'!$I$16,4)*1,LEFT(D41,4)*1&gt;LEFT('General inputs'!$I$16,4)+'General inputs'!$H$38-1),"",T41/(1+'General inputs'!$H$34)^C41)</f>
        <v/>
      </c>
      <c r="V41" s="56"/>
      <c r="X41" s="38"/>
      <c r="Y41" s="38"/>
      <c r="Z41" s="38"/>
    </row>
    <row r="42" spans="2:27" ht="12" thickBot="1" x14ac:dyDescent="0.3">
      <c r="B42" s="55"/>
      <c r="C42" s="28">
        <f>IF(D42='General inputs'!$I$16,0,IF(D42&lt;'General inputs'!$I$16,C43-1,C41+1))</f>
        <v>-24</v>
      </c>
      <c r="D42" s="85" t="str">
        <f t="shared" si="1"/>
        <v>1998-99</v>
      </c>
      <c r="E42" s="83">
        <f>IF(LEFT(D42,4)*1&gt;LEFT('General inputs'!$I$16,4)+'General inputs'!$H$38-1,"",'ET inputs'!D15)</f>
        <v>774.28837543529926</v>
      </c>
      <c r="F42" s="83">
        <f>IF(LEFT(D42,4)*1&gt;LEFT('General inputs'!$I$16,4)+'General inputs'!$H$38-1,"",E42/(1+'General inputs'!$H$30)^C42)</f>
        <v>1573.9688462856752</v>
      </c>
      <c r="G42" s="83">
        <f>IF(LEFT(D42,4)*1&gt;LEFT('General inputs'!$I$16,4)+'General inputs'!$H$38-1,"",E42/(1+'General inputs'!$H$32)^C42)</f>
        <v>2078.3945469369273</v>
      </c>
      <c r="H42" s="83" t="str">
        <f>IF(LEFT(D42,4)*1&lt;LEFT('General inputs'!$I$16,4)*1,"",IF(LEFT(D42,4)*1&gt;LEFT('General inputs'!$I$16,4)+'General inputs'!$H$38-1,"",E42/(1+'General inputs'!$H$34)^C42))</f>
        <v/>
      </c>
      <c r="J42" s="113"/>
      <c r="K42" s="113"/>
      <c r="L42" s="83">
        <f>IF(LEFT(D42,4)*1&gt;LEFT('General inputs'!$I$18,4)*1,"",SUMIF('Post-1996 commissioned assets'!$F$22:$F$901,$D42,'Post-1996 commissioned assets'!$P$22:$P$901)*(1+$K$34)*(1+$K$35))</f>
        <v>0</v>
      </c>
      <c r="M42" s="83">
        <f>IF(L42="","",L42/(1+'General inputs'!$H$32)^C42)</f>
        <v>0</v>
      </c>
      <c r="N42" s="83" t="str">
        <f>IF(LEFT(D42,4)*1&lt;LEFT('General inputs'!$I$18,4)*1+1,"",SUMIF('Uncommissioned assets'!$F$22:$F$300,$D42,'Uncommissioned assets'!$P$22:$P$300))</f>
        <v/>
      </c>
      <c r="O42" s="83" t="str">
        <f>IF(N42="","",N42/(1+'General inputs'!$H$32)^C42)</f>
        <v/>
      </c>
      <c r="Q42" s="39"/>
      <c r="R42" s="83" t="str">
        <f>IF(OR(LEFT(D42,4)*1&lt;LEFT('General inputs'!$I$16,4)*1,LEFT(D42,4)*1&gt;LEFT('General inputs'!$I$16,4)+'General inputs'!$H$38-1),"",Q42/(1+'General inputs'!$H$34)^C42)</f>
        <v/>
      </c>
      <c r="T42" s="39"/>
      <c r="U42" s="83" t="str">
        <f>IF(OR(LEFT(D42,4)*1&lt;LEFT('General inputs'!$I$16,4)*1,LEFT(D42,4)*1&gt;LEFT('General inputs'!$I$16,4)+'General inputs'!$H$38-1),"",T42/(1+'General inputs'!$H$34)^C42)</f>
        <v/>
      </c>
      <c r="V42" s="56"/>
      <c r="X42" s="38"/>
      <c r="Y42" s="38"/>
      <c r="Z42" s="38"/>
    </row>
    <row r="43" spans="2:27" ht="12.5" thickTop="1" thickBot="1" x14ac:dyDescent="0.3">
      <c r="B43" s="55"/>
      <c r="C43" s="28">
        <f>IF(D43='General inputs'!$I$16,0,IF(D43&lt;'General inputs'!$I$16,C44-1,C42+1))</f>
        <v>-23</v>
      </c>
      <c r="D43" s="86" t="str">
        <f>LEFT(D42,4)+1&amp;"-00"</f>
        <v>1999-00</v>
      </c>
      <c r="E43" s="83">
        <f>IF(LEFT(D43,4)*1&gt;LEFT('General inputs'!$I$16,4)+'General inputs'!$H$38-1,"",'ET inputs'!D16)</f>
        <v>5512.7703830634218</v>
      </c>
      <c r="F43" s="83">
        <f>IF(LEFT(D43,4)*1&gt;LEFT('General inputs'!$I$16,4)+'General inputs'!$H$38-1,"",E43/(1+'General inputs'!$H$30)^C43)</f>
        <v>10879.929266952211</v>
      </c>
      <c r="G43" s="83">
        <f>IF(LEFT(D43,4)*1&gt;LEFT('General inputs'!$I$16,4)+'General inputs'!$H$38-1,"",E43/(1+'General inputs'!$H$32)^C43)</f>
        <v>14201.278350934461</v>
      </c>
      <c r="H43" s="83" t="str">
        <f>IF(LEFT(D43,4)*1&lt;LEFT('General inputs'!$I$16,4)*1,"",IF(LEFT(D43,4)*1&gt;LEFT('General inputs'!$I$16,4)+'General inputs'!$H$38-1,"",E43/(1+'General inputs'!$H$34)^C43))</f>
        <v/>
      </c>
      <c r="J43" s="113"/>
      <c r="K43" s="113"/>
      <c r="L43" s="83">
        <f>IF(LEFT(D43,4)*1&gt;LEFT('General inputs'!$I$18,4)*1,"",SUMIF('Post-1996 commissioned assets'!$F$22:$F$901,$D43,'Post-1996 commissioned assets'!$P$22:$P$901)*(1+$K$34)*(1+$K$35))</f>
        <v>0</v>
      </c>
      <c r="M43" s="83">
        <f>IF(L43="","",L43/(1+'General inputs'!$H$32)^C43)</f>
        <v>0</v>
      </c>
      <c r="N43" s="83" t="str">
        <f>IF(LEFT(D43,4)*1&lt;LEFT('General inputs'!$I$18,4)*1+1,"",SUMIF('Uncommissioned assets'!$F$22:$F$300,$D43,'Uncommissioned assets'!$P$22:$P$300))</f>
        <v/>
      </c>
      <c r="O43" s="83" t="str">
        <f>IF(N43="","",N43/(1+'General inputs'!$H$32)^C43)</f>
        <v/>
      </c>
      <c r="Q43" s="39"/>
      <c r="R43" s="83" t="str">
        <f>IF(OR(LEFT(D43,4)*1&lt;LEFT('General inputs'!$I$16,4)*1,LEFT(D43,4)*1&gt;LEFT('General inputs'!$I$16,4)+'General inputs'!$H$38-1),"",Q43/(1+'General inputs'!$H$34)^C43)</f>
        <v/>
      </c>
      <c r="T43" s="39"/>
      <c r="U43" s="83" t="str">
        <f>IF(OR(LEFT(D43,4)*1&lt;LEFT('General inputs'!$I$16,4)*1,LEFT(D43,4)*1&gt;LEFT('General inputs'!$I$16,4)+'General inputs'!$H$38-1),"",T43/(1+'General inputs'!$H$34)^C43)</f>
        <v/>
      </c>
      <c r="V43" s="56"/>
      <c r="X43" s="38"/>
      <c r="Y43" s="38"/>
      <c r="Z43" s="38"/>
    </row>
    <row r="44" spans="2:27" ht="12" thickTop="1" x14ac:dyDescent="0.25">
      <c r="B44" s="55"/>
      <c r="C44" s="28">
        <f>IF(D44='General inputs'!$I$16,0,IF(D44&lt;'General inputs'!$I$16,C45-1,C43+1))</f>
        <v>-22</v>
      </c>
      <c r="D44" s="87" t="str">
        <f>LEFT(D43,4)+1&amp;"-0"&amp;RIGHT(D43,2)+1</f>
        <v>2000-01</v>
      </c>
      <c r="E44" s="83">
        <f>IF(LEFT(D44,4)*1&gt;LEFT('General inputs'!$I$16,4)+'General inputs'!$H$38-1,"",'ET inputs'!D17)</f>
        <v>3577.4727212426278</v>
      </c>
      <c r="F44" s="83">
        <f>IF(LEFT(D44,4)*1&gt;LEFT('General inputs'!$I$16,4)+'General inputs'!$H$38-1,"",E44/(1+'General inputs'!$H$30)^C44)</f>
        <v>6854.8076762794517</v>
      </c>
      <c r="G44" s="83">
        <f>IF(LEFT(D44,4)*1&gt;LEFT('General inputs'!$I$16,4)+'General inputs'!$H$38-1,"",E44/(1+'General inputs'!$H$32)^C44)</f>
        <v>8844.3546304668234</v>
      </c>
      <c r="H44" s="83" t="str">
        <f>IF(LEFT(D44,4)*1&lt;LEFT('General inputs'!$I$16,4)*1,"",IF(LEFT(D44,4)*1&gt;LEFT('General inputs'!$I$16,4)+'General inputs'!$H$38-1,"",E44/(1+'General inputs'!$H$34)^C44))</f>
        <v/>
      </c>
      <c r="J44" s="113"/>
      <c r="K44" s="113"/>
      <c r="L44" s="83">
        <f>IF(LEFT(D44,4)*1&gt;LEFT('General inputs'!$I$18,4)*1,"",SUMIF('Post-1996 commissioned assets'!$F$22:$F$901,$D44,'Post-1996 commissioned assets'!$P$22:$P$901)*(1+$K$34)*(1+$K$35))</f>
        <v>16112.603901400924</v>
      </c>
      <c r="M44" s="83">
        <f>IF(L44="","",L44/(1+'General inputs'!$H$32)^C44)</f>
        <v>39834.149420078335</v>
      </c>
      <c r="N44" s="83" t="str">
        <f>IF(LEFT(D44,4)*1&lt;LEFT('General inputs'!$I$18,4)*1+1,"",SUMIF('Uncommissioned assets'!$F$22:$F$300,$D44,'Uncommissioned assets'!$P$22:$P$300))</f>
        <v/>
      </c>
      <c r="O44" s="83" t="str">
        <f>IF(N44="","",N44/(1+'General inputs'!$H$32)^C44)</f>
        <v/>
      </c>
      <c r="Q44" s="39"/>
      <c r="R44" s="83" t="str">
        <f>IF(OR(LEFT(D44,4)*1&lt;LEFT('General inputs'!$I$16,4)*1,LEFT(D44,4)*1&gt;LEFT('General inputs'!$I$16,4)+'General inputs'!$H$38-1),"",Q44/(1+'General inputs'!$H$34)^C44)</f>
        <v/>
      </c>
      <c r="T44" s="39"/>
      <c r="U44" s="83" t="str">
        <f>IF(OR(LEFT(D44,4)*1&lt;LEFT('General inputs'!$I$16,4)*1,LEFT(D44,4)*1&gt;LEFT('General inputs'!$I$16,4)+'General inputs'!$H$38-1),"",T44/(1+'General inputs'!$H$34)^C44)</f>
        <v/>
      </c>
      <c r="V44" s="56"/>
      <c r="X44" s="38"/>
      <c r="Y44" s="38"/>
      <c r="Z44" s="38"/>
    </row>
    <row r="45" spans="2:27" x14ac:dyDescent="0.25">
      <c r="B45" s="55"/>
      <c r="C45" s="28">
        <f>IF(D45='General inputs'!$I$16,0,IF(D45&lt;'General inputs'!$I$16,C46-1,C44+1))</f>
        <v>-21</v>
      </c>
      <c r="D45" s="28" t="str">
        <f t="shared" ref="D45:D52" si="2">LEFT(D44,4)+1&amp;"-0"&amp;RIGHT(D44,2)+1</f>
        <v>2001-02</v>
      </c>
      <c r="E45" s="83">
        <f>IF(LEFT(D45,4)*1&gt;LEFT('General inputs'!$I$16,4)+'General inputs'!$H$38-1,"",'ET inputs'!D18)</f>
        <v>1034.8068100160301</v>
      </c>
      <c r="F45" s="83">
        <f>IF(LEFT(D45,4)*1&gt;LEFT('General inputs'!$I$16,4)+'General inputs'!$H$38-1,"",E45/(1+'General inputs'!$H$30)^C45)</f>
        <v>1925.0454914408401</v>
      </c>
      <c r="G45" s="83">
        <f>IF(LEFT(D45,4)*1&gt;LEFT('General inputs'!$I$16,4)+'General inputs'!$H$38-1,"",E45/(1+'General inputs'!$H$32)^C45)</f>
        <v>2455.1689122989951</v>
      </c>
      <c r="H45" s="83" t="str">
        <f>IF(LEFT(D45,4)*1&lt;LEFT('General inputs'!$I$16,4)*1,"",IF(LEFT(D45,4)*1&gt;LEFT('General inputs'!$I$16,4)+'General inputs'!$H$38-1,"",E45/(1+'General inputs'!$H$34)^C45))</f>
        <v/>
      </c>
      <c r="J45" s="113"/>
      <c r="K45" s="113"/>
      <c r="L45" s="83">
        <f>IF(LEFT(D45,4)*1&gt;LEFT('General inputs'!$I$18,4)*1,"",SUMIF('Post-1996 commissioned assets'!$F$22:$F$901,$D45,'Post-1996 commissioned assets'!$P$22:$P$901)*(1+$K$34)*(1+$K$35))</f>
        <v>887168.35935064603</v>
      </c>
      <c r="M45" s="83">
        <f>IF(L45="","",L45/(1+'General inputs'!$H$32)^C45)</f>
        <v>2104883.8824507426</v>
      </c>
      <c r="N45" s="83" t="str">
        <f>IF(LEFT(D45,4)*1&lt;LEFT('General inputs'!$I$18,4)*1+1,"",SUMIF('Uncommissioned assets'!$F$22:$F$300,$D45,'Uncommissioned assets'!$P$22:$P$300))</f>
        <v/>
      </c>
      <c r="O45" s="83" t="str">
        <f>IF(N45="","",N45/(1+'General inputs'!$H$32)^C45)</f>
        <v/>
      </c>
      <c r="Q45" s="39"/>
      <c r="R45" s="83" t="str">
        <f>IF(OR(LEFT(D45,4)*1&lt;LEFT('General inputs'!$I$16,4)*1,LEFT(D45,4)*1&gt;LEFT('General inputs'!$I$16,4)+'General inputs'!$H$38-1),"",Q45/(1+'General inputs'!$H$34)^C45)</f>
        <v/>
      </c>
      <c r="T45" s="39"/>
      <c r="U45" s="83" t="str">
        <f>IF(OR(LEFT(D45,4)*1&lt;LEFT('General inputs'!$I$16,4)*1,LEFT(D45,4)*1&gt;LEFT('General inputs'!$I$16,4)+'General inputs'!$H$38-1),"",T45/(1+'General inputs'!$H$34)^C45)</f>
        <v/>
      </c>
      <c r="V45" s="56"/>
      <c r="X45" s="38"/>
      <c r="Y45" s="38"/>
      <c r="Z45" s="38"/>
    </row>
    <row r="46" spans="2:27" x14ac:dyDescent="0.25">
      <c r="B46" s="55"/>
      <c r="C46" s="28">
        <f>IF(D46='General inputs'!$I$16,0,IF(D46&lt;'General inputs'!$I$16,C47-1,C45+1))</f>
        <v>-20</v>
      </c>
      <c r="D46" s="28" t="str">
        <f t="shared" si="2"/>
        <v>2002-03</v>
      </c>
      <c r="E46" s="83">
        <f>IF(LEFT(D46,4)*1&gt;LEFT('General inputs'!$I$16,4)+'General inputs'!$H$38-1,"",'ET inputs'!D19)</f>
        <v>2011.0339948040462</v>
      </c>
      <c r="F46" s="83">
        <f>IF(LEFT(D46,4)*1&gt;LEFT('General inputs'!$I$16,4)+'General inputs'!$H$38-1,"",E46/(1+'General inputs'!$H$30)^C46)</f>
        <v>3632.151091317698</v>
      </c>
      <c r="G46" s="83">
        <f>IF(LEFT(D46,4)*1&gt;LEFT('General inputs'!$I$16,4)+'General inputs'!$H$38-1,"",E46/(1+'General inputs'!$H$32)^C46)</f>
        <v>4579.033188821506</v>
      </c>
      <c r="H46" s="83" t="str">
        <f>IF(LEFT(D46,4)*1&lt;LEFT('General inputs'!$I$16,4)*1,"",IF(LEFT(D46,4)*1&gt;LEFT('General inputs'!$I$16,4)+'General inputs'!$H$38-1,"",E46/(1+'General inputs'!$H$34)^C46))</f>
        <v/>
      </c>
      <c r="J46" s="113"/>
      <c r="K46" s="113"/>
      <c r="L46" s="83">
        <f>IF(LEFT(D46,4)*1&gt;LEFT('General inputs'!$I$18,4)*1,"",SUMIF('Post-1996 commissioned assets'!$F$22:$F$901,$D46,'Post-1996 commissioned assets'!$P$22:$P$901)*(1+$K$34)*(1+$K$35))</f>
        <v>467922.34006734338</v>
      </c>
      <c r="M46" s="83">
        <f>IF(L46="","",L46/(1+'General inputs'!$H$32)^C46)</f>
        <v>1065437.9441100224</v>
      </c>
      <c r="N46" s="83" t="str">
        <f>IF(LEFT(D46,4)*1&lt;LEFT('General inputs'!$I$18,4)*1+1,"",SUMIF('Uncommissioned assets'!$F$22:$F$300,$D46,'Uncommissioned assets'!$P$22:$P$300))</f>
        <v/>
      </c>
      <c r="O46" s="83" t="str">
        <f>IF(N46="","",N46/(1+'General inputs'!$H$32)^C46)</f>
        <v/>
      </c>
      <c r="Q46" s="39"/>
      <c r="R46" s="83" t="str">
        <f>IF(OR(LEFT(D46,4)*1&lt;LEFT('General inputs'!$I$16,4)*1,LEFT(D46,4)*1&gt;LEFT('General inputs'!$I$16,4)+'General inputs'!$H$38-1),"",Q46/(1+'General inputs'!$H$34)^C46)</f>
        <v/>
      </c>
      <c r="T46" s="39"/>
      <c r="U46" s="83" t="str">
        <f>IF(OR(LEFT(D46,4)*1&lt;LEFT('General inputs'!$I$16,4)*1,LEFT(D46,4)*1&gt;LEFT('General inputs'!$I$16,4)+'General inputs'!$H$38-1),"",T46/(1+'General inputs'!$H$34)^C46)</f>
        <v/>
      </c>
      <c r="V46" s="56"/>
      <c r="X46" s="38"/>
      <c r="Y46" s="38"/>
      <c r="Z46" s="38"/>
    </row>
    <row r="47" spans="2:27" x14ac:dyDescent="0.25">
      <c r="B47" s="55"/>
      <c r="C47" s="28">
        <f>IF(D47='General inputs'!$I$16,0,IF(D47&lt;'General inputs'!$I$16,C48-1,C46+1))</f>
        <v>-19</v>
      </c>
      <c r="D47" s="28" t="str">
        <f t="shared" si="2"/>
        <v>2003-04</v>
      </c>
      <c r="E47" s="83">
        <f>IF(LEFT(D47,4)*1&gt;LEFT('General inputs'!$I$16,4)+'General inputs'!$H$38-1,"",'ET inputs'!D20)</f>
        <v>6265.1367530816633</v>
      </c>
      <c r="F47" s="83">
        <f>IF(LEFT(D47,4)*1&gt;LEFT('General inputs'!$I$16,4)+'General inputs'!$H$38-1,"",E47/(1+'General inputs'!$H$30)^C47)</f>
        <v>10985.955219884507</v>
      </c>
      <c r="G47" s="83">
        <f>IF(LEFT(D47,4)*1&gt;LEFT('General inputs'!$I$16,4)+'General inputs'!$H$38-1,"",E47/(1+'General inputs'!$H$32)^C47)</f>
        <v>13690.433982717763</v>
      </c>
      <c r="H47" s="83" t="str">
        <f>IF(LEFT(D47,4)*1&lt;LEFT('General inputs'!$I$16,4)*1,"",IF(LEFT(D47,4)*1&gt;LEFT('General inputs'!$I$16,4)+'General inputs'!$H$38-1,"",E47/(1+'General inputs'!$H$34)^C47))</f>
        <v/>
      </c>
      <c r="J47" s="113"/>
      <c r="K47" s="113"/>
      <c r="L47" s="83">
        <f>IF(LEFT(D47,4)*1&gt;LEFT('General inputs'!$I$18,4)*1,"",SUMIF('Post-1996 commissioned assets'!$F$22:$F$901,$D47,'Post-1996 commissioned assets'!$P$22:$P$901)*(1+$K$34)*(1+$K$35))</f>
        <v>0</v>
      </c>
      <c r="M47" s="83">
        <f>IF(L47="","",L47/(1+'General inputs'!$H$32)^C47)</f>
        <v>0</v>
      </c>
      <c r="N47" s="83" t="str">
        <f>IF(LEFT(D47,4)*1&lt;LEFT('General inputs'!$I$18,4)*1+1,"",SUMIF('Uncommissioned assets'!$F$22:$F$300,$D47,'Uncommissioned assets'!$P$22:$P$300))</f>
        <v/>
      </c>
      <c r="O47" s="83" t="str">
        <f>IF(N47="","",N47/(1+'General inputs'!$H$32)^C47)</f>
        <v/>
      </c>
      <c r="Q47" s="39"/>
      <c r="R47" s="83" t="str">
        <f>IF(OR(LEFT(D47,4)*1&lt;LEFT('General inputs'!$I$16,4)*1,LEFT(D47,4)*1&gt;LEFT('General inputs'!$I$16,4)+'General inputs'!$H$38-1),"",Q47/(1+'General inputs'!$H$34)^C47)</f>
        <v/>
      </c>
      <c r="T47" s="39"/>
      <c r="U47" s="83" t="str">
        <f>IF(OR(LEFT(D47,4)*1&lt;LEFT('General inputs'!$I$16,4)*1,LEFT(D47,4)*1&gt;LEFT('General inputs'!$I$16,4)+'General inputs'!$H$38-1),"",T47/(1+'General inputs'!$H$34)^C47)</f>
        <v/>
      </c>
      <c r="V47" s="56"/>
      <c r="X47" s="38"/>
      <c r="Y47" s="38"/>
      <c r="Z47" s="38"/>
    </row>
    <row r="48" spans="2:27" x14ac:dyDescent="0.25">
      <c r="B48" s="55"/>
      <c r="C48" s="28">
        <f>IF(D48='General inputs'!$I$16,0,IF(D48&lt;'General inputs'!$I$16,C49-1,C47+1))</f>
        <v>-18</v>
      </c>
      <c r="D48" s="28" t="str">
        <f t="shared" si="2"/>
        <v>2004-05</v>
      </c>
      <c r="E48" s="83">
        <f>IF(LEFT(D48,4)*1&gt;LEFT('General inputs'!$I$16,4)+'General inputs'!$H$38-1,"",'ET inputs'!D21)</f>
        <v>885.60532861643912</v>
      </c>
      <c r="F48" s="83">
        <f>IF(LEFT(D48,4)*1&gt;LEFT('General inputs'!$I$16,4)+'General inputs'!$H$38-1,"",E48/(1+'General inputs'!$H$30)^C48)</f>
        <v>1507.683790646855</v>
      </c>
      <c r="G48" s="83">
        <f>IF(LEFT(D48,4)*1&gt;LEFT('General inputs'!$I$16,4)+'General inputs'!$H$38-1,"",E48/(1+'General inputs'!$H$32)^C48)</f>
        <v>1857.2020840543335</v>
      </c>
      <c r="H48" s="83" t="str">
        <f>IF(LEFT(D48,4)*1&lt;LEFT('General inputs'!$I$16,4)*1,"",IF(LEFT(D48,4)*1&gt;LEFT('General inputs'!$I$16,4)+'General inputs'!$H$38-1,"",E48/(1+'General inputs'!$H$34)^C48))</f>
        <v/>
      </c>
      <c r="J48" s="113"/>
      <c r="K48" s="113"/>
      <c r="L48" s="83">
        <f>IF(LEFT(D48,4)*1&gt;LEFT('General inputs'!$I$18,4)*1,"",SUMIF('Post-1996 commissioned assets'!$F$22:$F$901,$D48,'Post-1996 commissioned assets'!$P$22:$P$901)*(1+$K$34)*(1+$K$35))</f>
        <v>0</v>
      </c>
      <c r="M48" s="83">
        <f>IF(L48="","",L48/(1+'General inputs'!$H$32)^C48)</f>
        <v>0</v>
      </c>
      <c r="N48" s="83" t="str">
        <f>IF(LEFT(D48,4)*1&lt;LEFT('General inputs'!$I$18,4)*1+1,"",SUMIF('Uncommissioned assets'!$F$22:$F$300,$D48,'Uncommissioned assets'!$P$22:$P$300))</f>
        <v/>
      </c>
      <c r="O48" s="83" t="str">
        <f>IF(N48="","",N48/(1+'General inputs'!$H$32)^C48)</f>
        <v/>
      </c>
      <c r="Q48" s="88"/>
      <c r="R48" s="83" t="str">
        <f>IF(OR(LEFT(D48,4)*1&lt;LEFT('General inputs'!$I$16,4)*1,LEFT(D48,4)*1&gt;LEFT('General inputs'!$I$16,4)+'General inputs'!$H$38-1),"",Q48/(1+'General inputs'!$H$34)^C48)</f>
        <v/>
      </c>
      <c r="T48" s="88"/>
      <c r="U48" s="83" t="str">
        <f>IF(OR(LEFT(D48,4)*1&lt;LEFT('General inputs'!$I$16,4)*1,LEFT(D48,4)*1&gt;LEFT('General inputs'!$I$16,4)+'General inputs'!$H$38-1),"",T48/(1+'General inputs'!$H$34)^C48)</f>
        <v/>
      </c>
      <c r="V48" s="56"/>
      <c r="X48" s="38"/>
      <c r="Y48" s="38"/>
      <c r="Z48" s="38"/>
    </row>
    <row r="49" spans="2:26" x14ac:dyDescent="0.25">
      <c r="B49" s="55"/>
      <c r="C49" s="28">
        <f>IF(D49='General inputs'!$I$16,0,IF(D49&lt;'General inputs'!$I$16,C50-1,C48+1))</f>
        <v>-17</v>
      </c>
      <c r="D49" s="28" t="str">
        <f t="shared" si="2"/>
        <v>2005-06</v>
      </c>
      <c r="E49" s="83">
        <f>IF(LEFT(D49,4)*1&gt;LEFT('General inputs'!$I$16,4)+'General inputs'!$H$38-1,"",'ET inputs'!D22)</f>
        <v>818.50472610690395</v>
      </c>
      <c r="F49" s="83">
        <f>IF(LEFT(D49,4)*1&gt;LEFT('General inputs'!$I$16,4)+'General inputs'!$H$38-1,"",E49/(1+'General inputs'!$H$30)^C49)</f>
        <v>1352.8635985490341</v>
      </c>
      <c r="G49" s="83">
        <f>IF(LEFT(D49,4)*1&gt;LEFT('General inputs'!$I$16,4)+'General inputs'!$H$38-1,"",E49/(1+'General inputs'!$H$32)^C49)</f>
        <v>1647.2989203252721</v>
      </c>
      <c r="H49" s="83" t="str">
        <f>IF(LEFT(D49,4)*1&lt;LEFT('General inputs'!$I$16,4)*1,"",IF(LEFT(D49,4)*1&gt;LEFT('General inputs'!$I$16,4)+'General inputs'!$H$38-1,"",E49/(1+'General inputs'!$H$34)^C49))</f>
        <v/>
      </c>
      <c r="J49" s="113"/>
      <c r="K49" s="113"/>
      <c r="L49" s="83">
        <f>IF(LEFT(D49,4)*1&gt;LEFT('General inputs'!$I$18,4)*1,"",SUMIF('Post-1996 commissioned assets'!$F$22:$F$901,$D49,'Post-1996 commissioned assets'!$P$22:$P$901)*(1+$K$34)*(1+$K$35))</f>
        <v>0</v>
      </c>
      <c r="M49" s="83">
        <f>IF(L49="","",L49/(1+'General inputs'!$H$32)^C49)</f>
        <v>0</v>
      </c>
      <c r="N49" s="83" t="str">
        <f>IF(LEFT(D49,4)*1&lt;LEFT('General inputs'!$I$18,4)*1+1,"",SUMIF('Uncommissioned assets'!$F$22:$F$300,$D49,'Uncommissioned assets'!$P$22:$P$300))</f>
        <v/>
      </c>
      <c r="O49" s="83" t="str">
        <f>IF(N49="","",N49/(1+'General inputs'!$H$32)^C49)</f>
        <v/>
      </c>
      <c r="Q49" s="88"/>
      <c r="R49" s="83" t="str">
        <f>IF(OR(LEFT(D49,4)*1&lt;LEFT('General inputs'!$I$16,4)*1,LEFT(D49,4)*1&gt;LEFT('General inputs'!$I$16,4)+'General inputs'!$H$38-1),"",Q49/(1+'General inputs'!$H$34)^C49)</f>
        <v/>
      </c>
      <c r="T49" s="88"/>
      <c r="U49" s="83" t="str">
        <f>IF(OR(LEFT(D49,4)*1&lt;LEFT('General inputs'!$I$16,4)*1,LEFT(D49,4)*1&gt;LEFT('General inputs'!$I$16,4)+'General inputs'!$H$38-1),"",T49/(1+'General inputs'!$H$34)^C49)</f>
        <v/>
      </c>
      <c r="V49" s="56"/>
      <c r="X49" s="38"/>
      <c r="Y49" s="38"/>
      <c r="Z49" s="38"/>
    </row>
    <row r="50" spans="2:26" x14ac:dyDescent="0.25">
      <c r="B50" s="55"/>
      <c r="C50" s="28">
        <f>IF(D50='General inputs'!$I$16,0,IF(D50&lt;'General inputs'!$I$16,C51-1,C49+1))</f>
        <v>-16</v>
      </c>
      <c r="D50" s="28" t="str">
        <f t="shared" si="2"/>
        <v>2006-07</v>
      </c>
      <c r="E50" s="83">
        <f>IF(LEFT(D50,4)*1&gt;LEFT('General inputs'!$I$16,4)+'General inputs'!$H$38-1,"",'ET inputs'!D23)</f>
        <v>751.41755569067493</v>
      </c>
      <c r="F50" s="83">
        <f>IF(LEFT(D50,4)*1&gt;LEFT('General inputs'!$I$16,4)+'General inputs'!$H$38-1,"",E50/(1+'General inputs'!$H$30)^C50)</f>
        <v>1205.8045900686975</v>
      </c>
      <c r="G50" s="83">
        <f>IF(LEFT(D50,4)*1&gt;LEFT('General inputs'!$I$16,4)+'General inputs'!$H$38-1,"",E50/(1+'General inputs'!$H$32)^C50)</f>
        <v>1451.3255498741028</v>
      </c>
      <c r="H50" s="83" t="str">
        <f>IF(LEFT(D50,4)*1&lt;LEFT('General inputs'!$I$16,4)*1,"",IF(LEFT(D50,4)*1&gt;LEFT('General inputs'!$I$16,4)+'General inputs'!$H$38-1,"",E50/(1+'General inputs'!$H$34)^C50))</f>
        <v/>
      </c>
      <c r="J50" s="113"/>
      <c r="K50" s="113"/>
      <c r="L50" s="83">
        <f>IF(LEFT(D50,4)*1&gt;LEFT('General inputs'!$I$18,4)*1,"",SUMIF('Post-1996 commissioned assets'!$F$22:$F$901,$D50,'Post-1996 commissioned assets'!$P$22:$P$901)*(1+$K$34)*(1+$K$35))</f>
        <v>553431.00323302322</v>
      </c>
      <c r="M50" s="83">
        <f>IF(L50="","",L50/(1+'General inputs'!$H$32)^C50)</f>
        <v>1068924.3936365908</v>
      </c>
      <c r="N50" s="83" t="str">
        <f>IF(LEFT(D50,4)*1&lt;LEFT('General inputs'!$I$18,4)*1+1,"",SUMIF('Uncommissioned assets'!$F$22:$F$300,$D50,'Uncommissioned assets'!$P$22:$P$300))</f>
        <v/>
      </c>
      <c r="O50" s="83" t="str">
        <f>IF(N50="","",N50/(1+'General inputs'!$H$32)^C50)</f>
        <v/>
      </c>
      <c r="Q50" s="88"/>
      <c r="R50" s="83" t="str">
        <f>IF(OR(LEFT(D50,4)*1&lt;LEFT('General inputs'!$I$16,4)*1,LEFT(D50,4)*1&gt;LEFT('General inputs'!$I$16,4)+'General inputs'!$H$38-1),"",Q50/(1+'General inputs'!$H$34)^C50)</f>
        <v/>
      </c>
      <c r="T50" s="88"/>
      <c r="U50" s="83" t="str">
        <f>IF(OR(LEFT(D50,4)*1&lt;LEFT('General inputs'!$I$16,4)*1,LEFT(D50,4)*1&gt;LEFT('General inputs'!$I$16,4)+'General inputs'!$H$38-1),"",T50/(1+'General inputs'!$H$34)^C50)</f>
        <v/>
      </c>
      <c r="V50" s="56"/>
      <c r="X50" s="38"/>
      <c r="Y50" s="38"/>
      <c r="Z50" s="38"/>
    </row>
    <row r="51" spans="2:26" x14ac:dyDescent="0.25">
      <c r="B51" s="55"/>
      <c r="C51" s="28">
        <f>IF(D51='General inputs'!$I$16,0,IF(D51&lt;'General inputs'!$I$16,C52-1,C50+1))</f>
        <v>-15</v>
      </c>
      <c r="D51" s="28" t="str">
        <f t="shared" si="2"/>
        <v>2007-08</v>
      </c>
      <c r="E51" s="83">
        <f>IF(LEFT(D51,4)*1&gt;LEFT('General inputs'!$I$16,4)+'General inputs'!$H$38-1,"",'ET inputs'!D24)</f>
        <v>707.59875076004641</v>
      </c>
      <c r="F51" s="83">
        <f>IF(LEFT(D51,4)*1&gt;LEFT('General inputs'!$I$16,4)+'General inputs'!$H$38-1,"",E51/(1+'General inputs'!$H$30)^C51)</f>
        <v>1102.4157977115578</v>
      </c>
      <c r="G51" s="83">
        <f>IF(LEFT(D51,4)*1&gt;LEFT('General inputs'!$I$16,4)+'General inputs'!$H$38-1,"",E51/(1+'General inputs'!$H$32)^C51)</f>
        <v>1311.6043306749971</v>
      </c>
      <c r="H51" s="83" t="str">
        <f>IF(LEFT(D51,4)*1&lt;LEFT('General inputs'!$I$16,4)*1,"",IF(LEFT(D51,4)*1&gt;LEFT('General inputs'!$I$16,4)+'General inputs'!$H$38-1,"",E51/(1+'General inputs'!$H$34)^C51))</f>
        <v/>
      </c>
      <c r="J51" s="113"/>
      <c r="K51" s="113"/>
      <c r="L51" s="83">
        <f>IF(LEFT(D51,4)*1&gt;LEFT('General inputs'!$I$18,4)*1,"",SUMIF('Post-1996 commissioned assets'!$F$22:$F$901,$D51,'Post-1996 commissioned assets'!$P$22:$P$901)*(1+$K$34)*(1+$K$35))</f>
        <v>482131.95255419658</v>
      </c>
      <c r="M51" s="83">
        <f>IF(L51="","",L51/(1+'General inputs'!$H$32)^C51)</f>
        <v>893679.30094229069</v>
      </c>
      <c r="N51" s="83" t="str">
        <f>IF(LEFT(D51,4)*1&lt;LEFT('General inputs'!$I$18,4)*1+1,"",SUMIF('Uncommissioned assets'!$F$22:$F$300,$D51,'Uncommissioned assets'!$P$22:$P$300))</f>
        <v/>
      </c>
      <c r="O51" s="83" t="str">
        <f>IF(N51="","",N51/(1+'General inputs'!$H$32)^C51)</f>
        <v/>
      </c>
      <c r="Q51" s="88"/>
      <c r="R51" s="83" t="str">
        <f>IF(OR(LEFT(D51,4)*1&lt;LEFT('General inputs'!$I$16,4)*1,LEFT(D51,4)*1&gt;LEFT('General inputs'!$I$16,4)+'General inputs'!$H$38-1),"",Q51/(1+'General inputs'!$H$34)^C51)</f>
        <v/>
      </c>
      <c r="T51" s="88"/>
      <c r="U51" s="83" t="str">
        <f>IF(OR(LEFT(D51,4)*1&lt;LEFT('General inputs'!$I$16,4)*1,LEFT(D51,4)*1&gt;LEFT('General inputs'!$I$16,4)+'General inputs'!$H$38-1),"",T51/(1+'General inputs'!$H$34)^C51)</f>
        <v/>
      </c>
      <c r="V51" s="56"/>
      <c r="X51" s="38"/>
      <c r="Y51" s="38"/>
      <c r="Z51" s="38"/>
    </row>
    <row r="52" spans="2:26" ht="12" thickBot="1" x14ac:dyDescent="0.3">
      <c r="B52" s="55"/>
      <c r="C52" s="28">
        <f>IF(D52='General inputs'!$I$16,0,IF(D52&lt;'General inputs'!$I$16,C53-1,C51+1))</f>
        <v>-14</v>
      </c>
      <c r="D52" s="85" t="str">
        <f t="shared" si="2"/>
        <v>2008-09</v>
      </c>
      <c r="E52" s="83">
        <f>IF(LEFT(D52,4)*1&gt;LEFT('General inputs'!$I$16,4)+'General inputs'!$H$38-1,"",'ET inputs'!D25)</f>
        <v>708.0148692720137</v>
      </c>
      <c r="F52" s="83">
        <f>IF(LEFT(D52,4)*1&gt;LEFT('General inputs'!$I$16,4)+'General inputs'!$H$38-1,"",E52/(1+'General inputs'!$H$30)^C52)</f>
        <v>1070.9360163054826</v>
      </c>
      <c r="G52" s="83">
        <f>IF(LEFT(D52,4)*1&gt;LEFT('General inputs'!$I$16,4)+'General inputs'!$H$38-1,"",E52/(1+'General inputs'!$H$32)^C52)</f>
        <v>1259.4775887994751</v>
      </c>
      <c r="H52" s="83" t="str">
        <f>IF(LEFT(D52,4)*1&lt;LEFT('General inputs'!$I$16,4)*1,"",IF(LEFT(D52,4)*1&gt;LEFT('General inputs'!$I$16,4)+'General inputs'!$H$38-1,"",E52/(1+'General inputs'!$H$34)^C52))</f>
        <v/>
      </c>
      <c r="J52" s="113"/>
      <c r="K52" s="113"/>
      <c r="L52" s="83">
        <f>IF(LEFT(D52,4)*1&gt;LEFT('General inputs'!$I$18,4)*1,"",SUMIF('Post-1996 commissioned assets'!$F$22:$F$901,$D52,'Post-1996 commissioned assets'!$P$22:$P$901)*(1+$K$34)*(1+$K$35))</f>
        <v>3361733.9486146579</v>
      </c>
      <c r="M52" s="83">
        <f>IF(L52="","",L52/(1+'General inputs'!$H$32)^C52)</f>
        <v>5980140.7449817946</v>
      </c>
      <c r="N52" s="83" t="str">
        <f>IF(LEFT(D52,4)*1&lt;LEFT('General inputs'!$I$18,4)*1+1,"",SUMIF('Uncommissioned assets'!$F$22:$F$300,$D52,'Uncommissioned assets'!$P$22:$P$300))</f>
        <v/>
      </c>
      <c r="O52" s="83" t="str">
        <f>IF(N52="","",N52/(1+'General inputs'!$H$32)^C52)</f>
        <v/>
      </c>
      <c r="Q52" s="88"/>
      <c r="R52" s="83" t="str">
        <f>IF(OR(LEFT(D52,4)*1&lt;LEFT('General inputs'!$I$16,4)*1,LEFT(D52,4)*1&gt;LEFT('General inputs'!$I$16,4)+'General inputs'!$H$38-1),"",Q52/(1+'General inputs'!$H$34)^C52)</f>
        <v/>
      </c>
      <c r="T52" s="88"/>
      <c r="U52" s="83" t="str">
        <f>IF(OR(LEFT(D52,4)*1&lt;LEFT('General inputs'!$I$16,4)*1,LEFT(D52,4)*1&gt;LEFT('General inputs'!$I$16,4)+'General inputs'!$H$38-1),"",T52/(1+'General inputs'!$H$34)^C52)</f>
        <v/>
      </c>
      <c r="V52" s="56"/>
      <c r="X52" s="38"/>
      <c r="Y52" s="38"/>
      <c r="Z52" s="38"/>
    </row>
    <row r="53" spans="2:26" ht="12" thickTop="1" x14ac:dyDescent="0.25">
      <c r="B53" s="55"/>
      <c r="C53" s="28">
        <f>IF(D53='General inputs'!$I$16,0,IF(D53&lt;'General inputs'!$I$16,C54-1,C52+1))</f>
        <v>-13</v>
      </c>
      <c r="D53" s="87" t="str">
        <f t="shared" si="1"/>
        <v>2009-10</v>
      </c>
      <c r="E53" s="83">
        <f>IF(LEFT(D53,4)*1&gt;LEFT('General inputs'!$I$16,4)+'General inputs'!$H$38-1,"",'ET inputs'!D26)</f>
        <v>8780.7380465426249</v>
      </c>
      <c r="F53" s="83">
        <f>IF(LEFT(D53,4)*1&gt;LEFT('General inputs'!$I$16,4)+'General inputs'!$H$38-1,"",E53/(1+'General inputs'!$H$30)^C53)</f>
        <v>12894.809850334672</v>
      </c>
      <c r="G53" s="83">
        <f>IF(LEFT(D53,4)*1&gt;LEFT('General inputs'!$I$16,4)+'General inputs'!$H$38-1,"",E53/(1+'General inputs'!$H$32)^C53)</f>
        <v>14990.336008747725</v>
      </c>
      <c r="H53" s="83" t="str">
        <f>IF(LEFT(D53,4)*1&lt;LEFT('General inputs'!$I$16,4)*1,"",IF(LEFT(D53,4)*1&gt;LEFT('General inputs'!$I$16,4)+'General inputs'!$H$38-1,"",E53/(1+'General inputs'!$H$34)^C53))</f>
        <v/>
      </c>
      <c r="J53" s="113"/>
      <c r="K53" s="113"/>
      <c r="L53" s="83">
        <f>IF(LEFT(D53,4)*1&gt;LEFT('General inputs'!$I$18,4)*1,"",SUMIF('Post-1996 commissioned assets'!$F$22:$F$901,$D53,'Post-1996 commissioned assets'!$P$22:$P$901)*(1+$K$34)*(1+$K$35))</f>
        <v>1167594.7881011351</v>
      </c>
      <c r="M53" s="83">
        <f>IF(L53="","",L53/(1+'General inputs'!$H$32)^C53)</f>
        <v>1993299.2082129358</v>
      </c>
      <c r="N53" s="83" t="str">
        <f>IF(LEFT(D53,4)*1&lt;LEFT('General inputs'!$I$18,4)*1+1,"",SUMIF('Uncommissioned assets'!$F$22:$F$300,$D53,'Uncommissioned assets'!$P$22:$P$300))</f>
        <v/>
      </c>
      <c r="O53" s="83" t="str">
        <f>IF(N53="","",N53/(1+'General inputs'!$H$32)^C53)</f>
        <v/>
      </c>
      <c r="Q53" s="88"/>
      <c r="R53" s="83" t="str">
        <f>IF(OR(LEFT(D53,4)*1&lt;LEFT('General inputs'!$I$16,4)*1,LEFT(D53,4)*1&gt;LEFT('General inputs'!$I$16,4)+'General inputs'!$H$38-1),"",Q53/(1+'General inputs'!$H$34)^C53)</f>
        <v/>
      </c>
      <c r="T53" s="88"/>
      <c r="U53" s="83" t="str">
        <f>IF(OR(LEFT(D53,4)*1&lt;LEFT('General inputs'!$I$16,4)*1,LEFT(D53,4)*1&gt;LEFT('General inputs'!$I$16,4)+'General inputs'!$H$38-1),"",T53/(1+'General inputs'!$H$34)^C53)</f>
        <v/>
      </c>
      <c r="V53" s="56"/>
      <c r="X53" s="38"/>
      <c r="Y53" s="38"/>
      <c r="Z53" s="38"/>
    </row>
    <row r="54" spans="2:26" x14ac:dyDescent="0.25">
      <c r="B54" s="55"/>
      <c r="C54" s="28">
        <f>IF(D54='General inputs'!$I$16,0,IF(D54&lt;'General inputs'!$I$16,C55-1,C53+1))</f>
        <v>-12</v>
      </c>
      <c r="D54" s="28" t="str">
        <f t="shared" si="1"/>
        <v>2010-11</v>
      </c>
      <c r="E54" s="83">
        <f>IF(LEFT(D54,4)*1&gt;LEFT('General inputs'!$I$16,4)+'General inputs'!$H$38-1,"",'ET inputs'!D27)</f>
        <v>546.2129235531479</v>
      </c>
      <c r="F54" s="83">
        <f>IF(LEFT(D54,4)*1&gt;LEFT('General inputs'!$I$16,4)+'General inputs'!$H$38-1,"",E54/(1+'General inputs'!$H$30)^C54)</f>
        <v>778.76902229198004</v>
      </c>
      <c r="G54" s="83">
        <f>IF(LEFT(D54,4)*1&gt;LEFT('General inputs'!$I$16,4)+'General inputs'!$H$38-1,"",E54/(1+'General inputs'!$H$32)^C54)</f>
        <v>894.9001873824734</v>
      </c>
      <c r="H54" s="83" t="str">
        <f>IF(LEFT(D54,4)*1&lt;LEFT('General inputs'!$I$16,4)*1,"",IF(LEFT(D54,4)*1&gt;LEFT('General inputs'!$I$16,4)+'General inputs'!$H$38-1,"",E54/(1+'General inputs'!$H$34)^C54))</f>
        <v/>
      </c>
      <c r="J54" s="113"/>
      <c r="K54" s="113"/>
      <c r="L54" s="83">
        <f>IF(LEFT(D54,4)*1&gt;LEFT('General inputs'!$I$18,4)*1,"",SUMIF('Post-1996 commissioned assets'!$F$22:$F$901,$D54,'Post-1996 commissioned assets'!$P$22:$P$901)*(1+$K$34)*(1+$K$35))</f>
        <v>3650366.9573633452</v>
      </c>
      <c r="M54" s="83">
        <f>IF(L54="","",L54/(1+'General inputs'!$H$32)^C54)</f>
        <v>5980660.5323599372</v>
      </c>
      <c r="N54" s="83" t="str">
        <f>IF(LEFT(D54,4)*1&lt;LEFT('General inputs'!$I$18,4)*1+1,"",SUMIF('Uncommissioned assets'!$F$22:$F$300,$D54,'Uncommissioned assets'!$P$22:$P$300))</f>
        <v/>
      </c>
      <c r="O54" s="83" t="str">
        <f>IF(N54="","",N54/(1+'General inputs'!$H$32)^C54)</f>
        <v/>
      </c>
      <c r="Q54" s="88"/>
      <c r="R54" s="83" t="str">
        <f>IF(OR(LEFT(D54,4)*1&lt;LEFT('General inputs'!$I$16,4)*1,LEFT(D54,4)*1&gt;LEFT('General inputs'!$I$16,4)+'General inputs'!$H$38-1),"",Q54/(1+'General inputs'!$H$34)^C54)</f>
        <v/>
      </c>
      <c r="T54" s="88"/>
      <c r="U54" s="83" t="str">
        <f>IF(OR(LEFT(D54,4)*1&lt;LEFT('General inputs'!$I$16,4)*1,LEFT(D54,4)*1&gt;LEFT('General inputs'!$I$16,4)+'General inputs'!$H$38-1),"",T54/(1+'General inputs'!$H$34)^C54)</f>
        <v/>
      </c>
      <c r="V54" s="56"/>
      <c r="X54" s="38"/>
      <c r="Y54" s="38"/>
      <c r="Z54" s="38"/>
    </row>
    <row r="55" spans="2:26" x14ac:dyDescent="0.25">
      <c r="B55" s="55"/>
      <c r="C55" s="28">
        <f>IF(D55='General inputs'!$I$16,0,IF(D55&lt;'General inputs'!$I$16,C56-1,C54+1))</f>
        <v>-11</v>
      </c>
      <c r="D55" s="28" t="str">
        <f t="shared" si="1"/>
        <v>2011-12</v>
      </c>
      <c r="E55" s="83">
        <f>IF(LEFT(D55,4)*1&gt;LEFT('General inputs'!$I$16,4)+'General inputs'!$H$38-1,"",'ET inputs'!D28)</f>
        <v>1113.7496545243491</v>
      </c>
      <c r="F55" s="83">
        <f>IF(LEFT(D55,4)*1&gt;LEFT('General inputs'!$I$16,4)+'General inputs'!$H$38-1,"",E55/(1+'General inputs'!$H$30)^C55)</f>
        <v>1541.6899953002537</v>
      </c>
      <c r="G55" s="83">
        <f>IF(LEFT(D55,4)*1&gt;LEFT('General inputs'!$I$16,4)+'General inputs'!$H$38-1,"",E55/(1+'General inputs'!$H$32)^C55)</f>
        <v>1751.1868643468611</v>
      </c>
      <c r="H55" s="83" t="str">
        <f>IF(LEFT(D55,4)*1&lt;LEFT('General inputs'!$I$16,4)*1,"",IF(LEFT(D55,4)*1&gt;LEFT('General inputs'!$I$16,4)+'General inputs'!$H$38-1,"",E55/(1+'General inputs'!$H$34)^C55))</f>
        <v/>
      </c>
      <c r="J55" s="113"/>
      <c r="K55" s="113"/>
      <c r="L55" s="83">
        <f>IF(LEFT(D55,4)*1&gt;LEFT('General inputs'!$I$18,4)*1,"",SUMIF('Post-1996 commissioned assets'!$F$22:$F$901,$D55,'Post-1996 commissioned assets'!$P$22:$P$901)*(1+$K$34)*(1+$K$35))</f>
        <v>568045.79698066891</v>
      </c>
      <c r="M55" s="83">
        <f>IF(L55="","",L55/(1+'General inputs'!$H$32)^C55)</f>
        <v>893157.93183776352</v>
      </c>
      <c r="N55" s="83" t="str">
        <f>IF(LEFT(D55,4)*1&lt;LEFT('General inputs'!$I$18,4)*1+1,"",SUMIF('Uncommissioned assets'!$F$22:$F$300,$D55,'Uncommissioned assets'!$P$22:$P$300))</f>
        <v/>
      </c>
      <c r="O55" s="83" t="str">
        <f>IF(N55="","",N55/(1+'General inputs'!$H$32)^C55)</f>
        <v/>
      </c>
      <c r="Q55" s="88"/>
      <c r="R55" s="83" t="str">
        <f>IF(OR(LEFT(D55,4)*1&lt;LEFT('General inputs'!$I$16,4)*1,LEFT(D55,4)*1&gt;LEFT('General inputs'!$I$16,4)+'General inputs'!$H$38-1),"",Q55/(1+'General inputs'!$H$34)^C55)</f>
        <v/>
      </c>
      <c r="T55" s="88"/>
      <c r="U55" s="83" t="str">
        <f>IF(OR(LEFT(D55,4)*1&lt;LEFT('General inputs'!$I$16,4)*1,LEFT(D55,4)*1&gt;LEFT('General inputs'!$I$16,4)+'General inputs'!$H$38-1),"",T55/(1+'General inputs'!$H$34)^C55)</f>
        <v/>
      </c>
      <c r="V55" s="56"/>
      <c r="X55" s="38"/>
      <c r="Y55" s="38"/>
      <c r="Z55" s="38"/>
    </row>
    <row r="56" spans="2:26" x14ac:dyDescent="0.25">
      <c r="B56" s="55"/>
      <c r="C56" s="28">
        <f>IF(D56='General inputs'!$I$16,0,IF(D56&lt;'General inputs'!$I$16,C57-1,C55+1))</f>
        <v>-10</v>
      </c>
      <c r="D56" s="28" t="str">
        <f t="shared" si="1"/>
        <v>2012-13</v>
      </c>
      <c r="E56" s="83">
        <f>IF(LEFT(D56,4)*1&gt;LEFT('General inputs'!$I$16,4)+'General inputs'!$H$38-1,"",'ET inputs'!D29)</f>
        <v>2391.8552318832362</v>
      </c>
      <c r="F56" s="83">
        <f>IF(LEFT(D56,4)*1&gt;LEFT('General inputs'!$I$16,4)+'General inputs'!$H$38-1,"",E56/(1+'General inputs'!$H$30)^C56)</f>
        <v>3214.4534231478137</v>
      </c>
      <c r="G56" s="83">
        <f>IF(LEFT(D56,4)*1&gt;LEFT('General inputs'!$I$16,4)+'General inputs'!$H$38-1,"",E56/(1+'General inputs'!$H$32)^C56)</f>
        <v>3609.2094006878356</v>
      </c>
      <c r="H56" s="83" t="str">
        <f>IF(LEFT(D56,4)*1&lt;LEFT('General inputs'!$I$16,4)*1,"",IF(LEFT(D56,4)*1&gt;LEFT('General inputs'!$I$16,4)+'General inputs'!$H$38-1,"",E56/(1+'General inputs'!$H$34)^C56))</f>
        <v/>
      </c>
      <c r="J56" s="113"/>
      <c r="K56" s="113"/>
      <c r="L56" s="83">
        <f>IF(LEFT(D56,4)*1&gt;LEFT('General inputs'!$I$18,4)*1,"",SUMIF('Post-1996 commissioned assets'!$F$22:$F$901,$D56,'Post-1996 commissioned assets'!$P$22:$P$901)*(1+$K$34)*(1+$K$35))</f>
        <v>2171580.2089203894</v>
      </c>
      <c r="M56" s="83">
        <f>IF(L56="","",L56/(1+'General inputs'!$H$32)^C56)</f>
        <v>3276823.6136984304</v>
      </c>
      <c r="N56" s="83" t="str">
        <f>IF(LEFT(D56,4)*1&lt;LEFT('General inputs'!$I$18,4)*1+1,"",SUMIF('Uncommissioned assets'!$F$22:$F$300,$D56,'Uncommissioned assets'!$P$22:$P$300))</f>
        <v/>
      </c>
      <c r="O56" s="83" t="str">
        <f>IF(N56="","",N56/(1+'General inputs'!$H$32)^C56)</f>
        <v/>
      </c>
      <c r="Q56" s="88"/>
      <c r="R56" s="83" t="str">
        <f>IF(OR(LEFT(D56,4)*1&lt;LEFT('General inputs'!$I$16,4)*1,LEFT(D56,4)*1&gt;LEFT('General inputs'!$I$16,4)+'General inputs'!$H$38-1),"",Q56/(1+'General inputs'!$H$34)^C56)</f>
        <v/>
      </c>
      <c r="T56" s="88"/>
      <c r="U56" s="83" t="str">
        <f>IF(OR(LEFT(D56,4)*1&lt;LEFT('General inputs'!$I$16,4)*1,LEFT(D56,4)*1&gt;LEFT('General inputs'!$I$16,4)+'General inputs'!$H$38-1),"",T56/(1+'General inputs'!$H$34)^C56)</f>
        <v/>
      </c>
      <c r="V56" s="56"/>
      <c r="X56" s="38"/>
      <c r="Y56" s="38"/>
      <c r="Z56" s="38"/>
    </row>
    <row r="57" spans="2:26" x14ac:dyDescent="0.25">
      <c r="B57" s="55"/>
      <c r="C57" s="28">
        <f>IF(D57='General inputs'!$I$16,0,IF(D57&lt;'General inputs'!$I$16,C58-1,C56+1))</f>
        <v>-9</v>
      </c>
      <c r="D57" s="28" t="str">
        <f t="shared" si="1"/>
        <v>2013-14</v>
      </c>
      <c r="E57" s="83">
        <f>IF(LEFT(D57,4)*1&gt;LEFT('General inputs'!$I$16,4)+'General inputs'!$H$38-1,"",'ET inputs'!D30)</f>
        <v>855.78165938864629</v>
      </c>
      <c r="F57" s="83">
        <f>IF(LEFT(D57,4)*1&gt;LEFT('General inputs'!$I$16,4)+'General inputs'!$H$38-1,"",E57/(1+'General inputs'!$H$30)^C57)</f>
        <v>1116.6009603831981</v>
      </c>
      <c r="G57" s="83">
        <f>IF(LEFT(D57,4)*1&gt;LEFT('General inputs'!$I$16,4)+'General inputs'!$H$38-1,"",E57/(1+'General inputs'!$H$32)^C57)</f>
        <v>1239.2885733444848</v>
      </c>
      <c r="H57" s="83" t="str">
        <f>IF(LEFT(D57,4)*1&lt;LEFT('General inputs'!$I$16,4)*1,"",IF(LEFT(D57,4)*1&gt;LEFT('General inputs'!$I$16,4)+'General inputs'!$H$38-1,"",E57/(1+'General inputs'!$H$34)^C57))</f>
        <v/>
      </c>
      <c r="J57" s="113"/>
      <c r="K57" s="113"/>
      <c r="L57" s="83">
        <f>IF(LEFT(D57,4)*1&gt;LEFT('General inputs'!$I$18,4)*1,"",SUMIF('Post-1996 commissioned assets'!$F$22:$F$901,$D57,'Post-1996 commissioned assets'!$P$22:$P$901)*(1+$K$34)*(1+$K$35))</f>
        <v>1292028.8978582325</v>
      </c>
      <c r="M57" s="83">
        <f>IF(L57="","",L57/(1+'General inputs'!$H$32)^C57)</f>
        <v>1871034.0797563244</v>
      </c>
      <c r="N57" s="83" t="str">
        <f>IF(LEFT(D57,4)*1&lt;LEFT('General inputs'!$I$18,4)*1+1,"",SUMIF('Uncommissioned assets'!$F$22:$F$300,$D57,'Uncommissioned assets'!$P$22:$P$300))</f>
        <v/>
      </c>
      <c r="O57" s="83" t="str">
        <f>IF(N57="","",N57/(1+'General inputs'!$H$32)^C57)</f>
        <v/>
      </c>
      <c r="Q57" s="88"/>
      <c r="R57" s="83" t="str">
        <f>IF(OR(LEFT(D57,4)*1&lt;LEFT('General inputs'!$I$16,4)*1,LEFT(D57,4)*1&gt;LEFT('General inputs'!$I$16,4)+'General inputs'!$H$38-1),"",Q57/(1+'General inputs'!$H$34)^C57)</f>
        <v/>
      </c>
      <c r="T57" s="88"/>
      <c r="U57" s="83" t="str">
        <f>IF(OR(LEFT(D57,4)*1&lt;LEFT('General inputs'!$I$16,4)*1,LEFT(D57,4)*1&gt;LEFT('General inputs'!$I$16,4)+'General inputs'!$H$38-1),"",T57/(1+'General inputs'!$H$34)^C57)</f>
        <v/>
      </c>
      <c r="V57" s="56"/>
      <c r="X57" s="38"/>
      <c r="Y57" s="38"/>
      <c r="Z57" s="38"/>
    </row>
    <row r="58" spans="2:26" x14ac:dyDescent="0.25">
      <c r="B58" s="55"/>
      <c r="C58" s="28">
        <f>IF(D58='General inputs'!$I$16,0,IF(D58&lt;'General inputs'!$I$16,C59-1,C57+1))</f>
        <v>-8</v>
      </c>
      <c r="D58" s="28" t="str">
        <f t="shared" si="1"/>
        <v>2014-15</v>
      </c>
      <c r="E58" s="83">
        <f>IF(LEFT(D58,4)*1&gt;LEFT('General inputs'!$I$16,4)+'General inputs'!$H$38-1,"",'ET inputs'!D31)</f>
        <v>862.99143220385827</v>
      </c>
      <c r="F58" s="83">
        <f>IF(LEFT(D58,4)*1&gt;LEFT('General inputs'!$I$16,4)+'General inputs'!$H$38-1,"",E58/(1+'General inputs'!$H$30)^C58)</f>
        <v>1093.2117268096968</v>
      </c>
      <c r="G58" s="83">
        <f>IF(LEFT(D58,4)*1&gt;LEFT('General inputs'!$I$16,4)+'General inputs'!$H$38-1,"",E58/(1+'General inputs'!$H$32)^C58)</f>
        <v>1199.3563414685175</v>
      </c>
      <c r="H58" s="83" t="str">
        <f>IF(LEFT(D58,4)*1&lt;LEFT('General inputs'!$I$16,4)*1,"",IF(LEFT(D58,4)*1&gt;LEFT('General inputs'!$I$16,4)+'General inputs'!$H$38-1,"",E58/(1+'General inputs'!$H$34)^C58))</f>
        <v/>
      </c>
      <c r="J58" s="113"/>
      <c r="K58" s="113"/>
      <c r="L58" s="83">
        <f>IF(LEFT(D58,4)*1&gt;LEFT('General inputs'!$I$18,4)*1,"",SUMIF('Post-1996 commissioned assets'!$F$22:$F$901,$D58,'Post-1996 commissioned assets'!$P$22:$P$901)*(1+$K$34)*(1+$K$35))</f>
        <v>614241.70919394225</v>
      </c>
      <c r="M58" s="83">
        <f>IF(L58="","",L58/(1+'General inputs'!$H$32)^C58)</f>
        <v>853652.37895222998</v>
      </c>
      <c r="N58" s="83" t="str">
        <f>IF(LEFT(D58,4)*1&lt;LEFT('General inputs'!$I$18,4)*1+1,"",SUMIF('Uncommissioned assets'!$F$22:$F$300,$D58,'Uncommissioned assets'!$P$22:$P$300))</f>
        <v/>
      </c>
      <c r="O58" s="83" t="str">
        <f>IF(N58="","",N58/(1+'General inputs'!$H$32)^C58)</f>
        <v/>
      </c>
      <c r="Q58" s="88"/>
      <c r="R58" s="83" t="str">
        <f>IF(OR(LEFT(D58,4)*1&lt;LEFT('General inputs'!$I$16,4)*1,LEFT(D58,4)*1&gt;LEFT('General inputs'!$I$16,4)+'General inputs'!$H$38-1),"",Q58/(1+'General inputs'!$H$34)^C58)</f>
        <v/>
      </c>
      <c r="T58" s="88"/>
      <c r="U58" s="83" t="str">
        <f>IF(OR(LEFT(D58,4)*1&lt;LEFT('General inputs'!$I$16,4)*1,LEFT(D58,4)*1&gt;LEFT('General inputs'!$I$16,4)+'General inputs'!$H$38-1),"",T58/(1+'General inputs'!$H$34)^C58)</f>
        <v/>
      </c>
      <c r="V58" s="56"/>
      <c r="X58" s="38"/>
      <c r="Y58" s="38"/>
      <c r="Z58" s="38"/>
    </row>
    <row r="59" spans="2:26" x14ac:dyDescent="0.25">
      <c r="B59" s="55"/>
      <c r="C59" s="28">
        <f>IF(D59='General inputs'!$I$16,0,IF(D59&lt;'General inputs'!$I$16,C60-1,C58+1))</f>
        <v>-7</v>
      </c>
      <c r="D59" s="28" t="str">
        <f t="shared" si="1"/>
        <v>2015-16</v>
      </c>
      <c r="E59" s="83">
        <f>IF(LEFT(D59,4)*1&gt;LEFT('General inputs'!$I$16,4)+'General inputs'!$H$38-1,"",'ET inputs'!D32)</f>
        <v>1723.9866231827673</v>
      </c>
      <c r="F59" s="83">
        <f>IF(LEFT(D59,4)*1&gt;LEFT('General inputs'!$I$16,4)+'General inputs'!$H$38-1,"",E59/(1+'General inputs'!$H$30)^C59)</f>
        <v>2120.2860921945589</v>
      </c>
      <c r="G59" s="83">
        <f>IF(LEFT(D59,4)*1&gt;LEFT('General inputs'!$I$16,4)+'General inputs'!$H$38-1,"",E59/(1+'General inputs'!$H$32)^C59)</f>
        <v>2299.365042527525</v>
      </c>
      <c r="H59" s="83" t="str">
        <f>IF(LEFT(D59,4)*1&lt;LEFT('General inputs'!$I$16,4)*1,"",IF(LEFT(D59,4)*1&gt;LEFT('General inputs'!$I$16,4)+'General inputs'!$H$38-1,"",E59/(1+'General inputs'!$H$34)^C59))</f>
        <v/>
      </c>
      <c r="J59" s="113"/>
      <c r="K59" s="113"/>
      <c r="L59" s="83">
        <f>IF(LEFT(D59,4)*1&gt;LEFT('General inputs'!$I$18,4)*1,"",SUMIF('Post-1996 commissioned assets'!$F$22:$F$901,$D59,'Post-1996 commissioned assets'!$P$22:$P$901)*(1+$K$34)*(1+$K$35))</f>
        <v>93926.783524552768</v>
      </c>
      <c r="M59" s="83">
        <f>IF(L59="","",L59/(1+'General inputs'!$H$32)^C59)</f>
        <v>125274.73223352894</v>
      </c>
      <c r="N59" s="83" t="str">
        <f>IF(LEFT(D59,4)*1&lt;LEFT('General inputs'!$I$18,4)*1+1,"",SUMIF('Uncommissioned assets'!$F$22:$F$300,$D59,'Uncommissioned assets'!$P$22:$P$300))</f>
        <v/>
      </c>
      <c r="O59" s="83" t="str">
        <f>IF(N59="","",N59/(1+'General inputs'!$H$32)^C59)</f>
        <v/>
      </c>
      <c r="Q59" s="88"/>
      <c r="R59" s="83" t="str">
        <f>IF(OR(LEFT(D59,4)*1&lt;LEFT('General inputs'!$I$16,4)*1,LEFT(D59,4)*1&gt;LEFT('General inputs'!$I$16,4)+'General inputs'!$H$38-1),"",Q59/(1+'General inputs'!$H$34)^C59)</f>
        <v/>
      </c>
      <c r="T59" s="88"/>
      <c r="U59" s="83" t="str">
        <f>IF(OR(LEFT(D59,4)*1&lt;LEFT('General inputs'!$I$16,4)*1,LEFT(D59,4)*1&gt;LEFT('General inputs'!$I$16,4)+'General inputs'!$H$38-1),"",T59/(1+'General inputs'!$H$34)^C59)</f>
        <v/>
      </c>
      <c r="V59" s="56"/>
      <c r="X59" s="38"/>
      <c r="Y59" s="38"/>
      <c r="Z59" s="38"/>
    </row>
    <row r="60" spans="2:26" x14ac:dyDescent="0.25">
      <c r="B60" s="55"/>
      <c r="C60" s="28">
        <f>IF(D60='General inputs'!$I$16,0,IF(D60&lt;'General inputs'!$I$16,C61-1,C59+1))</f>
        <v>-6</v>
      </c>
      <c r="D60" s="28" t="str">
        <f t="shared" si="1"/>
        <v>2016-17</v>
      </c>
      <c r="E60" s="83">
        <f>IF(LEFT(D60,4)*1&gt;LEFT('General inputs'!$I$16,4)+'General inputs'!$H$38-1,"",'ET inputs'!D33)</f>
        <v>2020.2634459123628</v>
      </c>
      <c r="F60" s="83">
        <f>IF(LEFT(D60,4)*1&gt;LEFT('General inputs'!$I$16,4)+'General inputs'!$H$38-1,"",E60/(1+'General inputs'!$H$30)^C60)</f>
        <v>2412.3002071852479</v>
      </c>
      <c r="G60" s="83">
        <f>IF(LEFT(D60,4)*1&gt;LEFT('General inputs'!$I$16,4)+'General inputs'!$H$38-1,"",E60/(1+'General inputs'!$H$32)^C60)</f>
        <v>2585.9154425835923</v>
      </c>
      <c r="H60" s="83" t="str">
        <f>IF(LEFT(D60,4)*1&lt;LEFT('General inputs'!$I$16,4)*1,"",IF(LEFT(D60,4)*1&gt;LEFT('General inputs'!$I$16,4)+'General inputs'!$H$38-1,"",E60/(1+'General inputs'!$H$34)^C60))</f>
        <v/>
      </c>
      <c r="J60" s="113"/>
      <c r="K60" s="113"/>
      <c r="L60" s="83">
        <f>IF(LEFT(D60,4)*1&gt;LEFT('General inputs'!$I$18,4)*1,"",SUMIF('Post-1996 commissioned assets'!$F$22:$F$901,$D60,'Post-1996 commissioned assets'!$P$22:$P$901)*(1+$K$34)*(1+$K$35))</f>
        <v>2041674.4348345576</v>
      </c>
      <c r="M60" s="83">
        <f>IF(L60="","",L60/(1+'General inputs'!$H$32)^C60)</f>
        <v>2613321.2777022324</v>
      </c>
      <c r="N60" s="83" t="str">
        <f>IF(LEFT(D60,4)*1&lt;LEFT('General inputs'!$I$18,4)*1+1,"",SUMIF('Uncommissioned assets'!$F$22:$F$300,$D60,'Uncommissioned assets'!$P$22:$P$300))</f>
        <v/>
      </c>
      <c r="O60" s="83" t="str">
        <f>IF(N60="","",N60/(1+'General inputs'!$H$32)^C60)</f>
        <v/>
      </c>
      <c r="Q60" s="88"/>
      <c r="R60" s="83" t="str">
        <f>IF(OR(LEFT(D60,4)*1&lt;LEFT('General inputs'!$I$16,4)*1,LEFT(D60,4)*1&gt;LEFT('General inputs'!$I$16,4)+'General inputs'!$H$38-1),"",Q60/(1+'General inputs'!$H$34)^C60)</f>
        <v/>
      </c>
      <c r="T60" s="88"/>
      <c r="U60" s="83" t="str">
        <f>IF(OR(LEFT(D60,4)*1&lt;LEFT('General inputs'!$I$16,4)*1,LEFT(D60,4)*1&gt;LEFT('General inputs'!$I$16,4)+'General inputs'!$H$38-1),"",T60/(1+'General inputs'!$H$34)^C60)</f>
        <v/>
      </c>
      <c r="V60" s="56"/>
      <c r="X60" s="38"/>
      <c r="Y60" s="38"/>
      <c r="Z60" s="38"/>
    </row>
    <row r="61" spans="2:26" x14ac:dyDescent="0.25">
      <c r="B61" s="55"/>
      <c r="C61" s="28">
        <f>IF(D61='General inputs'!$I$16,0,IF(D61&lt;'General inputs'!$I$16,C62-1,C60+1))</f>
        <v>-5</v>
      </c>
      <c r="D61" s="28" t="str">
        <f t="shared" si="1"/>
        <v>2017-18</v>
      </c>
      <c r="E61" s="83">
        <f>IF(LEFT(D61,4)*1&gt;LEFT('General inputs'!$I$16,4)+'General inputs'!$H$38-1,"",'ET inputs'!D34)</f>
        <v>2307.3714001437229</v>
      </c>
      <c r="F61" s="83">
        <f>IF(LEFT(D61,4)*1&gt;LEFT('General inputs'!$I$16,4)+'General inputs'!$H$38-1,"",E61/(1+'General inputs'!$H$30)^C61)</f>
        <v>2674.8758439679091</v>
      </c>
      <c r="G61" s="83">
        <f>IF(LEFT(D61,4)*1&gt;LEFT('General inputs'!$I$16,4)+'General inputs'!$H$38-1,"",E61/(1+'General inputs'!$H$32)^C61)</f>
        <v>2834.3671117403719</v>
      </c>
      <c r="H61" s="83" t="str">
        <f>IF(LEFT(D61,4)*1&lt;LEFT('General inputs'!$I$16,4)*1,"",IF(LEFT(D61,4)*1&gt;LEFT('General inputs'!$I$16,4)+'General inputs'!$H$38-1,"",E61/(1+'General inputs'!$H$34)^C61))</f>
        <v/>
      </c>
      <c r="J61" s="113"/>
      <c r="K61" s="113"/>
      <c r="L61" s="83">
        <f>IF(LEFT(D61,4)*1&gt;LEFT('General inputs'!$I$18,4)*1,"",SUMIF('Post-1996 commissioned assets'!$F$22:$F$901,$D61,'Post-1996 commissioned assets'!$P$22:$P$901)*(1+$K$34)*(1+$K$35))</f>
        <v>0</v>
      </c>
      <c r="M61" s="83">
        <f>IF(L61="","",L61/(1+'General inputs'!$H$32)^C61)</f>
        <v>0</v>
      </c>
      <c r="N61" s="83" t="str">
        <f>IF(LEFT(D61,4)*1&lt;LEFT('General inputs'!$I$18,4)*1+1,"",SUMIF('Uncommissioned assets'!$F$22:$F$300,$D61,'Uncommissioned assets'!$P$22:$P$300))</f>
        <v/>
      </c>
      <c r="O61" s="83" t="str">
        <f>IF(N61="","",N61/(1+'General inputs'!$H$32)^C61)</f>
        <v/>
      </c>
      <c r="Q61" s="88"/>
      <c r="R61" s="83" t="str">
        <f>IF(OR(LEFT(D61,4)*1&lt;LEFT('General inputs'!$I$16,4)*1,LEFT(D61,4)*1&gt;LEFT('General inputs'!$I$16,4)+'General inputs'!$H$38-1),"",Q61/(1+'General inputs'!$H$34)^C61)</f>
        <v/>
      </c>
      <c r="T61" s="88"/>
      <c r="U61" s="83" t="str">
        <f>IF(OR(LEFT(D61,4)*1&lt;LEFT('General inputs'!$I$16,4)*1,LEFT(D61,4)*1&gt;LEFT('General inputs'!$I$16,4)+'General inputs'!$H$38-1),"",T61/(1+'General inputs'!$H$34)^C61)</f>
        <v/>
      </c>
      <c r="V61" s="56"/>
    </row>
    <row r="62" spans="2:26" x14ac:dyDescent="0.25">
      <c r="B62" s="55"/>
      <c r="C62" s="28">
        <f>IF(D62='General inputs'!$I$16,0,IF(D62&lt;'General inputs'!$I$16,C63-1,C61+1))</f>
        <v>-4</v>
      </c>
      <c r="D62" s="28" t="str">
        <f t="shared" si="1"/>
        <v>2018-19</v>
      </c>
      <c r="E62" s="83">
        <f>IF(LEFT(D62,4)*1&gt;LEFT('General inputs'!$I$16,4)+'General inputs'!$H$38-1,"",'ET inputs'!D35)</f>
        <v>963.56845945497753</v>
      </c>
      <c r="F62" s="83">
        <f>IF(LEFT(D62,4)*1&gt;LEFT('General inputs'!$I$16,4)+'General inputs'!$H$38-1,"",E62/(1+'General inputs'!$H$30)^C62)</f>
        <v>1084.5047901547048</v>
      </c>
      <c r="G62" s="83">
        <f>IF(LEFT(D62,4)*1&gt;LEFT('General inputs'!$I$16,4)+'General inputs'!$H$38-1,"",E62/(1+'General inputs'!$H$32)^C62)</f>
        <v>1135.9349229905031</v>
      </c>
      <c r="H62" s="83" t="str">
        <f>IF(LEFT(D62,4)*1&lt;LEFT('General inputs'!$I$16,4)*1,"",IF(LEFT(D62,4)*1&gt;LEFT('General inputs'!$I$16,4)+'General inputs'!$H$38-1,"",E62/(1+'General inputs'!$H$34)^C62))</f>
        <v/>
      </c>
      <c r="J62" s="113"/>
      <c r="K62" s="113"/>
      <c r="L62" s="83">
        <f>IF(LEFT(D62,4)*1&gt;LEFT('General inputs'!$I$18,4)*1,"",SUMIF('Post-1996 commissioned assets'!$F$22:$F$901,$D62,'Post-1996 commissioned assets'!$P$22:$P$901)*(1+$K$34)*(1+$K$35))</f>
        <v>339931.85786912183</v>
      </c>
      <c r="M62" s="83">
        <f>IF(L62="","",L62/(1+'General inputs'!$H$32)^C62)</f>
        <v>400740.04602536687</v>
      </c>
      <c r="N62" s="83" t="str">
        <f>IF(LEFT(D62,4)*1&lt;LEFT('General inputs'!$I$18,4)*1+1,"",SUMIF('Uncommissioned assets'!$F$22:$F$300,$D62,'Uncommissioned assets'!$P$22:$P$300))</f>
        <v/>
      </c>
      <c r="O62" s="83" t="str">
        <f>IF(N62="","",N62/(1+'General inputs'!$H$32)^C62)</f>
        <v/>
      </c>
      <c r="Q62" s="88"/>
      <c r="R62" s="83" t="str">
        <f>IF(OR(LEFT(D62,4)*1&lt;LEFT('General inputs'!$I$16,4)*1,LEFT(D62,4)*1&gt;LEFT('General inputs'!$I$16,4)+'General inputs'!$H$38-1),"",Q62/(1+'General inputs'!$H$34)^C62)</f>
        <v/>
      </c>
      <c r="T62" s="88"/>
      <c r="U62" s="83" t="str">
        <f>IF(OR(LEFT(D62,4)*1&lt;LEFT('General inputs'!$I$16,4)*1,LEFT(D62,4)*1&gt;LEFT('General inputs'!$I$16,4)+'General inputs'!$H$38-1),"",T62/(1+'General inputs'!$H$34)^C62)</f>
        <v/>
      </c>
      <c r="V62" s="56"/>
    </row>
    <row r="63" spans="2:26" x14ac:dyDescent="0.25">
      <c r="B63" s="55"/>
      <c r="C63" s="28">
        <f>IF(D63='General inputs'!$I$16,0,IF(D63&lt;'General inputs'!$I$16,C64-1,C62+1))</f>
        <v>-3</v>
      </c>
      <c r="D63" s="28" t="str">
        <f t="shared" si="1"/>
        <v>2019-20</v>
      </c>
      <c r="E63" s="83">
        <f>IF(LEFT(D63,4)*1&gt;LEFT('General inputs'!$I$16,4)+'General inputs'!$H$38-1,"",'ET inputs'!D36)</f>
        <v>370.08985219171927</v>
      </c>
      <c r="F63" s="83">
        <f>IF(LEFT(D63,4)*1&gt;LEFT('General inputs'!$I$16,4)+'General inputs'!$H$38-1,"",E63/(1+'General inputs'!$H$30)^C63)</f>
        <v>404.40717391590078</v>
      </c>
      <c r="G63" s="83">
        <f>IF(LEFT(D63,4)*1&gt;LEFT('General inputs'!$I$16,4)+'General inputs'!$H$38-1,"",E63/(1+'General inputs'!$H$32)^C63)</f>
        <v>418.70710828264379</v>
      </c>
      <c r="H63" s="83" t="str">
        <f>IF(LEFT(D63,4)*1&lt;LEFT('General inputs'!$I$16,4)*1,"",IF(LEFT(D63,4)*1&gt;LEFT('General inputs'!$I$16,4)+'General inputs'!$H$38-1,"",E63/(1+'General inputs'!$H$34)^C63))</f>
        <v/>
      </c>
      <c r="J63" s="113"/>
      <c r="K63" s="113"/>
      <c r="L63" s="83">
        <f>IF(LEFT(D63,4)*1&gt;LEFT('General inputs'!$I$18,4)*1,"",SUMIF('Post-1996 commissioned assets'!$F$22:$F$901,$D63,'Post-1996 commissioned assets'!$P$22:$P$901)*(1+$K$34)*(1+$K$35))</f>
        <v>1580435.3423335473</v>
      </c>
      <c r="M63" s="83">
        <f>IF(L63="","",L63/(1+'General inputs'!$H$32)^C63)</f>
        <v>1788050.9505928466</v>
      </c>
      <c r="N63" s="83" t="str">
        <f>IF(LEFT(D63,4)*1&lt;LEFT('General inputs'!$I$18,4)*1+1,"",SUMIF('Uncommissioned assets'!$F$22:$F$300,$D63,'Uncommissioned assets'!$P$22:$P$300))</f>
        <v/>
      </c>
      <c r="O63" s="83" t="str">
        <f>IF(N63="","",N63/(1+'General inputs'!$H$32)^C63)</f>
        <v/>
      </c>
      <c r="Q63" s="88"/>
      <c r="R63" s="83" t="str">
        <f>IF(OR(LEFT(D63,4)*1&lt;LEFT('General inputs'!$I$16,4)*1,LEFT(D63,4)*1&gt;LEFT('General inputs'!$I$16,4)+'General inputs'!$H$38-1),"",Q63/(1+'General inputs'!$H$34)^C63)</f>
        <v/>
      </c>
      <c r="T63" s="88"/>
      <c r="U63" s="83" t="str">
        <f>IF(OR(LEFT(D63,4)*1&lt;LEFT('General inputs'!$I$16,4)*1,LEFT(D63,4)*1&gt;LEFT('General inputs'!$I$16,4)+'General inputs'!$H$38-1),"",T63/(1+'General inputs'!$H$34)^C63)</f>
        <v/>
      </c>
      <c r="V63" s="56"/>
    </row>
    <row r="64" spans="2:26" x14ac:dyDescent="0.25">
      <c r="B64" s="55"/>
      <c r="C64" s="28">
        <f>IF(D64='General inputs'!$I$16,0,IF(D64&lt;'General inputs'!$I$16,C65-1,C63+1))</f>
        <v>-2</v>
      </c>
      <c r="D64" s="28" t="str">
        <f t="shared" si="1"/>
        <v>2020-21</v>
      </c>
      <c r="E64" s="83">
        <f>IF(LEFT(D64,4)*1&gt;LEFT('General inputs'!$I$16,4)+'General inputs'!$H$38-1,"",'ET inputs'!D37)</f>
        <v>1022.8587134486388</v>
      </c>
      <c r="F64" s="83">
        <f>IF(LEFT(D64,4)*1&gt;LEFT('General inputs'!$I$16,4)+'General inputs'!$H$38-1,"",E64/(1+'General inputs'!$H$30)^C64)</f>
        <v>1085.1508090976608</v>
      </c>
      <c r="G64" s="83">
        <f>IF(LEFT(D64,4)*1&gt;LEFT('General inputs'!$I$16,4)+'General inputs'!$H$38-1,"",E64/(1+'General inputs'!$H$32)^C64)</f>
        <v>1110.583168148848</v>
      </c>
      <c r="H64" s="83" t="str">
        <f>IF(LEFT(D64,4)*1&lt;LEFT('General inputs'!$I$16,4)*1,"",IF(LEFT(D64,4)*1&gt;LEFT('General inputs'!$I$16,4)+'General inputs'!$H$38-1,"",E64/(1+'General inputs'!$H$34)^C64))</f>
        <v/>
      </c>
      <c r="J64" s="113"/>
      <c r="K64" s="113"/>
      <c r="L64" s="83">
        <f>IF(LEFT(D64,4)*1&gt;LEFT('General inputs'!$I$18,4)*1,"",SUMIF('Post-1996 commissioned assets'!$F$22:$F$901,$D64,'Post-1996 commissioned assets'!$P$22:$P$901)*(1+$K$34)*(1+$K$35))</f>
        <v>0</v>
      </c>
      <c r="M64" s="83">
        <f>IF(L64="","",L64/(1+'General inputs'!$H$32)^C64)</f>
        <v>0</v>
      </c>
      <c r="N64" s="83" t="str">
        <f>IF(LEFT(D64,4)*1&lt;LEFT('General inputs'!$I$18,4)*1+1,"",SUMIF('Uncommissioned assets'!$F$22:$F$300,$D64,'Uncommissioned assets'!$P$22:$P$300))</f>
        <v/>
      </c>
      <c r="O64" s="83" t="str">
        <f>IF(N64="","",N64/(1+'General inputs'!$H$32)^C64)</f>
        <v/>
      </c>
      <c r="Q64" s="88"/>
      <c r="R64" s="83" t="str">
        <f>IF(OR(LEFT(D64,4)*1&lt;LEFT('General inputs'!$I$16,4)*1,LEFT(D64,4)*1&gt;LEFT('General inputs'!$I$16,4)+'General inputs'!$H$38-1),"",Q64/(1+'General inputs'!$H$34)^C64)</f>
        <v/>
      </c>
      <c r="T64" s="88"/>
      <c r="U64" s="83" t="str">
        <f>IF(OR(LEFT(D64,4)*1&lt;LEFT('General inputs'!$I$16,4)*1,LEFT(D64,4)*1&gt;LEFT('General inputs'!$I$16,4)+'General inputs'!$H$38-1),"",T64/(1+'General inputs'!$H$34)^C64)</f>
        <v/>
      </c>
      <c r="V64" s="56"/>
    </row>
    <row r="65" spans="2:22" x14ac:dyDescent="0.25">
      <c r="B65" s="55"/>
      <c r="C65" s="28">
        <f>IF(D65='General inputs'!$I$16,0,IF(D65&lt;'General inputs'!$I$16,C66-1,C64+1))</f>
        <v>-1</v>
      </c>
      <c r="D65" s="28" t="str">
        <f t="shared" si="1"/>
        <v>2021-22</v>
      </c>
      <c r="E65" s="83">
        <f>IF(LEFT(D65,4)*1&gt;LEFT('General inputs'!$I$16,4)+'General inputs'!$H$38-1,"",'ET inputs'!D38)</f>
        <v>428.56188159858493</v>
      </c>
      <c r="F65" s="83">
        <f>IF(LEFT(D65,4)*1&gt;LEFT('General inputs'!$I$16,4)+'General inputs'!$H$38-1,"",E65/(1+'General inputs'!$H$30)^C65)</f>
        <v>441.4187380465425</v>
      </c>
      <c r="G65" s="83">
        <f>IF(LEFT(D65,4)*1&gt;LEFT('General inputs'!$I$16,4)+'General inputs'!$H$38-1,"",E65/(1+'General inputs'!$H$32)^C65)</f>
        <v>446.56148062572549</v>
      </c>
      <c r="H65" s="83" t="str">
        <f>IF(LEFT(D65,4)*1&lt;LEFT('General inputs'!$I$16,4)*1,"",IF(LEFT(D65,4)*1&gt;LEFT('General inputs'!$I$16,4)+'General inputs'!$H$38-1,"",E65/(1+'General inputs'!$H$34)^C65))</f>
        <v/>
      </c>
      <c r="J65" s="113"/>
      <c r="K65" s="113"/>
      <c r="L65" s="83" t="str">
        <f>IF(LEFT(D65,4)*1&gt;LEFT('General inputs'!$I$18,4)*1,"",SUMIF('Post-1996 commissioned assets'!$F$22:$F$901,$D65,'Post-1996 commissioned assets'!$P$22:$P$901)*(1+$K$34)*(1+$K$35))</f>
        <v/>
      </c>
      <c r="M65" s="83" t="str">
        <f>IF(L65="","",L65/(1+'General inputs'!$H$32)^C65)</f>
        <v/>
      </c>
      <c r="N65" s="83">
        <f>IF(LEFT(D65,4)*1&lt;LEFT('General inputs'!$I$18,4)*1+1,"",SUMIF('Uncommissioned assets'!$F$22:$F$300,$D65,'Uncommissioned assets'!$P$22:$P$300))</f>
        <v>0</v>
      </c>
      <c r="O65" s="83">
        <f>IF(N65="","",N65/(1+'General inputs'!$H$32)^C65)</f>
        <v>0</v>
      </c>
      <c r="Q65" s="88"/>
      <c r="R65" s="83" t="str">
        <f>IF(OR(LEFT(D65,4)*1&lt;LEFT('General inputs'!$I$16,4)*1,LEFT(D65,4)*1&gt;LEFT('General inputs'!$I$16,4)+'General inputs'!$H$38-1),"",Q65/(1+'General inputs'!$H$34)^C65)</f>
        <v/>
      </c>
      <c r="T65" s="88"/>
      <c r="U65" s="83" t="str">
        <f>IF(OR(LEFT(D65,4)*1&lt;LEFT('General inputs'!$I$16,4)*1,LEFT(D65,4)*1&gt;LEFT('General inputs'!$I$16,4)+'General inputs'!$H$38-1),"",T65/(1+'General inputs'!$H$34)^C65)</f>
        <v/>
      </c>
      <c r="V65" s="56"/>
    </row>
    <row r="66" spans="2:22" x14ac:dyDescent="0.25">
      <c r="B66" s="55"/>
      <c r="C66" s="28">
        <f>IF(D66='General inputs'!$I$16,0,IF(D66&lt;'General inputs'!$I$16,C67-1,C65+1))</f>
        <v>0</v>
      </c>
      <c r="D66" s="28" t="str">
        <f t="shared" si="1"/>
        <v>2022-23</v>
      </c>
      <c r="E66" s="83">
        <f>IF(LEFT(D66,4)*1&gt;LEFT('General inputs'!$I$16,4)+'General inputs'!$H$38-1,"",'ET inputs'!D39)</f>
        <v>315.6984624075094</v>
      </c>
      <c r="F66" s="83">
        <f>IF(LEFT(D66,4)*1&gt;LEFT('General inputs'!$I$16,4)+'General inputs'!$H$38-1,"",E66/(1+'General inputs'!$H$30)^C66)</f>
        <v>315.6984624075094</v>
      </c>
      <c r="G66" s="83">
        <f>IF(LEFT(D66,4)*1&gt;LEFT('General inputs'!$I$16,4)+'General inputs'!$H$38-1,"",E66/(1+'General inputs'!$H$32)^C66)</f>
        <v>315.6984624075094</v>
      </c>
      <c r="H66" s="83">
        <f>IF(LEFT(D66,4)*1&lt;LEFT('General inputs'!$I$16,4)*1,"",IF(LEFT(D66,4)*1&gt;LEFT('General inputs'!$I$16,4)+'General inputs'!$H$38-1,"",E66/(1+'General inputs'!$H$34)^C66))</f>
        <v>315.6984624075094</v>
      </c>
      <c r="J66" s="113"/>
      <c r="K66" s="113"/>
      <c r="L66" s="83" t="str">
        <f>IF(LEFT(D66,4)*1&gt;LEFT('General inputs'!$I$18,4)*1,"",SUMIF('Post-1996 commissioned assets'!$F$22:$F$901,$D66,'Post-1996 commissioned assets'!$P$22:$P$901)*(1+$K$34)*(1+$K$35))</f>
        <v/>
      </c>
      <c r="M66" s="83" t="str">
        <f>IF(L66="","",L66/(1+'General inputs'!$H$32)^C66)</f>
        <v/>
      </c>
      <c r="N66" s="83">
        <f>IF(LEFT(D66,4)*1&lt;LEFT('General inputs'!$I$18,4)*1+1,"",SUMIF('Uncommissioned assets'!$F$22:$F$300,$D66,'Uncommissioned assets'!$P$22:$P$300))</f>
        <v>0</v>
      </c>
      <c r="O66" s="83">
        <f>IF(N66="","",N66/(1+'General inputs'!$H$32)^C66)</f>
        <v>0</v>
      </c>
      <c r="Q66" s="88">
        <f>'Reduction amount'!P39</f>
        <v>455459.00679164921</v>
      </c>
      <c r="R66" s="83">
        <f>IF(OR(LEFT(D66,4)*1&lt;LEFT('General inputs'!$I$16,4)*1,LEFT(D66,4)*1&gt;LEFT('General inputs'!$I$16,4)+'General inputs'!$H$38-1),"",Q66/(1+'General inputs'!$H$34)^C66)</f>
        <v>455459.00679164921</v>
      </c>
      <c r="T66" s="88">
        <f>'Reduction amount'!J39</f>
        <v>393130.93906580081</v>
      </c>
      <c r="U66" s="83">
        <f>IF(OR(LEFT(D66,4)*1&lt;LEFT('General inputs'!$I$16,4)*1,LEFT(D66,4)*1&gt;LEFT('General inputs'!$I$16,4)+'General inputs'!$H$38-1),"",T66/(1+'General inputs'!$H$34)^C66)</f>
        <v>393130.93906580081</v>
      </c>
      <c r="V66" s="56"/>
    </row>
    <row r="67" spans="2:22" x14ac:dyDescent="0.25">
      <c r="B67" s="55"/>
      <c r="C67" s="28">
        <f>IF(D67='General inputs'!$I$16,0,IF(D67&lt;'General inputs'!$I$16,C68-1,C66+1))</f>
        <v>1</v>
      </c>
      <c r="D67" s="28" t="str">
        <f t="shared" si="1"/>
        <v>2023-24</v>
      </c>
      <c r="E67" s="83">
        <f>IF(LEFT(D67,4)*1&gt;LEFT('General inputs'!$I$16,4)+'General inputs'!$H$38-1,"",'ET inputs'!D40)</f>
        <v>377.6504992895035</v>
      </c>
      <c r="F67" s="83">
        <f>IF(LEFT(D67,4)*1&gt;LEFT('General inputs'!$I$16,4)+'General inputs'!$H$38-1,"",E67/(1+'General inputs'!$H$30)^C67)</f>
        <v>366.65097018398399</v>
      </c>
      <c r="G67" s="83">
        <f>IF(LEFT(D67,4)*1&gt;LEFT('General inputs'!$I$16,4)+'General inputs'!$H$38-1,"",E67/(1+'General inputs'!$H$32)^C67)</f>
        <v>362.42850219722021</v>
      </c>
      <c r="H67" s="83">
        <f>IF(LEFT(D67,4)*1&lt;LEFT('General inputs'!$I$16,4)*1,"",IF(LEFT(D67,4)*1&gt;LEFT('General inputs'!$I$16,4)+'General inputs'!$H$38-1,"",E67/(1+'General inputs'!$H$34)^C67))</f>
        <v>362.42850219722021</v>
      </c>
      <c r="J67" s="113"/>
      <c r="K67" s="113"/>
      <c r="L67" s="83" t="str">
        <f>IF(LEFT(D67,4)*1&gt;LEFT('General inputs'!$I$18,4)*1,"",SUMIF('Post-1996 commissioned assets'!$F$22:$F$901,$D67,'Post-1996 commissioned assets'!$P$22:$P$901)*(1+$K$34)*(1+$K$35))</f>
        <v/>
      </c>
      <c r="M67" s="83" t="str">
        <f>IF(L67="","",L67/(1+'General inputs'!$H$32)^C67)</f>
        <v/>
      </c>
      <c r="N67" s="83">
        <f>IF(LEFT(D67,4)*1&lt;LEFT('General inputs'!$I$18,4)*1+1,"",SUMIF('Uncommissioned assets'!$F$22:$F$300,$D67,'Uncommissioned assets'!$P$22:$P$300))</f>
        <v>0</v>
      </c>
      <c r="O67" s="83">
        <f>IF(N67="","",N67/(1+'General inputs'!$H$32)^C67)</f>
        <v>0</v>
      </c>
      <c r="Q67" s="88">
        <f>'Reduction amount'!P40</f>
        <v>1024585.0812854785</v>
      </c>
      <c r="R67" s="83">
        <f>IF(OR(LEFT(D67,4)*1&lt;LEFT('General inputs'!$I$16,4)*1,LEFT(D67,4)*1&gt;LEFT('General inputs'!$I$16,4)+'General inputs'!$H$38-1),"",Q67/(1+'General inputs'!$H$34)^C67)</f>
        <v>983287.02618567995</v>
      </c>
      <c r="T67" s="88">
        <f>'Reduction amount'!J40</f>
        <v>904000.01825153083</v>
      </c>
      <c r="U67" s="83">
        <f>IF(OR(LEFT(D67,4)*1&lt;LEFT('General inputs'!$I$16,4)*1,LEFT(D67,4)*1&gt;LEFT('General inputs'!$I$16,4)+'General inputs'!$H$38-1),"",T67/(1+'General inputs'!$H$34)^C67)</f>
        <v>867562.39755425218</v>
      </c>
      <c r="V67" s="56"/>
    </row>
    <row r="68" spans="2:22" x14ac:dyDescent="0.25">
      <c r="B68" s="55"/>
      <c r="C68" s="28">
        <f>IF(D68='General inputs'!$I$16,0,IF(D68&lt;'General inputs'!$I$16,C69-1,C67+1))</f>
        <v>2</v>
      </c>
      <c r="D68" s="28" t="str">
        <f t="shared" si="1"/>
        <v>2024-25</v>
      </c>
      <c r="E68" s="83">
        <f>IF(LEFT(D68,4)*1&gt;LEFT('General inputs'!$I$16,4)+'General inputs'!$H$38-1,"",'ET inputs'!D41)</f>
        <v>395.53135622608704</v>
      </c>
      <c r="F68" s="83">
        <f>IF(LEFT(D68,4)*1&gt;LEFT('General inputs'!$I$16,4)+'General inputs'!$H$38-1,"",E68/(1+'General inputs'!$H$30)^C68)</f>
        <v>372.82623831283536</v>
      </c>
      <c r="G68" s="83">
        <f>IF(LEFT(D68,4)*1&gt;LEFT('General inputs'!$I$16,4)+'General inputs'!$H$38-1,"",E68/(1+'General inputs'!$H$32)^C68)</f>
        <v>364.28851594461315</v>
      </c>
      <c r="H68" s="83">
        <f>IF(LEFT(D68,4)*1&lt;LEFT('General inputs'!$I$16,4)*1,"",IF(LEFT(D68,4)*1&gt;LEFT('General inputs'!$I$16,4)+'General inputs'!$H$38-1,"",E68/(1+'General inputs'!$H$34)^C68))</f>
        <v>364.28851594461315</v>
      </c>
      <c r="J68" s="113"/>
      <c r="K68" s="113"/>
      <c r="L68" s="83" t="str">
        <f>IF(LEFT(D68,4)*1&gt;LEFT('General inputs'!$I$18,4)*1,"",SUMIF('Post-1996 commissioned assets'!$F$22:$F$901,$D68,'Post-1996 commissioned assets'!$P$22:$P$901)*(1+$K$34)*(1+$K$35))</f>
        <v/>
      </c>
      <c r="M68" s="83" t="str">
        <f>IF(L68="","",L68/(1+'General inputs'!$H$32)^C68)</f>
        <v/>
      </c>
      <c r="N68" s="83">
        <f>IF(LEFT(D68,4)*1&lt;LEFT('General inputs'!$I$18,4)*1+1,"",SUMIF('Uncommissioned assets'!$F$22:$F$300,$D68,'Uncommissioned assets'!$P$22:$P$300))</f>
        <v>0</v>
      </c>
      <c r="O68" s="83">
        <f>IF(N68="","",N68/(1+'General inputs'!$H$32)^C68)</f>
        <v>0</v>
      </c>
      <c r="Q68" s="88">
        <f>'Reduction amount'!P41</f>
        <v>1580745.5279294136</v>
      </c>
      <c r="R68" s="83">
        <f>IF(OR(LEFT(D68,4)*1&lt;LEFT('General inputs'!$I$16,4)*1,LEFT(D68,4)*1&gt;LEFT('General inputs'!$I$16,4)+'General inputs'!$H$38-1),"",Q68/(1+'General inputs'!$H$34)^C68)</f>
        <v>1455883.1642322028</v>
      </c>
      <c r="T68" s="88">
        <f>'Reduction amount'!J41</f>
        <v>1402659.682397563</v>
      </c>
      <c r="U68" s="83">
        <f>IF(OR(LEFT(D68,4)*1&lt;LEFT('General inputs'!$I$16,4)*1,LEFT(D68,4)*1&gt;LEFT('General inputs'!$I$16,4)+'General inputs'!$H$38-1),"",T68/(1+'General inputs'!$H$34)^C68)</f>
        <v>1291864.2378984408</v>
      </c>
      <c r="V68" s="56"/>
    </row>
    <row r="69" spans="2:22" x14ac:dyDescent="0.25">
      <c r="B69" s="55"/>
      <c r="C69" s="28">
        <f>IF(D69='General inputs'!$I$16,0,IF(D69&lt;'General inputs'!$I$16,C70-1,C68+1))</f>
        <v>3</v>
      </c>
      <c r="D69" s="28" t="str">
        <f t="shared" si="1"/>
        <v>2025-26</v>
      </c>
      <c r="E69" s="83">
        <f>IF(LEFT(D69,4)*1&gt;LEFT('General inputs'!$I$16,4)+'General inputs'!$H$38-1,"",'ET inputs'!D42)</f>
        <v>411.50443811739592</v>
      </c>
      <c r="F69" s="83">
        <f>IF(LEFT(D69,4)*1&gt;LEFT('General inputs'!$I$16,4)+'General inputs'!$H$38-1,"",E69/(1+'General inputs'!$H$30)^C69)</f>
        <v>376.58485432994325</v>
      </c>
      <c r="G69" s="83">
        <f>IF(LEFT(D69,4)*1&gt;LEFT('General inputs'!$I$16,4)+'General inputs'!$H$38-1,"",E69/(1+'General inputs'!$H$32)^C69)</f>
        <v>363.72350425037297</v>
      </c>
      <c r="H69" s="83">
        <f>IF(LEFT(D69,4)*1&lt;LEFT('General inputs'!$I$16,4)*1,"",IF(LEFT(D69,4)*1&gt;LEFT('General inputs'!$I$16,4)+'General inputs'!$H$38-1,"",E69/(1+'General inputs'!$H$34)^C69))</f>
        <v>363.72350425037297</v>
      </c>
      <c r="J69" s="113"/>
      <c r="K69" s="113"/>
      <c r="L69" s="83" t="str">
        <f>IF(LEFT(D69,4)*1&gt;LEFT('General inputs'!$I$18,4)*1,"",SUMIF('Post-1996 commissioned assets'!$F$22:$F$901,$D69,'Post-1996 commissioned assets'!$P$22:$P$901)*(1+$K$34)*(1+$K$35))</f>
        <v/>
      </c>
      <c r="M69" s="83" t="str">
        <f>IF(L69="","",L69/(1+'General inputs'!$H$32)^C69)</f>
        <v/>
      </c>
      <c r="N69" s="83">
        <f>IF(LEFT(D69,4)*1&lt;LEFT('General inputs'!$I$18,4)*1+1,"",SUMIF('Uncommissioned assets'!$F$22:$F$300,$D69,'Uncommissioned assets'!$P$22:$P$300))</f>
        <v>0</v>
      </c>
      <c r="O69" s="83">
        <f>IF(N69="","",N69/(1+'General inputs'!$H$32)^C69)</f>
        <v>0</v>
      </c>
      <c r="Q69" s="88">
        <f>'Reduction amount'!P42</f>
        <v>2197942.5441881558</v>
      </c>
      <c r="R69" s="83">
        <f>IF(OR(LEFT(D69,4)*1&lt;LEFT('General inputs'!$I$16,4)*1,LEFT(D69,4)*1&gt;LEFT('General inputs'!$I$16,4)+'General inputs'!$H$38-1),"",Q69/(1+'General inputs'!$H$34)^C69)</f>
        <v>1942733.2739605284</v>
      </c>
      <c r="T69" s="88">
        <f>'Reduction amount'!J42</f>
        <v>1974613.4653736146</v>
      </c>
      <c r="U69" s="83">
        <f>IF(OR(LEFT(D69,4)*1&lt;LEFT('General inputs'!$I$16,4)*1,LEFT(D69,4)*1&gt;LEFT('General inputs'!$I$16,4)+'General inputs'!$H$38-1),"",T69/(1+'General inputs'!$H$34)^C69)</f>
        <v>1745335.5605383976</v>
      </c>
      <c r="V69" s="56"/>
    </row>
    <row r="70" spans="2:22" x14ac:dyDescent="0.25">
      <c r="B70" s="55"/>
      <c r="C70" s="28">
        <f>IF(D70='General inputs'!$I$16,0,IF(D70&lt;'General inputs'!$I$16,C71-1,C69+1))</f>
        <v>4</v>
      </c>
      <c r="D70" s="28" t="str">
        <f t="shared" si="1"/>
        <v>2026-27</v>
      </c>
      <c r="E70" s="83">
        <f>IF(LEFT(D70,4)*1&gt;LEFT('General inputs'!$I$16,4)+'General inputs'!$H$38-1,"",'ET inputs'!D43)</f>
        <v>419.08365946063071</v>
      </c>
      <c r="F70" s="83">
        <f>IF(LEFT(D70,4)*1&gt;LEFT('General inputs'!$I$16,4)+'General inputs'!$H$38-1,"",E70/(1+'General inputs'!$H$30)^C70)</f>
        <v>372.3504034238797</v>
      </c>
      <c r="G70" s="83">
        <f>IF(LEFT(D70,4)*1&gt;LEFT('General inputs'!$I$16,4)+'General inputs'!$H$38-1,"",E70/(1+'General inputs'!$H$32)^C70)</f>
        <v>355.49201627337453</v>
      </c>
      <c r="H70" s="83">
        <f>IF(LEFT(D70,4)*1&lt;LEFT('General inputs'!$I$16,4)*1,"",IF(LEFT(D70,4)*1&gt;LEFT('General inputs'!$I$16,4)+'General inputs'!$H$38-1,"",E70/(1+'General inputs'!$H$34)^C70))</f>
        <v>355.49201627337453</v>
      </c>
      <c r="J70" s="113"/>
      <c r="K70" s="113"/>
      <c r="L70" s="83" t="str">
        <f>IF(LEFT(D70,4)*1&gt;LEFT('General inputs'!$I$18,4)*1,"",SUMIF('Post-1996 commissioned assets'!$F$22:$F$901,$D70,'Post-1996 commissioned assets'!$P$22:$P$901)*(1+$K$34)*(1+$K$35))</f>
        <v/>
      </c>
      <c r="M70" s="83" t="str">
        <f>IF(L70="","",L70/(1+'General inputs'!$H$32)^C70)</f>
        <v/>
      </c>
      <c r="N70" s="83">
        <f>IF(LEFT(D70,4)*1&lt;LEFT('General inputs'!$I$18,4)*1+1,"",SUMIF('Uncommissioned assets'!$F$22:$F$300,$D70,'Uncommissioned assets'!$P$22:$P$300))</f>
        <v>0</v>
      </c>
      <c r="O70" s="83">
        <f>IF(N70="","",N70/(1+'General inputs'!$H$32)^C70)</f>
        <v>0</v>
      </c>
      <c r="Q70" s="88">
        <f>'Reduction amount'!P43</f>
        <v>2830586.7252973677</v>
      </c>
      <c r="R70" s="83">
        <f>IF(OR(LEFT(D70,4)*1&lt;LEFT('General inputs'!$I$16,4)*1,LEFT(D70,4)*1&gt;LEFT('General inputs'!$I$16,4)+'General inputs'!$H$38-1),"",Q70/(1+'General inputs'!$H$34)^C70)</f>
        <v>2401074.2473416296</v>
      </c>
      <c r="T70" s="88">
        <f>'Reduction amount'!J43</f>
        <v>2571639.8333214396</v>
      </c>
      <c r="U70" s="83">
        <f>IF(OR(LEFT(D70,4)*1&lt;LEFT('General inputs'!$I$16,4)*1,LEFT(D70,4)*1&gt;LEFT('General inputs'!$I$16,4)+'General inputs'!$H$38-1),"",T70/(1+'General inputs'!$H$34)^C70)</f>
        <v>2181419.8879835932</v>
      </c>
      <c r="V70" s="56"/>
    </row>
    <row r="71" spans="2:22" x14ac:dyDescent="0.25">
      <c r="B71" s="55"/>
      <c r="C71" s="28">
        <f>IF(D71='General inputs'!$I$16,0,IF(D71&lt;'General inputs'!$I$16,C72-1,C70+1))</f>
        <v>5</v>
      </c>
      <c r="D71" s="28" t="str">
        <f t="shared" si="1"/>
        <v>2027-28</v>
      </c>
      <c r="E71" s="83">
        <f>IF(LEFT(D71,4)*1&gt;LEFT('General inputs'!$I$16,4)+'General inputs'!$H$38-1,"",'ET inputs'!D44)</f>
        <v>426.98407051139407</v>
      </c>
      <c r="F71" s="83">
        <f>IF(LEFT(D71,4)*1&gt;LEFT('General inputs'!$I$16,4)+'General inputs'!$H$38-1,"",E71/(1+'General inputs'!$H$30)^C71)</f>
        <v>368.32021001523583</v>
      </c>
      <c r="G71" s="83">
        <f>IF(LEFT(D71,4)*1&gt;LEFT('General inputs'!$I$16,4)+'General inputs'!$H$38-1,"",E71/(1+'General inputs'!$H$32)^C71)</f>
        <v>347.59464592079513</v>
      </c>
      <c r="H71" s="83">
        <f>IF(LEFT(D71,4)*1&lt;LEFT('General inputs'!$I$16,4)*1,"",IF(LEFT(D71,4)*1&gt;LEFT('General inputs'!$I$16,4)+'General inputs'!$H$38-1,"",E71/(1+'General inputs'!$H$34)^C71))</f>
        <v>347.59464592079513</v>
      </c>
      <c r="J71" s="113"/>
      <c r="K71" s="113"/>
      <c r="L71" s="83" t="str">
        <f>IF(LEFT(D71,4)*1&gt;LEFT('General inputs'!$I$18,4)*1,"",SUMIF('Post-1996 commissioned assets'!$F$22:$F$901,$D71,'Post-1996 commissioned assets'!$P$22:$P$901)*(1+$K$34)*(1+$K$35))</f>
        <v/>
      </c>
      <c r="M71" s="83" t="str">
        <f>IF(L71="","",L71/(1+'General inputs'!$H$32)^C71)</f>
        <v/>
      </c>
      <c r="N71" s="83">
        <f>IF(LEFT(D71,4)*1&lt;LEFT('General inputs'!$I$18,4)*1+1,"",SUMIF('Uncommissioned assets'!$F$22:$F$300,$D71,'Uncommissioned assets'!$P$22:$P$300))</f>
        <v>0</v>
      </c>
      <c r="O71" s="83">
        <f>IF(N71="","",N71/(1+'General inputs'!$H$32)^C71)</f>
        <v>0</v>
      </c>
      <c r="Q71" s="88">
        <f>'Reduction amount'!P44</f>
        <v>3471083.8215939594</v>
      </c>
      <c r="R71" s="83">
        <f>IF(OR(LEFT(D71,4)*1&lt;LEFT('General inputs'!$I$16,4)*1,LEFT(D71,4)*1&gt;LEFT('General inputs'!$I$16,4)+'General inputs'!$H$38-1),"",Q71/(1+'General inputs'!$H$34)^C71)</f>
        <v>2825702.9600268342</v>
      </c>
      <c r="T71" s="88">
        <f>'Reduction amount'!J44</f>
        <v>3132081.5614999146</v>
      </c>
      <c r="U71" s="83">
        <f>IF(OR(LEFT(D71,4)*1&lt;LEFT('General inputs'!$I$16,4)*1,LEFT(D71,4)*1&gt;LEFT('General inputs'!$I$16,4)+'General inputs'!$H$38-1),"",T71/(1+'General inputs'!$H$34)^C71)</f>
        <v>2549731.609567299</v>
      </c>
      <c r="V71" s="56"/>
    </row>
    <row r="72" spans="2:22" x14ac:dyDescent="0.25">
      <c r="B72" s="55"/>
      <c r="C72" s="28">
        <f>IF(D72='General inputs'!$I$16,0,IF(D72&lt;'General inputs'!$I$16,C73-1,C71+1))</f>
        <v>6</v>
      </c>
      <c r="D72" s="28" t="str">
        <f t="shared" si="1"/>
        <v>2028-29</v>
      </c>
      <c r="E72" s="83">
        <f>IF(LEFT(D72,4)*1&gt;LEFT('General inputs'!$I$16,4)+'General inputs'!$H$38-1,"",'ET inputs'!D45)</f>
        <v>442.70000230307312</v>
      </c>
      <c r="F72" s="83">
        <f>IF(LEFT(D72,4)*1&gt;LEFT('General inputs'!$I$16,4)+'General inputs'!$H$38-1,"",E72/(1+'General inputs'!$H$30)^C72)</f>
        <v>370.75428236264128</v>
      </c>
      <c r="G72" s="83">
        <f>IF(LEFT(D72,4)*1&gt;LEFT('General inputs'!$I$16,4)+'General inputs'!$H$38-1,"",E72/(1+'General inputs'!$H$32)^C72)</f>
        <v>345.86228823655978</v>
      </c>
      <c r="H72" s="83">
        <f>IF(LEFT(D72,4)*1&lt;LEFT('General inputs'!$I$16,4)*1,"",IF(LEFT(D72,4)*1&gt;LEFT('General inputs'!$I$16,4)+'General inputs'!$H$38-1,"",E72/(1+'General inputs'!$H$34)^C72))</f>
        <v>345.86228823655978</v>
      </c>
      <c r="J72" s="113"/>
      <c r="K72" s="113"/>
      <c r="L72" s="83" t="str">
        <f>IF(LEFT(D72,4)*1&gt;LEFT('General inputs'!$I$18,4)*1,"",SUMIF('Post-1996 commissioned assets'!$F$22:$F$901,$D72,'Post-1996 commissioned assets'!$P$22:$P$901)*(1+$K$34)*(1+$K$35))</f>
        <v/>
      </c>
      <c r="M72" s="83" t="str">
        <f>IF(L72="","",L72/(1+'General inputs'!$H$32)^C72)</f>
        <v/>
      </c>
      <c r="N72" s="83">
        <f>IF(LEFT(D72,4)*1&lt;LEFT('General inputs'!$I$18,4)*1+1,"",SUMIF('Uncommissioned assets'!$F$22:$F$300,$D72,'Uncommissioned assets'!$P$22:$P$300))</f>
        <v>0</v>
      </c>
      <c r="O72" s="83">
        <f>IF(N72="","",N72/(1+'General inputs'!$H$32)^C72)</f>
        <v>0</v>
      </c>
      <c r="Q72" s="88">
        <f>'Reduction amount'!P45</f>
        <v>4133220.0749502792</v>
      </c>
      <c r="R72" s="83">
        <f>IF(OR(LEFT(D72,4)*1&lt;LEFT('General inputs'!$I$16,4)*1,LEFT(D72,4)*1&gt;LEFT('General inputs'!$I$16,4)+'General inputs'!$H$38-1),"",Q72/(1+'General inputs'!$H$34)^C72)</f>
        <v>3229105.365870167</v>
      </c>
      <c r="T72" s="88">
        <f>'Reduction amount'!J45</f>
        <v>3707900.4777689353</v>
      </c>
      <c r="U72" s="83">
        <f>IF(OR(LEFT(D72,4)*1&lt;LEFT('General inputs'!$I$16,4)*1,LEFT(D72,4)*1&gt;LEFT('General inputs'!$I$16,4)+'General inputs'!$H$38-1),"",T72/(1+'General inputs'!$H$34)^C72)</f>
        <v>2896821.633438006</v>
      </c>
      <c r="V72" s="56"/>
    </row>
    <row r="73" spans="2:22" x14ac:dyDescent="0.25">
      <c r="B73" s="55"/>
      <c r="C73" s="28">
        <f>IF(D73='General inputs'!$I$16,0,IF(D73&lt;'General inputs'!$I$16,C74-1,C72+1))</f>
        <v>7</v>
      </c>
      <c r="D73" s="28" t="str">
        <f t="shared" si="1"/>
        <v>2029-30</v>
      </c>
      <c r="E73" s="83">
        <f>IF(LEFT(D73,4)*1&gt;LEFT('General inputs'!$I$16,4)+'General inputs'!$H$38-1,"",'ET inputs'!D46)</f>
        <v>454.13796264280711</v>
      </c>
      <c r="F73" s="83">
        <f>IF(LEFT(D73,4)*1&gt;LEFT('General inputs'!$I$16,4)+'General inputs'!$H$38-1,"",E73/(1+'General inputs'!$H$30)^C73)</f>
        <v>369.25572240363158</v>
      </c>
      <c r="G73" s="83">
        <f>IF(LEFT(D73,4)*1&gt;LEFT('General inputs'!$I$16,4)+'General inputs'!$H$38-1,"",E73/(1+'General inputs'!$H$32)^C73)</f>
        <v>340.49738001368377</v>
      </c>
      <c r="H73" s="83">
        <f>IF(LEFT(D73,4)*1&lt;LEFT('General inputs'!$I$16,4)*1,"",IF(LEFT(D73,4)*1&gt;LEFT('General inputs'!$I$16,4)+'General inputs'!$H$38-1,"",E73/(1+'General inputs'!$H$34)^C73))</f>
        <v>340.49738001368377</v>
      </c>
      <c r="J73" s="113"/>
      <c r="K73" s="113"/>
      <c r="L73" s="83" t="str">
        <f>IF(LEFT(D73,4)*1&gt;LEFT('General inputs'!$I$18,4)*1,"",SUMIF('Post-1996 commissioned assets'!$F$22:$F$901,$D73,'Post-1996 commissioned assets'!$P$22:$P$901)*(1+$K$34)*(1+$K$35))</f>
        <v/>
      </c>
      <c r="M73" s="83" t="str">
        <f>IF(L73="","",L73/(1+'General inputs'!$H$32)^C73)</f>
        <v/>
      </c>
      <c r="N73" s="83">
        <f>IF(LEFT(D73,4)*1&lt;LEFT('General inputs'!$I$18,4)*1+1,"",SUMIF('Uncommissioned assets'!$F$22:$F$300,$D73,'Uncommissioned assets'!$P$22:$P$300))</f>
        <v>0</v>
      </c>
      <c r="O73" s="83">
        <f>IF(N73="","",N73/(1+'General inputs'!$H$32)^C73)</f>
        <v>0</v>
      </c>
      <c r="Q73" s="88">
        <f>'Reduction amount'!P46</f>
        <v>4807919.46442567</v>
      </c>
      <c r="R73" s="83">
        <f>IF(OR(LEFT(D73,4)*1&lt;LEFT('General inputs'!$I$16,4)*1,LEFT(D73,4)*1&gt;LEFT('General inputs'!$I$16,4)+'General inputs'!$H$38-1),"",Q73/(1+'General inputs'!$H$34)^C73)</f>
        <v>3604816.4117945563</v>
      </c>
      <c r="T73" s="88">
        <f>'Reduction amount'!J46</f>
        <v>4294321.9438852891</v>
      </c>
      <c r="U73" s="83">
        <f>IF(OR(LEFT(D73,4)*1&lt;LEFT('General inputs'!$I$16,4)*1,LEFT(D73,4)*1&gt;LEFT('General inputs'!$I$16,4)+'General inputs'!$H$38-1),"",T73/(1+'General inputs'!$H$34)^C73)</f>
        <v>3219738.2538096206</v>
      </c>
      <c r="V73" s="56"/>
    </row>
    <row r="74" spans="2:22" x14ac:dyDescent="0.25">
      <c r="B74" s="55"/>
      <c r="C74" s="28">
        <f>IF(D74='General inputs'!$I$16,0,IF(D74&lt;'General inputs'!$I$16,C75-1,C73+1))</f>
        <v>8</v>
      </c>
      <c r="D74" s="28" t="str">
        <f t="shared" si="1"/>
        <v>2030-31</v>
      </c>
      <c r="E74" s="83">
        <f>IF(LEFT(D74,4)*1&gt;LEFT('General inputs'!$I$16,4)+'General inputs'!$H$38-1,"",'ET inputs'!D47)</f>
        <v>460.50565052975742</v>
      </c>
      <c r="F74" s="83">
        <f>IF(LEFT(D74,4)*1&gt;LEFT('General inputs'!$I$16,4)+'General inputs'!$H$38-1,"",E74/(1+'General inputs'!$H$30)^C74)</f>
        <v>363.52741298193672</v>
      </c>
      <c r="G74" s="83">
        <f>IF(LEFT(D74,4)*1&gt;LEFT('General inputs'!$I$16,4)+'General inputs'!$H$38-1,"",E74/(1+'General inputs'!$H$32)^C74)</f>
        <v>331.3547585049198</v>
      </c>
      <c r="H74" s="83">
        <f>IF(LEFT(D74,4)*1&lt;LEFT('General inputs'!$I$16,4)*1,"",IF(LEFT(D74,4)*1&gt;LEFT('General inputs'!$I$16,4)+'General inputs'!$H$38-1,"",E74/(1+'General inputs'!$H$34)^C74))</f>
        <v>331.3547585049198</v>
      </c>
      <c r="J74" s="113"/>
      <c r="K74" s="113"/>
      <c r="L74" s="83" t="str">
        <f>IF(LEFT(D74,4)*1&gt;LEFT('General inputs'!$I$18,4)*1,"",SUMIF('Post-1996 commissioned assets'!$F$22:$F$901,$D74,'Post-1996 commissioned assets'!$P$22:$P$901)*(1+$K$34)*(1+$K$35))</f>
        <v/>
      </c>
      <c r="M74" s="83" t="str">
        <f>IF(L74="","",L74/(1+'General inputs'!$H$32)^C74)</f>
        <v/>
      </c>
      <c r="N74" s="83">
        <f>IF(LEFT(D74,4)*1&lt;LEFT('General inputs'!$I$18,4)*1+1,"",SUMIF('Uncommissioned assets'!$F$22:$F$300,$D74,'Uncommissioned assets'!$P$22:$P$300))</f>
        <v>0</v>
      </c>
      <c r="O74" s="83">
        <f>IF(N74="","",N74/(1+'General inputs'!$H$32)^C74)</f>
        <v>0</v>
      </c>
      <c r="Q74" s="88">
        <f>'Reduction amount'!P47</f>
        <v>5490373.2629231662</v>
      </c>
      <c r="R74" s="83">
        <f>IF(OR(LEFT(D74,4)*1&lt;LEFT('General inputs'!$I$16,4)*1,LEFT(D74,4)*1&gt;LEFT('General inputs'!$I$16,4)+'General inputs'!$H$38-1),"",Q74/(1+'General inputs'!$H$34)^C74)</f>
        <v>3950573.2547362424</v>
      </c>
      <c r="T74" s="88">
        <f>'Reduction amount'!J47</f>
        <v>4863298.2647190662</v>
      </c>
      <c r="U74" s="83">
        <f>IF(OR(LEFT(D74,4)*1&lt;LEFT('General inputs'!$I$16,4)*1,LEFT(D74,4)*1&gt;LEFT('General inputs'!$I$16,4)+'General inputs'!$H$38-1),"",T74/(1+'General inputs'!$H$34)^C74)</f>
        <v>3499364.2753125126</v>
      </c>
      <c r="V74" s="56"/>
    </row>
    <row r="75" spans="2:22" x14ac:dyDescent="0.25">
      <c r="B75" s="55"/>
      <c r="C75" s="28">
        <f>IF(D75='General inputs'!$I$16,0,IF(D75&lt;'General inputs'!$I$16,C76-1,C74+1))</f>
        <v>9</v>
      </c>
      <c r="D75" s="28" t="str">
        <f t="shared" si="1"/>
        <v>2031-32</v>
      </c>
      <c r="E75" s="83">
        <f>IF(LEFT(D75,4)*1&gt;LEFT('General inputs'!$I$16,4)+'General inputs'!$H$38-1,"",'ET inputs'!D48)</f>
        <v>491.42222224582122</v>
      </c>
      <c r="F75" s="83">
        <f>IF(LEFT(D75,4)*1&gt;LEFT('General inputs'!$I$16,4)+'General inputs'!$H$38-1,"",E75/(1+'General inputs'!$H$30)^C75)</f>
        <v>376.63421377468592</v>
      </c>
      <c r="G75" s="83">
        <f>IF(LEFT(D75,4)*1&gt;LEFT('General inputs'!$I$16,4)+'General inputs'!$H$38-1,"",E75/(1+'General inputs'!$H$32)^C75)</f>
        <v>339.34802100130776</v>
      </c>
      <c r="H75" s="83">
        <f>IF(LEFT(D75,4)*1&lt;LEFT('General inputs'!$I$16,4)*1,"",IF(LEFT(D75,4)*1&gt;LEFT('General inputs'!$I$16,4)+'General inputs'!$H$38-1,"",E75/(1+'General inputs'!$H$34)^C75))</f>
        <v>339.34802100130776</v>
      </c>
      <c r="J75" s="113"/>
      <c r="K75" s="113"/>
      <c r="L75" s="83" t="str">
        <f>IF(LEFT(D75,4)*1&gt;LEFT('General inputs'!$I$18,4)*1,"",SUMIF('Post-1996 commissioned assets'!$F$22:$F$901,$D75,'Post-1996 commissioned assets'!$P$22:$P$901)*(1+$K$34)*(1+$K$35))</f>
        <v/>
      </c>
      <c r="M75" s="83" t="str">
        <f>IF(L75="","",L75/(1+'General inputs'!$H$32)^C75)</f>
        <v/>
      </c>
      <c r="N75" s="83">
        <f>IF(LEFT(D75,4)*1&lt;LEFT('General inputs'!$I$18,4)*1+1,"",SUMIF('Uncommissioned assets'!$F$22:$F$300,$D75,'Uncommissioned assets'!$P$22:$P$300))</f>
        <v>0</v>
      </c>
      <c r="O75" s="83">
        <f>IF(N75="","",N75/(1+'General inputs'!$H$32)^C75)</f>
        <v>0</v>
      </c>
      <c r="Q75" s="88">
        <f>'Reduction amount'!P48</f>
        <v>6225048.9941844372</v>
      </c>
      <c r="R75" s="83">
        <f>IF(OR(LEFT(D75,4)*1&lt;LEFT('General inputs'!$I$16,4)*1,LEFT(D75,4)*1&gt;LEFT('General inputs'!$I$16,4)+'General inputs'!$H$38-1),"",Q75/(1+'General inputs'!$H$34)^C75)</f>
        <v>4298662.0490189549</v>
      </c>
      <c r="T75" s="88">
        <f>'Reduction amount'!J48</f>
        <v>5561833.102651719</v>
      </c>
      <c r="U75" s="83">
        <f>IF(OR(LEFT(D75,4)*1&lt;LEFT('General inputs'!$I$16,4)*1,LEFT(D75,4)*1&gt;LEFT('General inputs'!$I$16,4)+'General inputs'!$H$38-1),"",T75/(1+'General inputs'!$H$34)^C75)</f>
        <v>3840683.1662982935</v>
      </c>
      <c r="V75" s="56"/>
    </row>
    <row r="76" spans="2:22" x14ac:dyDescent="0.25">
      <c r="B76" s="55"/>
      <c r="C76" s="28">
        <f>IF(D76='General inputs'!$I$16,0,IF(D76&lt;'General inputs'!$I$16,C77-1,C75+1))</f>
        <v>10</v>
      </c>
      <c r="D76" s="28" t="str">
        <f t="shared" si="1"/>
        <v>2032-33</v>
      </c>
      <c r="E76" s="83">
        <f>IF(LEFT(D76,4)*1&gt;LEFT('General inputs'!$I$16,4)+'General inputs'!$H$38-1,"",'ET inputs'!D49)</f>
        <v>498.12226894230076</v>
      </c>
      <c r="F76" s="83">
        <f>IF(LEFT(D76,4)*1&gt;LEFT('General inputs'!$I$16,4)+'General inputs'!$H$38-1,"",E76/(1+'General inputs'!$H$30)^C76)</f>
        <v>370.649749194516</v>
      </c>
      <c r="G76" s="83">
        <f>IF(LEFT(D76,4)*1&gt;LEFT('General inputs'!$I$16,4)+'General inputs'!$H$38-1,"",E76/(1+'General inputs'!$H$32)^C76)</f>
        <v>330.11006644838318</v>
      </c>
      <c r="H76" s="83">
        <f>IF(LEFT(D76,4)*1&lt;LEFT('General inputs'!$I$16,4)*1,"",IF(LEFT(D76,4)*1&gt;LEFT('General inputs'!$I$16,4)+'General inputs'!$H$38-1,"",E76/(1+'General inputs'!$H$34)^C76))</f>
        <v>330.11006644838318</v>
      </c>
      <c r="J76" s="113"/>
      <c r="K76" s="113"/>
      <c r="L76" s="83" t="str">
        <f>IF(LEFT(D76,4)*1&gt;LEFT('General inputs'!$I$18,4)*1,"",SUMIF('Post-1996 commissioned assets'!$F$22:$F$901,$D76,'Post-1996 commissioned assets'!$P$22:$P$901)*(1+$K$34)*(1+$K$35))</f>
        <v/>
      </c>
      <c r="M76" s="83" t="str">
        <f>IF(L76="","",L76/(1+'General inputs'!$H$32)^C76)</f>
        <v/>
      </c>
      <c r="N76" s="83">
        <f>IF(LEFT(D76,4)*1&lt;LEFT('General inputs'!$I$18,4)*1+1,"",SUMIF('Uncommissioned assets'!$F$22:$F$300,$D76,'Uncommissioned assets'!$P$22:$P$300))</f>
        <v>0</v>
      </c>
      <c r="O76" s="83">
        <f>IF(N76="","",N76/(1+'General inputs'!$H$32)^C76)</f>
        <v>0</v>
      </c>
      <c r="Q76" s="88">
        <f>'Reduction amount'!P49</f>
        <v>6972077.2693442246</v>
      </c>
      <c r="R76" s="83">
        <f>IF(OR(LEFT(D76,4)*1&lt;LEFT('General inputs'!$I$16,4)*1,LEFT(D76,4)*1&gt;LEFT('General inputs'!$I$16,4)+'General inputs'!$H$38-1),"",Q76/(1+'General inputs'!$H$34)^C76)</f>
        <v>4620457.7353137387</v>
      </c>
      <c r="T76" s="88">
        <f>'Reduction amount'!J49</f>
        <v>6262053.0677476013</v>
      </c>
      <c r="U76" s="83">
        <f>IF(OR(LEFT(D76,4)*1&lt;LEFT('General inputs'!$I$16,4)*1,LEFT(D76,4)*1&gt;LEFT('General inputs'!$I$16,4)+'General inputs'!$H$38-1),"",T76/(1+'General inputs'!$H$34)^C76)</f>
        <v>4149918.3698147605</v>
      </c>
      <c r="V76" s="56"/>
    </row>
    <row r="77" spans="2:22" x14ac:dyDescent="0.25">
      <c r="B77" s="55"/>
      <c r="C77" s="28">
        <f>IF(D77='General inputs'!$I$16,0,IF(D77&lt;'General inputs'!$I$16,C78-1,C76+1))</f>
        <v>11</v>
      </c>
      <c r="D77" s="28" t="str">
        <f t="shared" si="1"/>
        <v>2033-34</v>
      </c>
      <c r="E77" s="83">
        <f>IF(LEFT(D77,4)*1&gt;LEFT('General inputs'!$I$16,4)+'General inputs'!$H$38-1,"",'ET inputs'!D50)</f>
        <v>502.89269822352196</v>
      </c>
      <c r="F77" s="83">
        <f>IF(LEFT(D77,4)*1&gt;LEFT('General inputs'!$I$16,4)+'General inputs'!$H$38-1,"",E77/(1+'General inputs'!$H$30)^C77)</f>
        <v>363.30038504283283</v>
      </c>
      <c r="G77" s="83">
        <f>IF(LEFT(D77,4)*1&gt;LEFT('General inputs'!$I$16,4)+'General inputs'!$H$38-1,"",E77/(1+'General inputs'!$H$32)^C77)</f>
        <v>319.83826530023919</v>
      </c>
      <c r="H77" s="83">
        <f>IF(LEFT(D77,4)*1&lt;LEFT('General inputs'!$I$16,4)*1,"",IF(LEFT(D77,4)*1&gt;LEFT('General inputs'!$I$16,4)+'General inputs'!$H$38-1,"",E77/(1+'General inputs'!$H$34)^C77))</f>
        <v>319.83826530023919</v>
      </c>
      <c r="J77" s="113"/>
      <c r="K77" s="113"/>
      <c r="L77" s="83" t="str">
        <f>IF(LEFT(D77,4)*1&gt;LEFT('General inputs'!$I$18,4)*1,"",SUMIF('Post-1996 commissioned assets'!$F$22:$F$901,$D77,'Post-1996 commissioned assets'!$P$22:$P$901)*(1+$K$34)*(1+$K$35))</f>
        <v/>
      </c>
      <c r="M77" s="83" t="str">
        <f>IF(L77="","",L77/(1+'General inputs'!$H$32)^C77)</f>
        <v/>
      </c>
      <c r="N77" s="83">
        <f>IF(LEFT(D77,4)*1&lt;LEFT('General inputs'!$I$18,4)*1+1,"",SUMIF('Uncommissioned assets'!$F$22:$F$300,$D77,'Uncommissioned assets'!$P$22:$P$300))</f>
        <v>0</v>
      </c>
      <c r="O77" s="83">
        <f>IF(N77="","",N77/(1+'General inputs'!$H$32)^C77)</f>
        <v>0</v>
      </c>
      <c r="Q77" s="88">
        <f>'Reduction amount'!P50</f>
        <v>7730109.2291296413</v>
      </c>
      <c r="R77" s="83">
        <f>IF(OR(LEFT(D77,4)*1&lt;LEFT('General inputs'!$I$16,4)*1,LEFT(D77,4)*1&gt;LEFT('General inputs'!$I$16,4)+'General inputs'!$H$38-1),"",Q77/(1+'General inputs'!$H$34)^C77)</f>
        <v>4916326.5546704894</v>
      </c>
      <c r="T77" s="88">
        <f>'Reduction amount'!J50</f>
        <v>6946147.5489218673</v>
      </c>
      <c r="U77" s="83">
        <f>IF(OR(LEFT(D77,4)*1&lt;LEFT('General inputs'!$I$16,4)*1,LEFT(D77,4)*1&gt;LEFT('General inputs'!$I$16,4)+'General inputs'!$H$38-1),"",T77/(1+'General inputs'!$H$34)^C77)</f>
        <v>4417729.2500262531</v>
      </c>
      <c r="V77" s="56"/>
    </row>
    <row r="78" spans="2:22" x14ac:dyDescent="0.25">
      <c r="B78" s="55"/>
      <c r="C78" s="28">
        <f>IF(D78='General inputs'!$I$16,0,IF(D78&lt;'General inputs'!$I$16,C79-1,C77+1))</f>
        <v>12</v>
      </c>
      <c r="D78" s="28" t="str">
        <f t="shared" si="1"/>
        <v>2034-35</v>
      </c>
      <c r="E78" s="83">
        <f>IF(LEFT(D78,4)*1&gt;LEFT('General inputs'!$I$16,4)+'General inputs'!$H$38-1,"",'ET inputs'!D51)</f>
        <v>508.1133880961039</v>
      </c>
      <c r="F78" s="83">
        <f>IF(LEFT(D78,4)*1&gt;LEFT('General inputs'!$I$16,4)+'General inputs'!$H$38-1,"",E78/(1+'General inputs'!$H$30)^C78)</f>
        <v>356.38050726729108</v>
      </c>
      <c r="G78" s="83">
        <f>IF(LEFT(D78,4)*1&gt;LEFT('General inputs'!$I$16,4)+'General inputs'!$H$38-1,"",E78/(1+'General inputs'!$H$32)^C78)</f>
        <v>310.13302167278516</v>
      </c>
      <c r="H78" s="83">
        <f>IF(LEFT(D78,4)*1&lt;LEFT('General inputs'!$I$16,4)*1,"",IF(LEFT(D78,4)*1&gt;LEFT('General inputs'!$I$16,4)+'General inputs'!$H$38-1,"",E78/(1+'General inputs'!$H$34)^C78))</f>
        <v>310.13302167278516</v>
      </c>
      <c r="J78" s="113"/>
      <c r="K78" s="113"/>
      <c r="L78" s="83" t="str">
        <f>IF(LEFT(D78,4)*1&gt;LEFT('General inputs'!$I$18,4)*1,"",SUMIF('Post-1996 commissioned assets'!$F$22:$F$901,$D78,'Post-1996 commissioned assets'!$P$22:$P$901)*(1+$K$34)*(1+$K$35))</f>
        <v/>
      </c>
      <c r="M78" s="83" t="str">
        <f>IF(L78="","",L78/(1+'General inputs'!$H$32)^C78)</f>
        <v/>
      </c>
      <c r="N78" s="83">
        <f>IF(LEFT(D78,4)*1&lt;LEFT('General inputs'!$I$18,4)*1+1,"",SUMIF('Uncommissioned assets'!$F$22:$F$300,$D78,'Uncommissioned assets'!$P$22:$P$300))</f>
        <v>0</v>
      </c>
      <c r="O78" s="83">
        <f>IF(N78="","",N78/(1+'General inputs'!$H$32)^C78)</f>
        <v>0</v>
      </c>
      <c r="Q78" s="88">
        <f>'Reduction amount'!P51</f>
        <v>8495508.0900208913</v>
      </c>
      <c r="R78" s="83">
        <f>IF(OR(LEFT(D78,4)*1&lt;LEFT('General inputs'!$I$16,4)*1,LEFT(D78,4)*1&gt;LEFT('General inputs'!$I$16,4)+'General inputs'!$H$38-1),"",Q78/(1+'General inputs'!$H$34)^C78)</f>
        <v>5185333.935947069</v>
      </c>
      <c r="T78" s="88">
        <f>'Reduction amount'!J51</f>
        <v>7628252.3556036195</v>
      </c>
      <c r="U78" s="83">
        <f>IF(OR(LEFT(D78,4)*1&lt;LEFT('General inputs'!$I$16,4)*1,LEFT(D78,4)*1&gt;LEFT('General inputs'!$I$16,4)+'General inputs'!$H$38-1),"",T78/(1+'General inputs'!$H$34)^C78)</f>
        <v>4655994.1315272581</v>
      </c>
      <c r="V78" s="56"/>
    </row>
    <row r="79" spans="2:22" x14ac:dyDescent="0.25">
      <c r="B79" s="55"/>
      <c r="C79" s="28">
        <f>IF(D79='General inputs'!$I$16,0,IF(D79&lt;'General inputs'!$I$16,C80-1,C78+1))</f>
        <v>13</v>
      </c>
      <c r="D79" s="28" t="str">
        <f t="shared" si="1"/>
        <v>2035-36</v>
      </c>
      <c r="E79" s="83">
        <f>IF(LEFT(D79,4)*1&gt;LEFT('General inputs'!$I$16,4)+'General inputs'!$H$38-1,"",'ET inputs'!D52)</f>
        <v>510.61116788455467</v>
      </c>
      <c r="F79" s="83">
        <f>IF(LEFT(D79,4)*1&gt;LEFT('General inputs'!$I$16,4)+'General inputs'!$H$38-1,"",E79/(1+'General inputs'!$H$30)^C79)</f>
        <v>347.70135898646902</v>
      </c>
      <c r="G79" s="83">
        <f>IF(LEFT(D79,4)*1&gt;LEFT('General inputs'!$I$16,4)+'General inputs'!$H$38-1,"",E79/(1+'General inputs'!$H$32)^C79)</f>
        <v>299.09555771245334</v>
      </c>
      <c r="H79" s="83">
        <f>IF(LEFT(D79,4)*1&lt;LEFT('General inputs'!$I$16,4)*1,"",IF(LEFT(D79,4)*1&gt;LEFT('General inputs'!$I$16,4)+'General inputs'!$H$38-1,"",E79/(1+'General inputs'!$H$34)^C79))</f>
        <v>299.09555771245334</v>
      </c>
      <c r="J79" s="113"/>
      <c r="K79" s="113"/>
      <c r="L79" s="83" t="str">
        <f>IF(LEFT(D79,4)*1&gt;LEFT('General inputs'!$I$18,4)*1,"",SUMIF('Post-1996 commissioned assets'!$F$22:$F$901,$D79,'Post-1996 commissioned assets'!$P$22:$P$901)*(1+$K$34)*(1+$K$35))</f>
        <v/>
      </c>
      <c r="M79" s="83" t="str">
        <f>IF(L79="","",L79/(1+'General inputs'!$H$32)^C79)</f>
        <v/>
      </c>
      <c r="N79" s="83">
        <f>IF(LEFT(D79,4)*1&lt;LEFT('General inputs'!$I$18,4)*1+1,"",SUMIF('Uncommissioned assets'!$F$22:$F$300,$D79,'Uncommissioned assets'!$P$22:$P$300))</f>
        <v>0</v>
      </c>
      <c r="O79" s="83">
        <f>IF(N79="","",N79/(1+'General inputs'!$H$32)^C79)</f>
        <v>0</v>
      </c>
      <c r="Q79" s="88">
        <f>'Reduction amount'!P52</f>
        <v>9271118.2014383357</v>
      </c>
      <c r="R79" s="83">
        <f>IF(OR(LEFT(D79,4)*1&lt;LEFT('General inputs'!$I$16,4)*1,LEFT(D79,4)*1&gt;LEFT('General inputs'!$I$16,4)+'General inputs'!$H$38-1),"",Q79/(1+'General inputs'!$H$34)^C79)</f>
        <v>5430649.4716234244</v>
      </c>
      <c r="T79" s="88">
        <f>'Reduction amount'!J52</f>
        <v>8310202.813204241</v>
      </c>
      <c r="U79" s="83">
        <f>IF(OR(LEFT(D79,4)*1&lt;LEFT('General inputs'!$I$16,4)*1,LEFT(D79,4)*1&gt;LEFT('General inputs'!$I$16,4)+'General inputs'!$H$38-1),"",T79/(1+'General inputs'!$H$34)^C79)</f>
        <v>4867783.7490637964</v>
      </c>
      <c r="V79" s="56"/>
    </row>
    <row r="80" spans="2:22" x14ac:dyDescent="0.25">
      <c r="B80" s="55"/>
      <c r="C80" s="28">
        <f>IF(D80='General inputs'!$I$16,0,IF(D80&lt;'General inputs'!$I$16,C81-1,C79+1))</f>
        <v>14</v>
      </c>
      <c r="D80" s="28" t="str">
        <f t="shared" si="1"/>
        <v>2036-37</v>
      </c>
      <c r="E80" s="83">
        <f>IF(LEFT(D80,4)*1&gt;LEFT('General inputs'!$I$16,4)+'General inputs'!$H$38-1,"",'ET inputs'!D53)</f>
        <v>513.6771100461981</v>
      </c>
      <c r="F80" s="83">
        <f>IF(LEFT(D80,4)*1&gt;LEFT('General inputs'!$I$16,4)+'General inputs'!$H$38-1,"",E80/(1+'General inputs'!$H$30)^C80)</f>
        <v>339.60108389299188</v>
      </c>
      <c r="G80" s="83">
        <f>IF(LEFT(D80,4)*1&gt;LEFT('General inputs'!$I$16,4)+'General inputs'!$H$38-1,"",E80/(1+'General inputs'!$H$32)^C80)</f>
        <v>288.76340091454296</v>
      </c>
      <c r="H80" s="83">
        <f>IF(LEFT(D80,4)*1&lt;LEFT('General inputs'!$I$16,4)*1,"",IF(LEFT(D80,4)*1&gt;LEFT('General inputs'!$I$16,4)+'General inputs'!$H$38-1,"",E80/(1+'General inputs'!$H$34)^C80))</f>
        <v>288.76340091454296</v>
      </c>
      <c r="J80" s="113"/>
      <c r="K80" s="113"/>
      <c r="L80" s="83" t="str">
        <f>IF(LEFT(D80,4)*1&gt;LEFT('General inputs'!$I$18,4)*1,"",SUMIF('Post-1996 commissioned assets'!$F$22:$F$901,$D80,'Post-1996 commissioned assets'!$P$22:$P$901)*(1+$K$34)*(1+$K$35))</f>
        <v/>
      </c>
      <c r="M80" s="83" t="str">
        <f>IF(L80="","",L80/(1+'General inputs'!$H$32)^C80)</f>
        <v/>
      </c>
      <c r="N80" s="83">
        <f>IF(LEFT(D80,4)*1&lt;LEFT('General inputs'!$I$18,4)*1+1,"",SUMIF('Uncommissioned assets'!$F$22:$F$300,$D80,'Uncommissioned assets'!$P$22:$P$300))</f>
        <v>0</v>
      </c>
      <c r="O80" s="83">
        <f>IF(N80="","",N80/(1+'General inputs'!$H$32)^C80)</f>
        <v>0</v>
      </c>
      <c r="Q80" s="88">
        <f>'Reduction amount'!P53</f>
        <v>10048164.414400849</v>
      </c>
      <c r="R80" s="83">
        <f>IF(OR(LEFT(D80,4)*1&lt;LEFT('General inputs'!$I$16,4)*1,LEFT(D80,4)*1&gt;LEFT('General inputs'!$I$16,4)+'General inputs'!$H$38-1),"",Q80/(1+'General inputs'!$H$34)^C80)</f>
        <v>5648571.9774235673</v>
      </c>
      <c r="T80" s="88">
        <f>'Reduction amount'!J53</f>
        <v>8986811.163508134</v>
      </c>
      <c r="U80" s="83">
        <f>IF(OR(LEFT(D80,4)*1&lt;LEFT('General inputs'!$I$16,4)*1,LEFT(D80,4)*1&gt;LEFT('General inputs'!$I$16,4)+'General inputs'!$H$38-1),"",T80/(1+'General inputs'!$H$34)^C80)</f>
        <v>5051932.6327739228</v>
      </c>
      <c r="V80" s="56"/>
    </row>
    <row r="81" spans="2:22" x14ac:dyDescent="0.25">
      <c r="B81" s="55"/>
      <c r="C81" s="28">
        <f>IF(D81='General inputs'!$I$16,0,IF(D81&lt;'General inputs'!$I$16,C82-1,C80+1))</f>
        <v>15</v>
      </c>
      <c r="D81" s="28" t="str">
        <f t="shared" si="1"/>
        <v>2037-38</v>
      </c>
      <c r="E81" s="83">
        <f>IF(LEFT(D81,4)*1&gt;LEFT('General inputs'!$I$16,4)+'General inputs'!$H$38-1,"",'ET inputs'!D54)</f>
        <v>515.60672746145633</v>
      </c>
      <c r="F81" s="83">
        <f>IF(LEFT(D81,4)*1&gt;LEFT('General inputs'!$I$16,4)+'General inputs'!$H$38-1,"",E81/(1+'General inputs'!$H$30)^C81)</f>
        <v>330.94833817925905</v>
      </c>
      <c r="G81" s="83">
        <f>IF(LEFT(D81,4)*1&gt;LEFT('General inputs'!$I$16,4)+'General inputs'!$H$38-1,"",E81/(1+'General inputs'!$H$32)^C81)</f>
        <v>278.16519639535005</v>
      </c>
      <c r="H81" s="83">
        <f>IF(LEFT(D81,4)*1&lt;LEFT('General inputs'!$I$16,4)*1,"",IF(LEFT(D81,4)*1&gt;LEFT('General inputs'!$I$16,4)+'General inputs'!$H$38-1,"",E81/(1+'General inputs'!$H$34)^C81))</f>
        <v>278.16519639535005</v>
      </c>
      <c r="J81" s="113"/>
      <c r="K81" s="113"/>
      <c r="L81" s="83" t="str">
        <f>IF(LEFT(D81,4)*1&gt;LEFT('General inputs'!$I$18,4)*1,"",SUMIF('Post-1996 commissioned assets'!$F$22:$F$901,$D81,'Post-1996 commissioned assets'!$P$22:$P$901)*(1+$K$34)*(1+$K$35))</f>
        <v/>
      </c>
      <c r="M81" s="83" t="str">
        <f>IF(L81="","",L81/(1+'General inputs'!$H$32)^C81)</f>
        <v/>
      </c>
      <c r="N81" s="83">
        <f>IF(LEFT(D81,4)*1&lt;LEFT('General inputs'!$I$18,4)*1+1,"",SUMIF('Uncommissioned assets'!$F$22:$F$300,$D81,'Uncommissioned assets'!$P$22:$P$300))</f>
        <v>0</v>
      </c>
      <c r="O81" s="83">
        <f>IF(N81="","",N81/(1+'General inputs'!$H$32)^C81)</f>
        <v>0</v>
      </c>
      <c r="Q81" s="88">
        <f>'Reduction amount'!P54</f>
        <v>10834813.472980082</v>
      </c>
      <c r="R81" s="83">
        <f>IF(OR(LEFT(D81,4)*1&lt;LEFT('General inputs'!$I$16,4)*1,LEFT(D81,4)*1&gt;LEFT('General inputs'!$I$16,4)+'General inputs'!$H$38-1),"",Q81/(1+'General inputs'!$H$34)^C81)</f>
        <v>5845284.5106521389</v>
      </c>
      <c r="T81" s="88">
        <f>'Reduction amount'!J54</f>
        <v>9662342.6405862998</v>
      </c>
      <c r="U81" s="83">
        <f>IF(OR(LEFT(D81,4)*1&lt;LEFT('General inputs'!$I$16,4)*1,LEFT(D81,4)*1&gt;LEFT('General inputs'!$I$16,4)+'General inputs'!$H$38-1),"",T81/(1+'General inputs'!$H$34)^C81)</f>
        <v>5212747.0320075918</v>
      </c>
      <c r="V81" s="56"/>
    </row>
    <row r="82" spans="2:22" x14ac:dyDescent="0.25">
      <c r="B82" s="55"/>
      <c r="C82" s="28">
        <f>IF(D82='General inputs'!$I$16,0,IF(D82&lt;'General inputs'!$I$16,C83-1,C81+1))</f>
        <v>16</v>
      </c>
      <c r="D82" s="28" t="str">
        <f t="shared" si="1"/>
        <v>2038-39</v>
      </c>
      <c r="E82" s="83">
        <f>IF(LEFT(D82,4)*1&gt;LEFT('General inputs'!$I$16,4)+'General inputs'!$H$38-1,"",'ET inputs'!D55)</f>
        <v>518.1045072499071</v>
      </c>
      <c r="F82" s="83">
        <f>IF(LEFT(D82,4)*1&gt;LEFT('General inputs'!$I$16,4)+'General inputs'!$H$38-1,"",E82/(1+'General inputs'!$H$30)^C82)</f>
        <v>322.86559997907017</v>
      </c>
      <c r="G82" s="83">
        <f>IF(LEFT(D82,4)*1&gt;LEFT('General inputs'!$I$16,4)+'General inputs'!$H$38-1,"",E82/(1+'General inputs'!$H$32)^C82)</f>
        <v>268.24637826007967</v>
      </c>
      <c r="H82" s="83">
        <f>IF(LEFT(D82,4)*1&lt;LEFT('General inputs'!$I$16,4)*1,"",IF(LEFT(D82,4)*1&gt;LEFT('General inputs'!$I$16,4)+'General inputs'!$H$38-1,"",E82/(1+'General inputs'!$H$34)^C82))</f>
        <v>268.24637826007967</v>
      </c>
      <c r="J82" s="113"/>
      <c r="K82" s="113"/>
      <c r="L82" s="83" t="str">
        <f>IF(LEFT(D82,4)*1&gt;LEFT('General inputs'!$I$18,4)*1,"",SUMIF('Post-1996 commissioned assets'!$F$22:$F$901,$D82,'Post-1996 commissioned assets'!$P$22:$P$901)*(1+$K$34)*(1+$K$35))</f>
        <v/>
      </c>
      <c r="M82" s="83" t="str">
        <f>IF(L82="","",L82/(1+'General inputs'!$H$32)^C82)</f>
        <v/>
      </c>
      <c r="N82" s="83">
        <f>IF(LEFT(D82,4)*1&lt;LEFT('General inputs'!$I$18,4)*1+1,"",SUMIF('Uncommissioned assets'!$F$22:$F$300,$D82,'Uncommissioned assets'!$P$22:$P$300))</f>
        <v>0</v>
      </c>
      <c r="O82" s="83">
        <f>IF(N82="","",N82/(1+'General inputs'!$H$32)^C82)</f>
        <v>0</v>
      </c>
      <c r="Q82" s="88">
        <f>'Reduction amount'!P55</f>
        <v>11626055.706152132</v>
      </c>
      <c r="R82" s="83">
        <f>IF(OR(LEFT(D82,4)*1&lt;LEFT('General inputs'!$I$16,4)*1,LEFT(D82,4)*1&gt;LEFT('General inputs'!$I$16,4)+'General inputs'!$H$38-1),"",Q82/(1+'General inputs'!$H$34)^C82)</f>
        <v>6019340.2932913816</v>
      </c>
      <c r="T82" s="88">
        <f>'Reduction amount'!J55</f>
        <v>10336571.117686253</v>
      </c>
      <c r="U82" s="83">
        <f>IF(OR(LEFT(D82,4)*1&lt;LEFT('General inputs'!$I$16,4)*1,LEFT(D82,4)*1&gt;LEFT('General inputs'!$I$16,4)+'General inputs'!$H$38-1),"",T82/(1+'General inputs'!$H$34)^C82)</f>
        <v>5351715.1986667616</v>
      </c>
      <c r="V82" s="56"/>
    </row>
    <row r="83" spans="2:22" x14ac:dyDescent="0.25">
      <c r="B83" s="55"/>
      <c r="C83" s="28">
        <f>IF(D83='General inputs'!$I$16,0,IF(D83&lt;'General inputs'!$I$16,C84-1,C82+1))</f>
        <v>17</v>
      </c>
      <c r="D83" s="28" t="str">
        <f t="shared" si="1"/>
        <v>2039-40</v>
      </c>
      <c r="E83" s="83">
        <f>IF(LEFT(D83,4)*1&gt;LEFT('General inputs'!$I$16,4)+'General inputs'!$H$38-1,"",'ET inputs'!D56)</f>
        <v>521.73861178474317</v>
      </c>
      <c r="F83" s="83">
        <f>IF(LEFT(D83,4)*1&gt;LEFT('General inputs'!$I$16,4)+'General inputs'!$H$38-1,"",E83/(1+'General inputs'!$H$30)^C83)</f>
        <v>315.66044056199019</v>
      </c>
      <c r="G83" s="83">
        <f>IF(LEFT(D83,4)*1&gt;LEFT('General inputs'!$I$16,4)+'General inputs'!$H$38-1,"",E83/(1+'General inputs'!$H$32)^C83)</f>
        <v>259.23984667818758</v>
      </c>
      <c r="H83" s="83">
        <f>IF(LEFT(D83,4)*1&lt;LEFT('General inputs'!$I$16,4)*1,"",IF(LEFT(D83,4)*1&gt;LEFT('General inputs'!$I$16,4)+'General inputs'!$H$38-1,"",E83/(1+'General inputs'!$H$34)^C83))</f>
        <v>259.23984667818758</v>
      </c>
      <c r="J83" s="113"/>
      <c r="K83" s="113"/>
      <c r="L83" s="83" t="str">
        <f>IF(LEFT(D83,4)*1&gt;LEFT('General inputs'!$I$18,4)*1,"",SUMIF('Post-1996 commissioned assets'!$F$22:$F$901,$D83,'Post-1996 commissioned assets'!$P$22:$P$901)*(1+$K$34)*(1+$K$35))</f>
        <v/>
      </c>
      <c r="M83" s="83" t="str">
        <f>IF(L83="","",L83/(1+'General inputs'!$H$32)^C83)</f>
        <v/>
      </c>
      <c r="N83" s="83">
        <f>IF(LEFT(D83,4)*1&lt;LEFT('General inputs'!$I$18,4)*1+1,"",SUMIF('Uncommissioned assets'!$F$22:$F$300,$D83,'Uncommissioned assets'!$P$22:$P$300))</f>
        <v>0</v>
      </c>
      <c r="O83" s="83">
        <f>IF(N83="","",N83/(1+'General inputs'!$H$32)^C83)</f>
        <v>0</v>
      </c>
      <c r="Q83" s="88">
        <f>'Reduction amount'!P56</f>
        <v>12424769.577627262</v>
      </c>
      <c r="R83" s="83">
        <f>IF(OR(LEFT(D83,4)*1&lt;LEFT('General inputs'!$I$16,4)*1,LEFT(D83,4)*1&gt;LEFT('General inputs'!$I$16,4)+'General inputs'!$H$38-1),"",Q83/(1+'General inputs'!$H$34)^C83)</f>
        <v>6173580.5776337795</v>
      </c>
      <c r="T83" s="88">
        <f>'Reduction amount'!J56</f>
        <v>11009517.658678213</v>
      </c>
      <c r="U83" s="83">
        <f>IF(OR(LEFT(D83,4)*1&lt;LEFT('General inputs'!$I$16,4)*1,LEFT(D83,4)*1&gt;LEFT('General inputs'!$I$16,4)+'General inputs'!$H$38-1),"",T83/(1+'General inputs'!$H$34)^C83)</f>
        <v>5470374.6385059087</v>
      </c>
      <c r="V83" s="56"/>
    </row>
    <row r="84" spans="2:22" x14ac:dyDescent="0.25">
      <c r="B84" s="55"/>
      <c r="C84" s="28">
        <f>IF(D84='General inputs'!$I$16,0,IF(D84&lt;'General inputs'!$I$16,C85-1,C83+1))</f>
        <v>18</v>
      </c>
      <c r="D84" s="28" t="str">
        <f t="shared" si="1"/>
        <v>2040-41</v>
      </c>
      <c r="E84" s="83">
        <f>IF(LEFT(D84,4)*1&gt;LEFT('General inputs'!$I$16,4)+'General inputs'!$H$38-1,"",'ET inputs'!D57)</f>
        <v>523.10006682680887</v>
      </c>
      <c r="F84" s="83">
        <f>IF(LEFT(D84,4)*1&gt;LEFT('General inputs'!$I$16,4)+'General inputs'!$H$38-1,"",E84/(1+'General inputs'!$H$30)^C84)</f>
        <v>307.26615849778466</v>
      </c>
      <c r="G84" s="83">
        <f>IF(LEFT(D84,4)*1&gt;LEFT('General inputs'!$I$16,4)+'General inputs'!$H$38-1,"",E84/(1+'General inputs'!$H$32)^C84)</f>
        <v>249.43984855440448</v>
      </c>
      <c r="H84" s="83">
        <f>IF(LEFT(D84,4)*1&lt;LEFT('General inputs'!$I$16,4)*1,"",IF(LEFT(D84,4)*1&gt;LEFT('General inputs'!$I$16,4)+'General inputs'!$H$38-1,"",E84/(1+'General inputs'!$H$34)^C84))</f>
        <v>249.43984855440448</v>
      </c>
      <c r="J84" s="113"/>
      <c r="K84" s="113"/>
      <c r="L84" s="83" t="str">
        <f>IF(LEFT(D84,4)*1&gt;LEFT('General inputs'!$I$18,4)*1,"",SUMIF('Post-1996 commissioned assets'!$F$22:$F$901,$D84,'Post-1996 commissioned assets'!$P$22:$P$901)*(1+$K$34)*(1+$K$35))</f>
        <v/>
      </c>
      <c r="M84" s="83" t="str">
        <f>IF(L84="","",L84/(1+'General inputs'!$H$32)^C84)</f>
        <v/>
      </c>
      <c r="N84" s="83">
        <f>IF(LEFT(D84,4)*1&lt;LEFT('General inputs'!$I$18,4)*1+1,"",SUMIF('Uncommissioned assets'!$F$22:$F$300,$D84,'Uncommissioned assets'!$P$22:$P$300))</f>
        <v>0</v>
      </c>
      <c r="O84" s="83">
        <f>IF(N84="","",N84/(1+'General inputs'!$H$32)^C84)</f>
        <v>0</v>
      </c>
      <c r="Q84" s="88">
        <f>'Reduction amount'!P57</f>
        <v>13204170.400542967</v>
      </c>
      <c r="R84" s="83">
        <f>IF(OR(LEFT(D84,4)*1&lt;LEFT('General inputs'!$I$16,4)*1,LEFT(D84,4)*1&gt;LEFT('General inputs'!$I$16,4)+'General inputs'!$H$38-1),"",Q84/(1+'General inputs'!$H$34)^C84)</f>
        <v>6296398.0964056505</v>
      </c>
      <c r="T84" s="88">
        <f>'Reduction amount'!J57</f>
        <v>11655300.225526128</v>
      </c>
      <c r="U84" s="83">
        <f>IF(OR(LEFT(D84,4)*1&lt;LEFT('General inputs'!$I$16,4)*1,LEFT(D84,4)*1&gt;LEFT('General inputs'!$I$16,4)+'General inputs'!$H$38-1),"",T84/(1+'General inputs'!$H$34)^C84)</f>
        <v>5557820.5920472937</v>
      </c>
      <c r="V84" s="56"/>
    </row>
    <row r="85" spans="2:22" x14ac:dyDescent="0.25">
      <c r="B85" s="55"/>
      <c r="C85" s="28">
        <f>IF(D85='General inputs'!$I$16,0,IF(D85&lt;'General inputs'!$I$16,C86-1,C84+1))</f>
        <v>19</v>
      </c>
      <c r="D85" s="28" t="str">
        <f t="shared" si="1"/>
        <v>2041-42</v>
      </c>
      <c r="E85" s="83">
        <f>IF(LEFT(D85,4)*1&gt;LEFT('General inputs'!$I$16,4)+'General inputs'!$H$38-1,"",'ET inputs'!D58)</f>
        <v>529.78944025530507</v>
      </c>
      <c r="F85" s="83">
        <f>IF(LEFT(D85,4)*1&gt;LEFT('General inputs'!$I$16,4)+'General inputs'!$H$38-1,"",E85/(1+'General inputs'!$H$30)^C85)</f>
        <v>302.13151493011162</v>
      </c>
      <c r="G85" s="83">
        <f>IF(LEFT(D85,4)*1&gt;LEFT('General inputs'!$I$16,4)+'General inputs'!$H$38-1,"",E85/(1+'General inputs'!$H$32)^C85)</f>
        <v>242.44690107911106</v>
      </c>
      <c r="H85" s="83">
        <f>IF(LEFT(D85,4)*1&lt;LEFT('General inputs'!$I$16,4)*1,"",IF(LEFT(D85,4)*1&gt;LEFT('General inputs'!$I$16,4)+'General inputs'!$H$38-1,"",E85/(1+'General inputs'!$H$34)^C85))</f>
        <v>242.44690107911106</v>
      </c>
      <c r="J85" s="113"/>
      <c r="K85" s="113"/>
      <c r="L85" s="83" t="str">
        <f>IF(LEFT(D85,4)*1&gt;LEFT('General inputs'!$I$18,4)*1,"",SUMIF('Post-1996 commissioned assets'!$F$22:$F$901,$D85,'Post-1996 commissioned assets'!$P$22:$P$901)*(1+$K$34)*(1+$K$35))</f>
        <v/>
      </c>
      <c r="M85" s="83" t="str">
        <f>IF(L85="","",L85/(1+'General inputs'!$H$32)^C85)</f>
        <v/>
      </c>
      <c r="N85" s="83">
        <f>IF(LEFT(D85,4)*1&lt;LEFT('General inputs'!$I$18,4)*1+1,"",SUMIF('Uncommissioned assets'!$F$22:$F$300,$D85,'Uncommissioned assets'!$P$22:$P$300))</f>
        <v>0</v>
      </c>
      <c r="O85" s="83">
        <f>IF(N85="","",N85/(1+'General inputs'!$H$32)^C85)</f>
        <v>0</v>
      </c>
      <c r="Q85" s="88">
        <f>'Reduction amount'!P58</f>
        <v>13966812.461144391</v>
      </c>
      <c r="R85" s="83">
        <f>IF(OR(LEFT(D85,4)*1&lt;LEFT('General inputs'!$I$16,4)*1,LEFT(D85,4)*1&gt;LEFT('General inputs'!$I$16,4)+'General inputs'!$H$38-1),"",Q85/(1+'General inputs'!$H$34)^C85)</f>
        <v>6391615.50204881</v>
      </c>
      <c r="T85" s="88">
        <f>'Reduction amount'!J58</f>
        <v>12279198.337340264</v>
      </c>
      <c r="U85" s="83">
        <f>IF(OR(LEFT(D85,4)*1&lt;LEFT('General inputs'!$I$16,4)*1,LEFT(D85,4)*1&gt;LEFT('General inputs'!$I$16,4)+'General inputs'!$H$38-1),"",T85/(1+'General inputs'!$H$34)^C85)</f>
        <v>5619314.6907369094</v>
      </c>
      <c r="V85" s="56"/>
    </row>
    <row r="86" spans="2:22" x14ac:dyDescent="0.25">
      <c r="B86" s="55"/>
      <c r="C86" s="28">
        <f>IF(D86='General inputs'!$I$16,0,IF(D86&lt;'General inputs'!$I$16,C87-1,C85+1))</f>
        <v>20</v>
      </c>
      <c r="D86" s="28" t="str">
        <f t="shared" si="1"/>
        <v>2042-43</v>
      </c>
      <c r="E86" s="83">
        <f>IF(LEFT(D86,4)*1&gt;LEFT('General inputs'!$I$16,4)+'General inputs'!$H$38-1,"",'ET inputs'!D59)</f>
        <v>532.39444855760439</v>
      </c>
      <c r="F86" s="83">
        <f>IF(LEFT(D86,4)*1&gt;LEFT('General inputs'!$I$16,4)+'General inputs'!$H$38-1,"",E86/(1+'General inputs'!$H$30)^C86)</f>
        <v>294.7738978297495</v>
      </c>
      <c r="G86" s="83">
        <f>IF(LEFT(D86,4)*1&gt;LEFT('General inputs'!$I$16,4)+'General inputs'!$H$38-1,"",E86/(1+'General inputs'!$H$32)^C86)</f>
        <v>233.81864479777886</v>
      </c>
      <c r="H86" s="83">
        <f>IF(LEFT(D86,4)*1&lt;LEFT('General inputs'!$I$16,4)*1,"",IF(LEFT(D86,4)*1&gt;LEFT('General inputs'!$I$16,4)+'General inputs'!$H$38-1,"",E86/(1+'General inputs'!$H$34)^C86))</f>
        <v>233.81864479777886</v>
      </c>
      <c r="J86" s="113"/>
      <c r="K86" s="113"/>
      <c r="L86" s="83" t="str">
        <f>IF(LEFT(D86,4)*1&gt;LEFT('General inputs'!$I$18,4)*1,"",SUMIF('Post-1996 commissioned assets'!$F$22:$F$901,$D86,'Post-1996 commissioned assets'!$P$22:$P$901)*(1+$K$34)*(1+$K$35))</f>
        <v/>
      </c>
      <c r="M86" s="83" t="str">
        <f>IF(L86="","",L86/(1+'General inputs'!$H$32)^C86)</f>
        <v/>
      </c>
      <c r="N86" s="83">
        <f>IF(LEFT(D86,4)*1&lt;LEFT('General inputs'!$I$18,4)*1+1,"",SUMIF('Uncommissioned assets'!$F$22:$F$300,$D86,'Uncommissioned assets'!$P$22:$P$300))</f>
        <v>0</v>
      </c>
      <c r="O86" s="83">
        <f>IF(N86="","",N86/(1+'General inputs'!$H$32)^C86)</f>
        <v>0</v>
      </c>
      <c r="Q86" s="88">
        <f>'Reduction amount'!P59</f>
        <v>14707211.906978624</v>
      </c>
      <c r="R86" s="83">
        <f>IF(OR(LEFT(D86,4)*1&lt;LEFT('General inputs'!$I$16,4)*1,LEFT(D86,4)*1&gt;LEFT('General inputs'!$I$16,4)+'General inputs'!$H$38-1),"",Q86/(1+'General inputs'!$H$34)^C86)</f>
        <v>6459158.9303009473</v>
      </c>
      <c r="T86" s="88">
        <f>'Reduction amount'!J59</f>
        <v>12875188.329054244</v>
      </c>
      <c r="U86" s="83">
        <f>IF(OR(LEFT(D86,4)*1&lt;LEFT('General inputs'!$I$16,4)*1,LEFT(D86,4)*1&gt;LEFT('General inputs'!$I$16,4)+'General inputs'!$H$38-1),"",T86/(1+'General inputs'!$H$34)^C86)</f>
        <v>5654565.1345008612</v>
      </c>
      <c r="V86" s="56"/>
    </row>
    <row r="87" spans="2:22" x14ac:dyDescent="0.25">
      <c r="B87" s="55"/>
      <c r="C87" s="28">
        <f>IF(D87='General inputs'!$I$16,0,IF(D87&lt;'General inputs'!$I$16,C88-1,C86+1))</f>
        <v>21</v>
      </c>
      <c r="D87" s="28" t="str">
        <f t="shared" si="1"/>
        <v>2043-44</v>
      </c>
      <c r="E87" s="83">
        <f>IF(LEFT(D87,4)*1&gt;LEFT('General inputs'!$I$16,4)+'General inputs'!$H$38-1,"",'ET inputs'!D60)</f>
        <v>534.77432656422343</v>
      </c>
      <c r="F87" s="83">
        <f>IF(LEFT(D87,4)*1&gt;LEFT('General inputs'!$I$16,4)+'General inputs'!$H$38-1,"",E87/(1+'General inputs'!$H$30)^C87)</f>
        <v>287.4675520193552</v>
      </c>
      <c r="G87" s="83">
        <f>IF(LEFT(D87,4)*1&gt;LEFT('General inputs'!$I$16,4)+'General inputs'!$H$38-1,"",E87/(1+'General inputs'!$H$32)^C87)</f>
        <v>225.39716602724815</v>
      </c>
      <c r="H87" s="83">
        <f>IF(LEFT(D87,4)*1&lt;LEFT('General inputs'!$I$16,4)*1,"",IF(LEFT(D87,4)*1&gt;LEFT('General inputs'!$I$16,4)+'General inputs'!$H$38-1,"",E87/(1+'General inputs'!$H$34)^C87))</f>
        <v>225.39716602724815</v>
      </c>
      <c r="J87" s="113"/>
      <c r="K87" s="113"/>
      <c r="L87" s="83" t="str">
        <f>IF(LEFT(D87,4)*1&gt;LEFT('General inputs'!$I$18,4)*1,"",SUMIF('Post-1996 commissioned assets'!$F$22:$F$901,$D87,'Post-1996 commissioned assets'!$P$22:$P$901)*(1+$K$34)*(1+$K$35))</f>
        <v/>
      </c>
      <c r="M87" s="83" t="str">
        <f>IF(L87="","",L87/(1+'General inputs'!$H$32)^C87)</f>
        <v/>
      </c>
      <c r="N87" s="83">
        <f>IF(LEFT(D87,4)*1&lt;LEFT('General inputs'!$I$18,4)*1+1,"",SUMIF('Uncommissioned assets'!$F$22:$F$300,$D87,'Uncommissioned assets'!$P$22:$P$300))</f>
        <v>0</v>
      </c>
      <c r="O87" s="83">
        <f>IF(N87="","",N87/(1+'General inputs'!$H$32)^C87)</f>
        <v>0</v>
      </c>
      <c r="Q87" s="88">
        <f>'Reduction amount'!P60</f>
        <v>15439893.389334323</v>
      </c>
      <c r="R87" s="83">
        <f>IF(OR(LEFT(D87,4)*1&lt;LEFT('General inputs'!$I$16,4)*1,LEFT(D87,4)*1&gt;LEFT('General inputs'!$I$16,4)+'General inputs'!$H$38-1),"",Q87/(1+'General inputs'!$H$34)^C87)</f>
        <v>6507620.2069712812</v>
      </c>
      <c r="T87" s="88">
        <f>'Reduction amount'!J60</f>
        <v>13460052.201605964</v>
      </c>
      <c r="U87" s="83">
        <f>IF(OR(LEFT(D87,4)*1&lt;LEFT('General inputs'!$I$16,4)*1,LEFT(D87,4)*1&gt;LEFT('General inputs'!$I$16,4)+'General inputs'!$H$38-1),"",T87/(1+'General inputs'!$H$34)^C87)</f>
        <v>5673154.9554977687</v>
      </c>
      <c r="V87" s="56"/>
    </row>
    <row r="88" spans="2:22" x14ac:dyDescent="0.25">
      <c r="B88" s="55"/>
      <c r="C88" s="28">
        <f>IF(D88='General inputs'!$I$16,0,IF(D88&lt;'General inputs'!$I$16,C89-1,C87+1))</f>
        <v>22</v>
      </c>
      <c r="D88" s="28" t="str">
        <f t="shared" si="1"/>
        <v>2044-45</v>
      </c>
      <c r="E88" s="83">
        <f>IF(LEFT(D88,4)*1&gt;LEFT('General inputs'!$I$16,4)+'General inputs'!$H$38-1,"",'ET inputs'!D61)</f>
        <v>537.15420457084258</v>
      </c>
      <c r="F88" s="83">
        <f>IF(LEFT(D88,4)*1&gt;LEFT('General inputs'!$I$16,4)+'General inputs'!$H$38-1,"",E88/(1+'General inputs'!$H$30)^C88)</f>
        <v>280.33675118307298</v>
      </c>
      <c r="G88" s="83">
        <f>IF(LEFT(D88,4)*1&gt;LEFT('General inputs'!$I$16,4)+'General inputs'!$H$38-1,"",E88/(1+'General inputs'!$H$32)^C88)</f>
        <v>217.27470168748113</v>
      </c>
      <c r="H88" s="83">
        <f>IF(LEFT(D88,4)*1&lt;LEFT('General inputs'!$I$16,4)*1,"",IF(LEFT(D88,4)*1&gt;LEFT('General inputs'!$I$16,4)+'General inputs'!$H$38-1,"",E88/(1+'General inputs'!$H$34)^C88))</f>
        <v>217.27470168748113</v>
      </c>
      <c r="J88" s="113"/>
      <c r="K88" s="113"/>
      <c r="L88" s="83" t="str">
        <f>IF(LEFT(D88,4)*1&gt;LEFT('General inputs'!$I$18,4)*1,"",SUMIF('Post-1996 commissioned assets'!$F$22:$F$901,$D88,'Post-1996 commissioned assets'!$P$22:$P$901)*(1+$K$34)*(1+$K$35))</f>
        <v/>
      </c>
      <c r="M88" s="83" t="str">
        <f>IF(L88="","",L88/(1+'General inputs'!$H$32)^C88)</f>
        <v/>
      </c>
      <c r="N88" s="83">
        <f>IF(LEFT(D88,4)*1&lt;LEFT('General inputs'!$I$18,4)*1+1,"",SUMIF('Uncommissioned assets'!$F$22:$F$300,$D88,'Uncommissioned assets'!$P$22:$P$300))</f>
        <v>0</v>
      </c>
      <c r="O88" s="83">
        <f>IF(N88="","",N88/(1+'General inputs'!$H$32)^C88)</f>
        <v>0</v>
      </c>
      <c r="Q88" s="88">
        <f>'Reduction amount'!P61</f>
        <v>16165169.85248052</v>
      </c>
      <c r="R88" s="83">
        <f>IF(OR(LEFT(D88,4)*1&lt;LEFT('General inputs'!$I$16,4)*1,LEFT(D88,4)*1&gt;LEFT('General inputs'!$I$16,4)+'General inputs'!$H$38-1),"",Q88/(1+'General inputs'!$H$34)^C88)</f>
        <v>6538685.5907258391</v>
      </c>
      <c r="T88" s="88">
        <f>'Reduction amount'!J61</f>
        <v>14030534.372735128</v>
      </c>
      <c r="U88" s="83">
        <f>IF(OR(LEFT(D88,4)*1&lt;LEFT('General inputs'!$I$16,4)*1,LEFT(D88,4)*1&gt;LEFT('General inputs'!$I$16,4)+'General inputs'!$H$38-1),"",T88/(1+'General inputs'!$H$34)^C88)</f>
        <v>5675242.1267698109</v>
      </c>
      <c r="V88" s="56"/>
    </row>
    <row r="89" spans="2:22" x14ac:dyDescent="0.25">
      <c r="B89" s="55"/>
      <c r="C89" s="28">
        <f>IF(D89='General inputs'!$I$16,0,IF(D89&lt;'General inputs'!$I$16,C90-1,C88+1))</f>
        <v>23</v>
      </c>
      <c r="D89" s="28" t="str">
        <f t="shared" si="1"/>
        <v>2045-46</v>
      </c>
      <c r="E89" s="83">
        <f>IF(LEFT(D89,4)*1&gt;LEFT('General inputs'!$I$16,4)+'General inputs'!$H$38-1,"",'ET inputs'!D62)</f>
        <v>544.52964215436327</v>
      </c>
      <c r="F89" s="83">
        <f>IF(LEFT(D89,4)*1&gt;LEFT('General inputs'!$I$16,4)+'General inputs'!$H$38-1,"",E89/(1+'General inputs'!$H$30)^C89)</f>
        <v>275.90867645499031</v>
      </c>
      <c r="G89" s="83">
        <f>IF(LEFT(D89,4)*1&gt;LEFT('General inputs'!$I$16,4)+'General inputs'!$H$38-1,"",E89/(1+'General inputs'!$H$32)^C89)</f>
        <v>211.38004690762017</v>
      </c>
      <c r="H89" s="83">
        <f>IF(LEFT(D89,4)*1&lt;LEFT('General inputs'!$I$16,4)*1,"",IF(LEFT(D89,4)*1&gt;LEFT('General inputs'!$I$16,4)+'General inputs'!$H$38-1,"",E89/(1+'General inputs'!$H$34)^C89))</f>
        <v>211.38004690762017</v>
      </c>
      <c r="J89" s="113"/>
      <c r="K89" s="113"/>
      <c r="L89" s="83" t="str">
        <f>IF(LEFT(D89,4)*1&gt;LEFT('General inputs'!$I$18,4)*1,"",SUMIF('Post-1996 commissioned assets'!$F$22:$F$901,$D89,'Post-1996 commissioned assets'!$P$22:$P$901)*(1+$K$34)*(1+$K$35))</f>
        <v/>
      </c>
      <c r="M89" s="83" t="str">
        <f>IF(L89="","",L89/(1+'General inputs'!$H$32)^C89)</f>
        <v/>
      </c>
      <c r="N89" s="83">
        <f>IF(LEFT(D89,4)*1&lt;LEFT('General inputs'!$I$18,4)*1+1,"",SUMIF('Uncommissioned assets'!$F$22:$F$300,$D89,'Uncommissioned assets'!$P$22:$P$300))</f>
        <v>0</v>
      </c>
      <c r="O89" s="83">
        <f>IF(N89="","",N89/(1+'General inputs'!$H$32)^C89)</f>
        <v>0</v>
      </c>
      <c r="Q89" s="88">
        <f>'Reduction amount'!P62</f>
        <v>16904352.238527354</v>
      </c>
      <c r="R89" s="83">
        <f>IF(OR(LEFT(D89,4)*1&lt;LEFT('General inputs'!$I$16,4)*1,LEFT(D89,4)*1&gt;LEFT('General inputs'!$I$16,4)+'General inputs'!$H$38-1),"",Q89/(1+'General inputs'!$H$34)^C89)</f>
        <v>6562072.093974093</v>
      </c>
      <c r="T89" s="88">
        <f>'Reduction amount'!J62</f>
        <v>14613073.693771075</v>
      </c>
      <c r="U89" s="83">
        <f>IF(OR(LEFT(D89,4)*1&lt;LEFT('General inputs'!$I$16,4)*1,LEFT(D89,4)*1&gt;LEFT('General inputs'!$I$16,4)+'General inputs'!$H$38-1),"",T89/(1+'General inputs'!$H$34)^C89)</f>
        <v>5672624.5253296895</v>
      </c>
      <c r="V89" s="56"/>
    </row>
    <row r="90" spans="2:22" x14ac:dyDescent="0.25">
      <c r="B90" s="55"/>
      <c r="C90" s="28">
        <f>IF(D90='General inputs'!$I$16,0,IF(D90&lt;'General inputs'!$I$16,C91-1,C89+1))</f>
        <v>24</v>
      </c>
      <c r="D90" s="28" t="str">
        <f t="shared" si="1"/>
        <v>2046-47</v>
      </c>
      <c r="E90" s="83">
        <f>IF(LEFT(D90,4)*1&gt;LEFT('General inputs'!$I$16,4)+'General inputs'!$H$38-1,"",'ET inputs'!D63)</f>
        <v>547.47768253417485</v>
      </c>
      <c r="F90" s="83">
        <f>IF(LEFT(D90,4)*1&gt;LEFT('General inputs'!$I$16,4)+'General inputs'!$H$38-1,"",E90/(1+'General inputs'!$H$30)^C90)</f>
        <v>269.32274193153245</v>
      </c>
      <c r="G90" s="83">
        <f>IF(LEFT(D90,4)*1&gt;LEFT('General inputs'!$I$16,4)+'General inputs'!$H$38-1,"",E90/(1+'General inputs'!$H$32)^C90)</f>
        <v>203.95819745640094</v>
      </c>
      <c r="H90" s="83">
        <f>IF(LEFT(D90,4)*1&lt;LEFT('General inputs'!$I$16,4)*1,"",IF(LEFT(D90,4)*1&gt;LEFT('General inputs'!$I$16,4)+'General inputs'!$H$38-1,"",E90/(1+'General inputs'!$H$34)^C90))</f>
        <v>203.95819745640094</v>
      </c>
      <c r="J90" s="113"/>
      <c r="K90" s="113"/>
      <c r="L90" s="83" t="str">
        <f>IF(LEFT(D90,4)*1&gt;LEFT('General inputs'!$I$18,4)*1,"",SUMIF('Post-1996 commissioned assets'!$F$22:$F$901,$D90,'Post-1996 commissioned assets'!$P$22:$P$901)*(1+$K$34)*(1+$K$35))</f>
        <v/>
      </c>
      <c r="M90" s="83" t="str">
        <f>IF(L90="","",L90/(1+'General inputs'!$H$32)^C90)</f>
        <v/>
      </c>
      <c r="N90" s="83">
        <f>IF(LEFT(D90,4)*1&lt;LEFT('General inputs'!$I$18,4)*1+1,"",SUMIF('Uncommissioned assets'!$F$22:$F$300,$D90,'Uncommissioned assets'!$P$22:$P$300))</f>
        <v>0</v>
      </c>
      <c r="O90" s="83">
        <f>IF(N90="","",N90/(1+'General inputs'!$H$32)^C90)</f>
        <v>0</v>
      </c>
      <c r="Q90" s="88">
        <f>'Reduction amount'!P63</f>
        <v>17646036.035247687</v>
      </c>
      <c r="R90" s="83">
        <f>IF(OR(LEFT(D90,4)*1&lt;LEFT('General inputs'!$I$16,4)*1,LEFT(D90,4)*1&gt;LEFT('General inputs'!$I$16,4)+'General inputs'!$H$38-1),"",Q90/(1+'General inputs'!$H$34)^C90)</f>
        <v>6573882.0354109192</v>
      </c>
      <c r="T90" s="88">
        <f>'Reduction amount'!J63</f>
        <v>15195794.137199303</v>
      </c>
      <c r="U90" s="83">
        <f>IF(OR(LEFT(D90,4)*1&lt;LEFT('General inputs'!$I$16,4)*1,LEFT(D90,4)*1&gt;LEFT('General inputs'!$I$16,4)+'General inputs'!$H$38-1),"",T90/(1+'General inputs'!$H$34)^C90)</f>
        <v>5661065.0625895588</v>
      </c>
      <c r="V90" s="56"/>
    </row>
    <row r="91" spans="2:22" x14ac:dyDescent="0.25">
      <c r="B91" s="55"/>
      <c r="C91" s="28">
        <f>IF(D91='General inputs'!$I$16,0,IF(D91&lt;'General inputs'!$I$16,C92-1,C90+1))</f>
        <v>25</v>
      </c>
      <c r="D91" s="28" t="str">
        <f t="shared" si="1"/>
        <v>2047-48</v>
      </c>
      <c r="E91" s="83">
        <f>IF(LEFT(D91,4)*1&gt;LEFT('General inputs'!$I$16,4)+'General inputs'!$H$38-1,"",'ET inputs'!D64)</f>
        <v>549.51452846328175</v>
      </c>
      <c r="F91" s="83">
        <f>IF(LEFT(D91,4)*1&gt;LEFT('General inputs'!$I$16,4)+'General inputs'!$H$38-1,"",E91/(1+'General inputs'!$H$30)^C91)</f>
        <v>262.45119918425814</v>
      </c>
      <c r="G91" s="83">
        <f>IF(LEFT(D91,4)*1&gt;LEFT('General inputs'!$I$16,4)+'General inputs'!$H$38-1,"",E91/(1+'General inputs'!$H$32)^C91)</f>
        <v>196.46545800802477</v>
      </c>
      <c r="H91" s="83">
        <f>IF(LEFT(D91,4)*1&lt;LEFT('General inputs'!$I$16,4)*1,"",IF(LEFT(D91,4)*1&gt;LEFT('General inputs'!$I$16,4)+'General inputs'!$H$38-1,"",E91/(1+'General inputs'!$H$34)^C91))</f>
        <v>196.46545800802477</v>
      </c>
      <c r="J91" s="113"/>
      <c r="K91" s="113"/>
      <c r="L91" s="83" t="str">
        <f>IF(LEFT(D91,4)*1&gt;LEFT('General inputs'!$I$18,4)*1,"",SUMIF('Post-1996 commissioned assets'!$F$22:$F$901,$D91,'Post-1996 commissioned assets'!$P$22:$P$901)*(1+$K$34)*(1+$K$35))</f>
        <v/>
      </c>
      <c r="M91" s="83" t="str">
        <f>IF(L91="","",L91/(1+'General inputs'!$H$32)^C91)</f>
        <v/>
      </c>
      <c r="N91" s="83">
        <f>IF(LEFT(D91,4)*1&lt;LEFT('General inputs'!$I$18,4)*1+1,"",SUMIF('Uncommissioned assets'!$F$22:$F$300,$D91,'Uncommissioned assets'!$P$22:$P$300))</f>
        <v>0</v>
      </c>
      <c r="O91" s="83">
        <f>IF(N91="","",N91/(1+'General inputs'!$H$32)^C91)</f>
        <v>0</v>
      </c>
      <c r="Q91" s="88">
        <f>'Reduction amount'!P64</f>
        <v>18391311.55860414</v>
      </c>
      <c r="R91" s="83">
        <f>IF(OR(LEFT(D91,4)*1&lt;LEFT('General inputs'!$I$16,4)*1,LEFT(D91,4)*1&gt;LEFT('General inputs'!$I$16,4)+'General inputs'!$H$38-1),"",Q91/(1+'General inputs'!$H$34)^C91)</f>
        <v>6575362.9095738782</v>
      </c>
      <c r="T91" s="88">
        <f>'Reduction amount'!J64</f>
        <v>15775573.76404535</v>
      </c>
      <c r="U91" s="83">
        <f>IF(OR(LEFT(D91,4)*1&lt;LEFT('General inputs'!$I$16,4)*1,LEFT(D91,4)*1&gt;LEFT('General inputs'!$I$16,4)+'General inputs'!$H$38-1),"",T91/(1+'General inputs'!$H$34)^C91)</f>
        <v>5640169.9397464534</v>
      </c>
      <c r="V91" s="56"/>
    </row>
    <row r="92" spans="2:22" x14ac:dyDescent="0.25">
      <c r="B92" s="55"/>
      <c r="C92" s="28">
        <f>IF(D92='General inputs'!$I$16,0,IF(D92&lt;'General inputs'!$I$16,C93-1,C91+1))</f>
        <v>26</v>
      </c>
      <c r="D92" s="28" t="str">
        <f t="shared" si="1"/>
        <v>2048-49</v>
      </c>
      <c r="E92" s="83">
        <f>IF(LEFT(D92,4)*1&gt;LEFT('General inputs'!$I$16,4)+'General inputs'!$H$38-1,"",'ET inputs'!D65)</f>
        <v>551.55137439238865</v>
      </c>
      <c r="F92" s="83">
        <f>IF(LEFT(D92,4)*1&gt;LEFT('General inputs'!$I$16,4)+'General inputs'!$H$38-1,"",E92/(1+'General inputs'!$H$30)^C92)</f>
        <v>255.75146421721118</v>
      </c>
      <c r="G92" s="83">
        <f>IF(LEFT(D92,4)*1&gt;LEFT('General inputs'!$I$16,4)+'General inputs'!$H$38-1,"",E92/(1+'General inputs'!$H$32)^C92)</f>
        <v>189.2453765572653</v>
      </c>
      <c r="H92" s="83">
        <f>IF(LEFT(D92,4)*1&lt;LEFT('General inputs'!$I$16,4)*1,"",IF(LEFT(D92,4)*1&gt;LEFT('General inputs'!$I$16,4)+'General inputs'!$H$38-1,"",E92/(1+'General inputs'!$H$34)^C92))</f>
        <v>189.2453765572653</v>
      </c>
      <c r="J92" s="113"/>
      <c r="K92" s="113"/>
      <c r="L92" s="83" t="str">
        <f>IF(LEFT(D92,4)*1&gt;LEFT('General inputs'!$I$18,4)*1,"",SUMIF('Post-1996 commissioned assets'!$F$22:$F$901,$D92,'Post-1996 commissioned assets'!$P$22:$P$901)*(1+$K$34)*(1+$K$35))</f>
        <v/>
      </c>
      <c r="M92" s="83" t="str">
        <f>IF(L92="","",L92/(1+'General inputs'!$H$32)^C92)</f>
        <v/>
      </c>
      <c r="N92" s="83">
        <f>IF(LEFT(D92,4)*1&lt;LEFT('General inputs'!$I$18,4)*1+1,"",SUMIF('Uncommissioned assets'!$F$22:$F$300,$D92,'Uncommissioned assets'!$P$22:$P$300))</f>
        <v>0</v>
      </c>
      <c r="O92" s="83">
        <f>IF(N92="","",N92/(1+'General inputs'!$H$32)^C92)</f>
        <v>0</v>
      </c>
      <c r="Q92" s="88">
        <f>'Reduction amount'!P65</f>
        <v>19132119.126359835</v>
      </c>
      <c r="R92" s="83">
        <f>IF(OR(LEFT(D92,4)*1&lt;LEFT('General inputs'!$I$16,4)*1,LEFT(D92,4)*1&gt;LEFT('General inputs'!$I$16,4)+'General inputs'!$H$38-1),"",Q92/(1+'General inputs'!$H$34)^C92)</f>
        <v>6564511.0437719356</v>
      </c>
      <c r="T92" s="88">
        <f>'Reduction amount'!J65</f>
        <v>16345209.653914969</v>
      </c>
      <c r="U92" s="83">
        <f>IF(OR(LEFT(D92,4)*1&lt;LEFT('General inputs'!$I$16,4)*1,LEFT(D92,4)*1&gt;LEFT('General inputs'!$I$16,4)+'General inputs'!$H$38-1),"",T92/(1+'General inputs'!$H$34)^C92)</f>
        <v>5608281.4756290689</v>
      </c>
      <c r="V92" s="56"/>
    </row>
    <row r="93" spans="2:22" x14ac:dyDescent="0.25">
      <c r="B93" s="55"/>
      <c r="C93" s="28">
        <f>IF(D93='General inputs'!$I$16,0,IF(D93&lt;'General inputs'!$I$16,C94-1,C92+1))</f>
        <v>27</v>
      </c>
      <c r="D93" s="28" t="str">
        <f t="shared" si="1"/>
        <v>2049-50</v>
      </c>
      <c r="E93" s="83">
        <f>IF(LEFT(D93,4)*1&gt;LEFT('General inputs'!$I$16,4)+'General inputs'!$H$38-1,"",'ET inputs'!D66)</f>
        <v>553.36309002581493</v>
      </c>
      <c r="F93" s="83">
        <f>IF(LEFT(D93,4)*1&gt;LEFT('General inputs'!$I$16,4)+'General inputs'!$H$38-1,"",E93/(1+'General inputs'!$H$30)^C93)</f>
        <v>249.11800699422221</v>
      </c>
      <c r="G93" s="83">
        <f>IF(LEFT(D93,4)*1&gt;LEFT('General inputs'!$I$16,4)+'General inputs'!$H$38-1,"",E93/(1+'General inputs'!$H$32)^C93)</f>
        <v>182.21401420123419</v>
      </c>
      <c r="H93" s="83">
        <f>IF(LEFT(D93,4)*1&lt;LEFT('General inputs'!$I$16,4)*1,"",IF(LEFT(D93,4)*1&gt;LEFT('General inputs'!$I$16,4)+'General inputs'!$H$38-1,"",E93/(1+'General inputs'!$H$34)^C93))</f>
        <v>182.21401420123419</v>
      </c>
      <c r="J93" s="113"/>
      <c r="K93" s="113"/>
      <c r="L93" s="83" t="str">
        <f>IF(LEFT(D93,4)*1&gt;LEFT('General inputs'!$I$18,4)*1,"",SUMIF('Post-1996 commissioned assets'!$F$22:$F$901,$D93,'Post-1996 commissioned assets'!$P$22:$P$901)*(1+$K$34)*(1+$K$35))</f>
        <v/>
      </c>
      <c r="M93" s="83" t="str">
        <f>IF(L93="","",L93/(1+'General inputs'!$H$32)^C93)</f>
        <v/>
      </c>
      <c r="N93" s="83">
        <f>IF(LEFT(D93,4)*1&lt;LEFT('General inputs'!$I$18,4)*1+1,"",SUMIF('Uncommissioned assets'!$F$22:$F$300,$D93,'Uncommissioned assets'!$P$22:$P$300))</f>
        <v>0</v>
      </c>
      <c r="O93" s="83">
        <f>IF(N93="","",N93/(1+'General inputs'!$H$32)^C93)</f>
        <v>0</v>
      </c>
      <c r="Q93" s="88">
        <f>'Reduction amount'!P66</f>
        <v>19875709.600155726</v>
      </c>
      <c r="R93" s="83">
        <f>IF(OR(LEFT(D93,4)*1&lt;LEFT('General inputs'!$I$16,4)*1,LEFT(D93,4)*1&gt;LEFT('General inputs'!$I$16,4)+'General inputs'!$H$38-1),"",Q93/(1+'General inputs'!$H$34)^C93)</f>
        <v>6544767.6157320682</v>
      </c>
      <c r="T93" s="88">
        <f>'Reduction amount'!J66</f>
        <v>16911230.691280138</v>
      </c>
      <c r="U93" s="83">
        <f>IF(OR(LEFT(D93,4)*1&lt;LEFT('General inputs'!$I$16,4)*1,LEFT(D93,4)*1&gt;LEFT('General inputs'!$I$16,4)+'General inputs'!$H$38-1),"",T93/(1+'General inputs'!$H$34)^C93)</f>
        <v>5568609.9866138771</v>
      </c>
      <c r="V93" s="56"/>
    </row>
    <row r="94" spans="2:22" x14ac:dyDescent="0.25">
      <c r="B94" s="55"/>
      <c r="C94" s="28">
        <f>IF(D94='General inputs'!$I$16,0,IF(D94&lt;'General inputs'!$I$16,C95-1,C93+1))</f>
        <v>28</v>
      </c>
      <c r="D94" s="28" t="str">
        <f t="shared" si="1"/>
        <v>2050-51</v>
      </c>
      <c r="E94" s="83">
        <f>IF(LEFT(D94,4)*1&gt;LEFT('General inputs'!$I$16,4)+'General inputs'!$H$38-1,"",'ET inputs'!D67)</f>
        <v>555.17480565924143</v>
      </c>
      <c r="F94" s="83">
        <f>IF(LEFT(D94,4)*1&gt;LEFT('General inputs'!$I$16,4)+'General inputs'!$H$38-1,"",E94/(1+'General inputs'!$H$30)^C94)</f>
        <v>242.65400149956326</v>
      </c>
      <c r="G94" s="83">
        <f>IF(LEFT(D94,4)*1&gt;LEFT('General inputs'!$I$16,4)+'General inputs'!$H$38-1,"",E94/(1+'General inputs'!$H$32)^C94)</f>
        <v>175.44201966367172</v>
      </c>
      <c r="H94" s="83">
        <f>IF(LEFT(D94,4)*1&lt;LEFT('General inputs'!$I$16,4)*1,"",IF(LEFT(D94,4)*1&gt;LEFT('General inputs'!$I$16,4)+'General inputs'!$H$38-1,"",E94/(1+'General inputs'!$H$34)^C94))</f>
        <v>175.44201966367172</v>
      </c>
      <c r="J94" s="113"/>
      <c r="K94" s="113"/>
      <c r="L94" s="83" t="str">
        <f>IF(LEFT(D94,4)*1&gt;LEFT('General inputs'!$I$18,4)*1,"",SUMIF('Post-1996 commissioned assets'!$F$22:$F$901,$D94,'Post-1996 commissioned assets'!$P$22:$P$901)*(1+$K$34)*(1+$K$35))</f>
        <v/>
      </c>
      <c r="M94" s="83" t="str">
        <f>IF(L94="","",L94/(1+'General inputs'!$H$32)^C94)</f>
        <v/>
      </c>
      <c r="N94" s="83">
        <f>IF(LEFT(D94,4)*1&lt;LEFT('General inputs'!$I$18,4)*1+1,"",SUMIF('Uncommissioned assets'!$F$22:$F$300,$D94,'Uncommissioned assets'!$P$22:$P$300))</f>
        <v>0</v>
      </c>
      <c r="O94" s="83">
        <f>IF(N94="","",N94/(1+'General inputs'!$H$32)^C94)</f>
        <v>0</v>
      </c>
      <c r="Q94" s="88">
        <f>'Reduction amount'!P67</f>
        <v>20626233.523166765</v>
      </c>
      <c r="R94" s="83">
        <f>IF(OR(LEFT(D94,4)*1&lt;LEFT('General inputs'!$I$16,4)*1,LEFT(D94,4)*1&gt;LEFT('General inputs'!$I$16,4)+'General inputs'!$H$38-1),"",Q94/(1+'General inputs'!$H$34)^C94)</f>
        <v>6518141.7284631263</v>
      </c>
      <c r="T94" s="88">
        <f>'Reduction amount'!J67</f>
        <v>17477382.273607239</v>
      </c>
      <c r="U94" s="83">
        <f>IF(OR(LEFT(D94,4)*1&lt;LEFT('General inputs'!$I$16,4)*1,LEFT(D94,4)*1&gt;LEFT('General inputs'!$I$16,4)+'General inputs'!$H$38-1),"",T94/(1+'General inputs'!$H$34)^C94)</f>
        <v>5523066.2725673839</v>
      </c>
      <c r="V94" s="56"/>
    </row>
    <row r="95" spans="2:22" x14ac:dyDescent="0.25">
      <c r="B95" s="55"/>
      <c r="C95" s="28">
        <f>IF(D95='General inputs'!$I$16,0,IF(D95&lt;'General inputs'!$I$16,C96-1,C94+1))</f>
        <v>29</v>
      </c>
      <c r="D95" s="28" t="str">
        <f t="shared" si="1"/>
        <v>2051-52</v>
      </c>
      <c r="E95" s="83">
        <f>IF(LEFT(D95,4)*1&gt;LEFT('General inputs'!$I$16,4)+'General inputs'!$H$38-1,"",'ET inputs'!D68)</f>
        <v>555.17480565924143</v>
      </c>
      <c r="F95" s="83">
        <f>IF(LEFT(D95,4)*1&gt;LEFT('General inputs'!$I$16,4)+'General inputs'!$H$38-1,"",E95/(1+'General inputs'!$H$30)^C95)</f>
        <v>235.58640922287697</v>
      </c>
      <c r="G95" s="83">
        <f>IF(LEFT(D95,4)*1&gt;LEFT('General inputs'!$I$16,4)+'General inputs'!$H$38-1,"",E95/(1+'General inputs'!$H$32)^C95)</f>
        <v>168.37046032981928</v>
      </c>
      <c r="H95" s="83">
        <f>IF(LEFT(D95,4)*1&lt;LEFT('General inputs'!$I$16,4)*1,"",IF(LEFT(D95,4)*1&gt;LEFT('General inputs'!$I$16,4)+'General inputs'!$H$38-1,"",E95/(1+'General inputs'!$H$34)^C95))</f>
        <v>168.37046032981928</v>
      </c>
      <c r="J95" s="113"/>
      <c r="K95" s="113"/>
      <c r="L95" s="83" t="str">
        <f>IF(LEFT(D95,4)*1&gt;LEFT('General inputs'!$I$18,4)*1,"",SUMIF('Post-1996 commissioned assets'!$F$22:$F$901,$D95,'Post-1996 commissioned assets'!$P$22:$P$901)*(1+$K$34)*(1+$K$35))</f>
        <v/>
      </c>
      <c r="M95" s="83" t="str">
        <f>IF(L95="","",L95/(1+'General inputs'!$H$32)^C95)</f>
        <v/>
      </c>
      <c r="N95" s="83">
        <f>IF(LEFT(D95,4)*1&lt;LEFT('General inputs'!$I$18,4)*1+1,"",SUMIF('Uncommissioned assets'!$F$22:$F$300,$D95,'Uncommissioned assets'!$P$22:$P$300))</f>
        <v>0</v>
      </c>
      <c r="O95" s="83">
        <f>IF(N95="","",N95/(1+'General inputs'!$H$32)^C95)</f>
        <v>0</v>
      </c>
      <c r="Q95" s="88">
        <f>'Reduction amount'!P68</f>
        <v>21379008.8679616</v>
      </c>
      <c r="R95" s="83">
        <f>IF(OR(LEFT(D95,4)*1&lt;LEFT('General inputs'!$I$16,4)*1,LEFT(D95,4)*1&gt;LEFT('General inputs'!$I$16,4)+'General inputs'!$H$38-1),"",Q95/(1+'General inputs'!$H$34)^C95)</f>
        <v>6483712.0269167321</v>
      </c>
      <c r="T95" s="88">
        <f>'Reduction amount'!J68</f>
        <v>18039929.752498243</v>
      </c>
      <c r="U95" s="83">
        <f>IF(OR(LEFT(D95,4)*1&lt;LEFT('General inputs'!$I$16,4)*1,LEFT(D95,4)*1&gt;LEFT('General inputs'!$I$16,4)+'General inputs'!$H$38-1),"",T95/(1+'General inputs'!$H$34)^C95)</f>
        <v>5471053.8839005614</v>
      </c>
      <c r="V95" s="56"/>
    </row>
    <row r="96" spans="2:22" x14ac:dyDescent="0.25">
      <c r="B96" s="55"/>
      <c r="C96" s="28">
        <f>IF(D96='General inputs'!$I$16,0,IF(D96&lt;'General inputs'!$I$16,C97-1,C95+1))</f>
        <v>30</v>
      </c>
      <c r="D96" s="28" t="str">
        <f t="shared" si="1"/>
        <v>2052-53</v>
      </c>
      <c r="E96" s="83" t="str">
        <f>IF(LEFT(D96,4)*1&gt;LEFT('General inputs'!$I$16,4)+'General inputs'!$H$38-1,"",'ET inputs'!D69)</f>
        <v/>
      </c>
      <c r="F96" s="83" t="str">
        <f>IF(LEFT(D96,4)*1&gt;LEFT('General inputs'!$I$16,4)+'General inputs'!$H$38-1,"",E96/(1+'General inputs'!$H$30)^C96)</f>
        <v/>
      </c>
      <c r="G96" s="83" t="str">
        <f>IF(LEFT(D96,4)*1&gt;LEFT('General inputs'!$I$16,4)+'General inputs'!$H$38-1,"",E96/(1+'General inputs'!$H$32)^C96)</f>
        <v/>
      </c>
      <c r="H96" s="83" t="str">
        <f>IF(LEFT(D96,4)*1&lt;LEFT('General inputs'!$I$16,4)*1,"",IF(LEFT(D96,4)*1&gt;LEFT('General inputs'!$I$16,4)+'General inputs'!$H$38-1,"",E96/(1+'General inputs'!$H$34)^C96))</f>
        <v/>
      </c>
      <c r="J96" s="113"/>
      <c r="K96" s="113"/>
      <c r="L96" s="83" t="str">
        <f>IF(LEFT(D96,4)*1&gt;LEFT('General inputs'!$I$18,4)*1,"",SUMIF('Post-1996 commissioned assets'!$F$22:$F$901,$D96,'Post-1996 commissioned assets'!$P$22:$P$901)*(1+$K$34)*(1+$K$35))</f>
        <v/>
      </c>
      <c r="M96" s="83" t="str">
        <f>IF(L96="","",L96/(1+'General inputs'!$H$32)^C96)</f>
        <v/>
      </c>
      <c r="N96" s="83">
        <f>IF(LEFT(D96,4)*1&lt;LEFT('General inputs'!$I$18,4)*1+1,"",SUMIF('Uncommissioned assets'!$F$22:$F$300,$D96,'Uncommissioned assets'!$P$22:$P$300))</f>
        <v>0</v>
      </c>
      <c r="O96" s="83">
        <f>IF(N96="","",N96/(1+'General inputs'!$H$32)^C96)</f>
        <v>0</v>
      </c>
      <c r="Q96" s="39"/>
      <c r="R96" s="83" t="str">
        <f>IF(OR(LEFT(D96,4)*1&lt;LEFT('General inputs'!$I$16,4)*1,LEFT(D96,4)*1&gt;LEFT('General inputs'!$I$16,4)+'General inputs'!$H$38-1),"",Q96/(1+'General inputs'!$H$34)^C96)</f>
        <v/>
      </c>
      <c r="T96" s="39"/>
      <c r="U96" s="83" t="str">
        <f>IF(OR(LEFT(D96,4)*1&lt;LEFT('General inputs'!$I$16,4)*1,LEFT(D96,4)*1&gt;LEFT('General inputs'!$I$16,4)+'General inputs'!$H$38-1),"",T96/(1+'General inputs'!$H$34)^C96)</f>
        <v/>
      </c>
      <c r="V96" s="56"/>
    </row>
    <row r="97" spans="2:22" x14ac:dyDescent="0.25">
      <c r="B97" s="55"/>
      <c r="C97" s="28">
        <f>IF(D97='General inputs'!$I$16,0,IF(D97&lt;'General inputs'!$I$16,C98-1,C96+1))</f>
        <v>31</v>
      </c>
      <c r="D97" s="28" t="str">
        <f t="shared" si="1"/>
        <v>2053-54</v>
      </c>
      <c r="E97" s="83" t="str">
        <f>IF(LEFT(D97,4)*1&gt;LEFT('General inputs'!$I$16,4)+'General inputs'!$H$38-1,"",'ET inputs'!D70)</f>
        <v/>
      </c>
      <c r="F97" s="83" t="str">
        <f>IF(LEFT(D97,4)*1&gt;LEFT('General inputs'!$I$16,4)+'General inputs'!$H$38-1,"",E97/(1+'General inputs'!$H$30)^C97)</f>
        <v/>
      </c>
      <c r="G97" s="83" t="str">
        <f>IF(LEFT(D97,4)*1&gt;LEFT('General inputs'!$I$16,4)+'General inputs'!$H$38-1,"",E97/(1+'General inputs'!$H$32)^C97)</f>
        <v/>
      </c>
      <c r="H97" s="83" t="str">
        <f>IF(LEFT(D97,4)*1&lt;LEFT('General inputs'!$I$16,4)*1,"",IF(LEFT(D97,4)*1&gt;LEFT('General inputs'!$I$16,4)+'General inputs'!$H$38-1,"",E97/(1+'General inputs'!$H$34)^C97))</f>
        <v/>
      </c>
      <c r="J97" s="113"/>
      <c r="K97" s="113"/>
      <c r="L97" s="83" t="str">
        <f>IF(LEFT(D97,4)*1&gt;LEFT('General inputs'!$I$18,4)*1,"",SUMIF('Post-1996 commissioned assets'!$F$22:$F$901,$D97,'Post-1996 commissioned assets'!$P$22:$P$901)*(1+$K$34)*(1+$K$35))</f>
        <v/>
      </c>
      <c r="M97" s="83" t="str">
        <f>IF(L97="","",L97/(1+'General inputs'!$H$32)^C97)</f>
        <v/>
      </c>
      <c r="N97" s="83">
        <f>IF(LEFT(D97,4)*1&lt;LEFT('General inputs'!$I$18,4)*1+1,"",SUMIF('Uncommissioned assets'!$F$22:$F$300,$D97,'Uncommissioned assets'!$P$22:$P$300))</f>
        <v>0</v>
      </c>
      <c r="O97" s="83">
        <f>IF(N97="","",N97/(1+'General inputs'!$H$32)^C97)</f>
        <v>0</v>
      </c>
      <c r="Q97" s="39"/>
      <c r="R97" s="83" t="str">
        <f>IF(OR(LEFT(D97,4)*1&lt;LEFT('General inputs'!$I$16,4)*1,LEFT(D97,4)*1&gt;LEFT('General inputs'!$I$16,4)+'General inputs'!$H$38-1),"",Q97/(1+'General inputs'!$H$34)^C97)</f>
        <v/>
      </c>
      <c r="T97" s="39"/>
      <c r="U97" s="83" t="str">
        <f>IF(OR(LEFT(D97,4)*1&lt;LEFT('General inputs'!$I$16,4)*1,LEFT(D97,4)*1&gt;LEFT('General inputs'!$I$16,4)+'General inputs'!$H$38-1),"",T97/(1+'General inputs'!$H$34)^C97)</f>
        <v/>
      </c>
      <c r="V97" s="56"/>
    </row>
    <row r="98" spans="2:22" x14ac:dyDescent="0.25">
      <c r="B98" s="55"/>
      <c r="C98" s="28">
        <f>IF(D98='General inputs'!$I$16,0,IF(D98&lt;'General inputs'!$I$16,C99-1,C97+1))</f>
        <v>32</v>
      </c>
      <c r="D98" s="28" t="str">
        <f t="shared" si="1"/>
        <v>2054-55</v>
      </c>
      <c r="E98" s="83" t="str">
        <f>IF(LEFT(D98,4)*1&gt;LEFT('General inputs'!$I$16,4)+'General inputs'!$H$38-1,"",'ET inputs'!D71)</f>
        <v/>
      </c>
      <c r="F98" s="83" t="str">
        <f>IF(LEFT(D98,4)*1&gt;LEFT('General inputs'!$I$16,4)+'General inputs'!$H$38-1,"",E98/(1+'General inputs'!$H$30)^C98)</f>
        <v/>
      </c>
      <c r="G98" s="83" t="str">
        <f>IF(LEFT(D98,4)*1&gt;LEFT('General inputs'!$I$16,4)+'General inputs'!$H$38-1,"",E98/(1+'General inputs'!$H$32)^C98)</f>
        <v/>
      </c>
      <c r="H98" s="83" t="str">
        <f>IF(LEFT(D98,4)*1&lt;LEFT('General inputs'!$I$16,4)*1,"",IF(LEFT(D98,4)*1&gt;LEFT('General inputs'!$I$16,4)+'General inputs'!$H$38-1,"",E98/(1+'General inputs'!$H$34)^C98))</f>
        <v/>
      </c>
      <c r="J98" s="113"/>
      <c r="K98" s="113"/>
      <c r="L98" s="83" t="str">
        <f>IF(LEFT(D98,4)*1&gt;LEFT('General inputs'!$I$18,4)*1,"",SUMIF('Post-1996 commissioned assets'!$F$22:$F$901,$D98,'Post-1996 commissioned assets'!$P$22:$P$901)*(1+$K$34)*(1+$K$35))</f>
        <v/>
      </c>
      <c r="M98" s="83" t="str">
        <f>IF(L98="","",L98/(1+'General inputs'!$H$32)^C98)</f>
        <v/>
      </c>
      <c r="N98" s="83">
        <f>IF(LEFT(D98,4)*1&lt;LEFT('General inputs'!$I$18,4)*1+1,"",SUMIF('Uncommissioned assets'!$F$22:$F$300,$D98,'Uncommissioned assets'!$P$22:$P$300))</f>
        <v>0</v>
      </c>
      <c r="O98" s="83">
        <f>IF(N98="","",N98/(1+'General inputs'!$H$32)^C98)</f>
        <v>0</v>
      </c>
      <c r="Q98" s="39"/>
      <c r="R98" s="83" t="str">
        <f>IF(OR(LEFT(D98,4)*1&lt;LEFT('General inputs'!$I$16,4)*1,LEFT(D98,4)*1&gt;LEFT('General inputs'!$I$16,4)+'General inputs'!$H$38-1),"",Q98/(1+'General inputs'!$H$34)^C98)</f>
        <v/>
      </c>
      <c r="T98" s="39"/>
      <c r="U98" s="83" t="str">
        <f>IF(OR(LEFT(D98,4)*1&lt;LEFT('General inputs'!$I$16,4)*1,LEFT(D98,4)*1&gt;LEFT('General inputs'!$I$16,4)+'General inputs'!$H$38-1),"",T98/(1+'General inputs'!$H$34)^C98)</f>
        <v/>
      </c>
      <c r="V98" s="56"/>
    </row>
    <row r="99" spans="2:22" x14ac:dyDescent="0.25">
      <c r="B99" s="55"/>
      <c r="C99" s="28">
        <f>IF(D99='General inputs'!$I$16,0,IF(D99&lt;'General inputs'!$I$16,C100-1,C98+1))</f>
        <v>33</v>
      </c>
      <c r="D99" s="28" t="str">
        <f t="shared" si="1"/>
        <v>2055-56</v>
      </c>
      <c r="E99" s="83" t="str">
        <f>IF(LEFT(D99,4)*1&gt;LEFT('General inputs'!$I$16,4)+'General inputs'!$H$38-1,"",'ET inputs'!D72)</f>
        <v/>
      </c>
      <c r="F99" s="83" t="str">
        <f>IF(LEFT(D99,4)*1&gt;LEFT('General inputs'!$I$16,4)+'General inputs'!$H$38-1,"",E99/(1+'General inputs'!$H$30)^C99)</f>
        <v/>
      </c>
      <c r="G99" s="83" t="str">
        <f>IF(LEFT(D99,4)*1&gt;LEFT('General inputs'!$I$16,4)+'General inputs'!$H$38-1,"",E99/(1+'General inputs'!$H$32)^C99)</f>
        <v/>
      </c>
      <c r="H99" s="83" t="str">
        <f>IF(LEFT(D99,4)*1&lt;LEFT('General inputs'!$I$16,4)*1,"",IF(LEFT(D99,4)*1&gt;LEFT('General inputs'!$I$16,4)+'General inputs'!$H$38-1,"",E99/(1+'General inputs'!$H$34)^C99))</f>
        <v/>
      </c>
      <c r="J99" s="113"/>
      <c r="K99" s="113"/>
      <c r="L99" s="83" t="str">
        <f>IF(LEFT(D99,4)*1&gt;LEFT('General inputs'!$I$18,4)*1,"",SUMIF('Post-1996 commissioned assets'!$F$22:$F$901,$D99,'Post-1996 commissioned assets'!$P$22:$P$901)*(1+$K$34)*(1+$K$35))</f>
        <v/>
      </c>
      <c r="M99" s="83" t="str">
        <f>IF(L99="","",L99/(1+'General inputs'!$H$32)^C99)</f>
        <v/>
      </c>
      <c r="N99" s="83">
        <f>IF(LEFT(D99,4)*1&lt;LEFT('General inputs'!$I$18,4)*1+1,"",SUMIF('Uncommissioned assets'!$F$22:$F$300,$D99,'Uncommissioned assets'!$P$22:$P$300))</f>
        <v>0</v>
      </c>
      <c r="O99" s="83">
        <f>IF(N99="","",N99/(1+'General inputs'!$H$32)^C99)</f>
        <v>0</v>
      </c>
      <c r="Q99" s="39"/>
      <c r="R99" s="83" t="str">
        <f>IF(OR(LEFT(D99,4)*1&lt;LEFT('General inputs'!$I$16,4)*1,LEFT(D99,4)*1&gt;LEFT('General inputs'!$I$16,4)+'General inputs'!$H$38-1),"",Q99/(1+'General inputs'!$H$34)^C99)</f>
        <v/>
      </c>
      <c r="T99" s="39"/>
      <c r="U99" s="83" t="str">
        <f>IF(OR(LEFT(D99,4)*1&lt;LEFT('General inputs'!$I$16,4)*1,LEFT(D99,4)*1&gt;LEFT('General inputs'!$I$16,4)+'General inputs'!$H$38-1),"",T99/(1+'General inputs'!$H$34)^C99)</f>
        <v/>
      </c>
      <c r="V99" s="56"/>
    </row>
    <row r="100" spans="2:22" x14ac:dyDescent="0.25">
      <c r="B100" s="55"/>
      <c r="C100" s="28">
        <f>IF(D100='General inputs'!$I$16,0,IF(D100&lt;'General inputs'!$I$16,C101-1,C99+1))</f>
        <v>34</v>
      </c>
      <c r="D100" s="28" t="str">
        <f t="shared" ref="D100:D122" si="3">LEFT(D99,4)+1&amp;"-"&amp;RIGHT(D99,2)+1</f>
        <v>2056-57</v>
      </c>
      <c r="E100" s="83" t="str">
        <f>IF(LEFT(D100,4)*1&gt;LEFT('General inputs'!$I$16,4)+'General inputs'!$H$38-1,"",'ET inputs'!D73)</f>
        <v/>
      </c>
      <c r="F100" s="83" t="str">
        <f>IF(LEFT(D100,4)*1&gt;LEFT('General inputs'!$I$16,4)+'General inputs'!$H$38-1,"",E100/(1+'General inputs'!$H$30)^C100)</f>
        <v/>
      </c>
      <c r="G100" s="83" t="str">
        <f>IF(LEFT(D100,4)*1&gt;LEFT('General inputs'!$I$16,4)+'General inputs'!$H$38-1,"",E100/(1+'General inputs'!$H$32)^C100)</f>
        <v/>
      </c>
      <c r="H100" s="83" t="str">
        <f>IF(LEFT(D100,4)*1&lt;LEFT('General inputs'!$I$16,4)*1,"",IF(LEFT(D100,4)*1&gt;LEFT('General inputs'!$I$16,4)+'General inputs'!$H$38-1,"",E100/(1+'General inputs'!$H$34)^C100))</f>
        <v/>
      </c>
      <c r="J100" s="113"/>
      <c r="K100" s="113"/>
      <c r="L100" s="83" t="str">
        <f>IF(LEFT(D100,4)*1&gt;LEFT('General inputs'!$I$18,4)*1,"",SUMIF('Post-1996 commissioned assets'!$F$22:$F$901,$D100,'Post-1996 commissioned assets'!$P$22:$P$901)*(1+$K$34)*(1+$K$35))</f>
        <v/>
      </c>
      <c r="M100" s="83" t="str">
        <f>IF(L100="","",L100/(1+'General inputs'!$H$32)^C100)</f>
        <v/>
      </c>
      <c r="N100" s="83">
        <f>IF(LEFT(D100,4)*1&lt;LEFT('General inputs'!$I$18,4)*1+1,"",SUMIF('Uncommissioned assets'!$F$22:$F$300,$D100,'Uncommissioned assets'!$P$22:$P$300))</f>
        <v>0</v>
      </c>
      <c r="O100" s="83">
        <f>IF(N100="","",N100/(1+'General inputs'!$H$32)^C100)</f>
        <v>0</v>
      </c>
      <c r="Q100" s="39"/>
      <c r="R100" s="83" t="str">
        <f>IF(OR(LEFT(D100,4)*1&lt;LEFT('General inputs'!$I$16,4)*1,LEFT(D100,4)*1&gt;LEFT('General inputs'!$I$16,4)+'General inputs'!$H$38-1),"",Q100/(1+'General inputs'!$H$34)^C100)</f>
        <v/>
      </c>
      <c r="T100" s="39"/>
      <c r="U100" s="83" t="str">
        <f>IF(OR(LEFT(D100,4)*1&lt;LEFT('General inputs'!$I$16,4)*1,LEFT(D100,4)*1&gt;LEFT('General inputs'!$I$16,4)+'General inputs'!$H$38-1),"",T100/(1+'General inputs'!$H$34)^C100)</f>
        <v/>
      </c>
      <c r="V100" s="56"/>
    </row>
    <row r="101" spans="2:22" x14ac:dyDescent="0.25">
      <c r="B101" s="55"/>
      <c r="C101" s="28">
        <f>IF(D101='General inputs'!$I$16,0,IF(D101&lt;'General inputs'!$I$16,C102-1,C100+1))</f>
        <v>35</v>
      </c>
      <c r="D101" s="28" t="str">
        <f t="shared" si="3"/>
        <v>2057-58</v>
      </c>
      <c r="E101" s="83" t="str">
        <f>IF(LEFT(D101,4)*1&gt;LEFT('General inputs'!$I$16,4)+'General inputs'!$H$38-1,"",'ET inputs'!D74)</f>
        <v/>
      </c>
      <c r="F101" s="83" t="str">
        <f>IF(LEFT(D101,4)*1&gt;LEFT('General inputs'!$I$16,4)+'General inputs'!$H$38-1,"",E101/(1+'General inputs'!$H$30)^C101)</f>
        <v/>
      </c>
      <c r="G101" s="83" t="str">
        <f>IF(LEFT(D101,4)*1&gt;LEFT('General inputs'!$I$16,4)+'General inputs'!$H$38-1,"",E101/(1+'General inputs'!$H$32)^C101)</f>
        <v/>
      </c>
      <c r="H101" s="83" t="str">
        <f>IF(LEFT(D101,4)*1&lt;LEFT('General inputs'!$I$16,4)*1,"",IF(LEFT(D101,4)*1&gt;LEFT('General inputs'!$I$16,4)+'General inputs'!$H$38-1,"",E101/(1+'General inputs'!$H$34)^C101))</f>
        <v/>
      </c>
      <c r="J101" s="113"/>
      <c r="K101" s="113"/>
      <c r="L101" s="83" t="str">
        <f>IF(LEFT(D101,4)*1&gt;LEFT('General inputs'!$I$18,4)*1,"",SUMIF('Post-1996 commissioned assets'!$F$22:$F$901,$D101,'Post-1996 commissioned assets'!$P$22:$P$901)*(1+$K$34)*(1+$K$35))</f>
        <v/>
      </c>
      <c r="M101" s="83" t="str">
        <f>IF(L101="","",L101/(1+'General inputs'!$H$32)^C101)</f>
        <v/>
      </c>
      <c r="N101" s="83">
        <f>IF(LEFT(D101,4)*1&lt;LEFT('General inputs'!$I$18,4)*1+1,"",SUMIF('Uncommissioned assets'!$F$22:$F$300,$D101,'Uncommissioned assets'!$P$22:$P$300))</f>
        <v>0</v>
      </c>
      <c r="O101" s="83">
        <f>IF(N101="","",N101/(1+'General inputs'!$H$32)^C101)</f>
        <v>0</v>
      </c>
      <c r="Q101" s="39"/>
      <c r="R101" s="83" t="str">
        <f>IF(OR(LEFT(D101,4)*1&lt;LEFT('General inputs'!$I$16,4)*1,LEFT(D101,4)*1&gt;LEFT('General inputs'!$I$16,4)+'General inputs'!$H$38-1),"",Q101/(1+'General inputs'!$H$34)^C101)</f>
        <v/>
      </c>
      <c r="T101" s="39"/>
      <c r="U101" s="83" t="str">
        <f>IF(OR(LEFT(D101,4)*1&lt;LEFT('General inputs'!$I$16,4)*1,LEFT(D101,4)*1&gt;LEFT('General inputs'!$I$16,4)+'General inputs'!$H$38-1),"",T101/(1+'General inputs'!$H$34)^C101)</f>
        <v/>
      </c>
      <c r="V101" s="56"/>
    </row>
    <row r="102" spans="2:22" x14ac:dyDescent="0.25">
      <c r="B102" s="55"/>
      <c r="C102" s="28">
        <f>IF(D102='General inputs'!$I$16,0,IF(D102&lt;'General inputs'!$I$16,C103-1,C101+1))</f>
        <v>36</v>
      </c>
      <c r="D102" s="28" t="str">
        <f t="shared" si="3"/>
        <v>2058-59</v>
      </c>
      <c r="E102" s="83" t="str">
        <f>IF(LEFT(D102,4)*1&gt;LEFT('General inputs'!$I$16,4)+'General inputs'!$H$38-1,"",'ET inputs'!D75)</f>
        <v/>
      </c>
      <c r="F102" s="83" t="str">
        <f>IF(LEFT(D102,4)*1&gt;LEFT('General inputs'!$I$16,4)+'General inputs'!$H$38-1,"",E102/(1+'General inputs'!$H$30)^C102)</f>
        <v/>
      </c>
      <c r="G102" s="83" t="str">
        <f>IF(LEFT(D102,4)*1&gt;LEFT('General inputs'!$I$16,4)+'General inputs'!$H$38-1,"",E102/(1+'General inputs'!$H$32)^C102)</f>
        <v/>
      </c>
      <c r="H102" s="83" t="str">
        <f>IF(LEFT(D102,4)*1&lt;LEFT('General inputs'!$I$16,4)*1,"",IF(LEFT(D102,4)*1&gt;LEFT('General inputs'!$I$16,4)+'General inputs'!$H$38-1,"",E102/(1+'General inputs'!$H$34)^C102))</f>
        <v/>
      </c>
      <c r="J102" s="113"/>
      <c r="K102" s="113"/>
      <c r="L102" s="83" t="str">
        <f>IF(LEFT(D102,4)*1&gt;LEFT('General inputs'!$I$18,4)*1,"",SUMIF('Post-1996 commissioned assets'!$F$22:$F$901,$D102,'Post-1996 commissioned assets'!$P$22:$P$901)*(1+$K$34)*(1+$K$35))</f>
        <v/>
      </c>
      <c r="M102" s="83" t="str">
        <f>IF(L102="","",L102/(1+'General inputs'!$H$32)^C102)</f>
        <v/>
      </c>
      <c r="N102" s="83">
        <f>IF(LEFT(D102,4)*1&lt;LEFT('General inputs'!$I$18,4)*1+1,"",SUMIF('Uncommissioned assets'!$F$22:$F$300,$D102,'Uncommissioned assets'!$P$22:$P$300))</f>
        <v>0</v>
      </c>
      <c r="O102" s="83">
        <f>IF(N102="","",N102/(1+'General inputs'!$H$32)^C102)</f>
        <v>0</v>
      </c>
      <c r="Q102" s="39"/>
      <c r="R102" s="83" t="str">
        <f>IF(OR(LEFT(D102,4)*1&lt;LEFT('General inputs'!$I$16,4)*1,LEFT(D102,4)*1&gt;LEFT('General inputs'!$I$16,4)+'General inputs'!$H$38-1),"",Q102/(1+'General inputs'!$H$34)^C102)</f>
        <v/>
      </c>
      <c r="T102" s="39"/>
      <c r="U102" s="83" t="str">
        <f>IF(OR(LEFT(D102,4)*1&lt;LEFT('General inputs'!$I$16,4)*1,LEFT(D102,4)*1&gt;LEFT('General inputs'!$I$16,4)+'General inputs'!$H$38-1),"",T102/(1+'General inputs'!$H$34)^C102)</f>
        <v/>
      </c>
      <c r="V102" s="56"/>
    </row>
    <row r="103" spans="2:22" x14ac:dyDescent="0.25">
      <c r="B103" s="55"/>
      <c r="C103" s="28">
        <f>IF(D103='General inputs'!$I$16,0,IF(D103&lt;'General inputs'!$I$16,C104-1,C102+1))</f>
        <v>37</v>
      </c>
      <c r="D103" s="28" t="str">
        <f t="shared" si="3"/>
        <v>2059-60</v>
      </c>
      <c r="E103" s="83" t="str">
        <f>IF(LEFT(D103,4)*1&gt;LEFT('General inputs'!$I$16,4)+'General inputs'!$H$38-1,"",'ET inputs'!D76)</f>
        <v/>
      </c>
      <c r="F103" s="83" t="str">
        <f>IF(LEFT(D103,4)*1&gt;LEFT('General inputs'!$I$16,4)+'General inputs'!$H$38-1,"",E103/(1+'General inputs'!$H$30)^C103)</f>
        <v/>
      </c>
      <c r="G103" s="83" t="str">
        <f>IF(LEFT(D103,4)*1&gt;LEFT('General inputs'!$I$16,4)+'General inputs'!$H$38-1,"",E103/(1+'General inputs'!$H$32)^C103)</f>
        <v/>
      </c>
      <c r="H103" s="83" t="str">
        <f>IF(LEFT(D103,4)*1&lt;LEFT('General inputs'!$I$16,4)*1,"",IF(LEFT(D103,4)*1&gt;LEFT('General inputs'!$I$16,4)+'General inputs'!$H$38-1,"",E103/(1+'General inputs'!$H$34)^C103))</f>
        <v/>
      </c>
      <c r="J103" s="113"/>
      <c r="K103" s="113"/>
      <c r="L103" s="83" t="str">
        <f>IF(LEFT(D103,4)*1&gt;LEFT('General inputs'!$I$18,4)*1,"",SUMIF('Post-1996 commissioned assets'!$F$22:$F$901,$D103,'Post-1996 commissioned assets'!$P$22:$P$901)*(1+$K$34)*(1+$K$35))</f>
        <v/>
      </c>
      <c r="M103" s="83" t="str">
        <f>IF(L103="","",L103/(1+'General inputs'!$H$32)^C103)</f>
        <v/>
      </c>
      <c r="N103" s="83">
        <f>IF(LEFT(D103,4)*1&lt;LEFT('General inputs'!$I$18,4)*1+1,"",SUMIF('Uncommissioned assets'!$F$22:$F$300,$D103,'Uncommissioned assets'!$P$22:$P$300))</f>
        <v>0</v>
      </c>
      <c r="O103" s="83">
        <f>IF(N103="","",N103/(1+'General inputs'!$H$32)^C103)</f>
        <v>0</v>
      </c>
      <c r="Q103" s="39"/>
      <c r="R103" s="83" t="str">
        <f>IF(OR(LEFT(D103,4)*1&lt;LEFT('General inputs'!$I$16,4)*1,LEFT(D103,4)*1&gt;LEFT('General inputs'!$I$16,4)+'General inputs'!$H$38-1),"",Q103/(1+'General inputs'!$H$34)^C103)</f>
        <v/>
      </c>
      <c r="T103" s="39"/>
      <c r="U103" s="83" t="str">
        <f>IF(OR(LEFT(D103,4)*1&lt;LEFT('General inputs'!$I$16,4)*1,LEFT(D103,4)*1&gt;LEFT('General inputs'!$I$16,4)+'General inputs'!$H$38-1),"",T103/(1+'General inputs'!$H$34)^C103)</f>
        <v/>
      </c>
      <c r="V103" s="56"/>
    </row>
    <row r="104" spans="2:22" x14ac:dyDescent="0.25">
      <c r="B104" s="55"/>
      <c r="C104" s="28">
        <f>IF(D104='General inputs'!$I$16,0,IF(D104&lt;'General inputs'!$I$16,C105-1,C103+1))</f>
        <v>38</v>
      </c>
      <c r="D104" s="28" t="str">
        <f t="shared" si="3"/>
        <v>2060-61</v>
      </c>
      <c r="E104" s="83" t="str">
        <f>IF(LEFT(D104,4)*1&gt;LEFT('General inputs'!$I$16,4)+'General inputs'!$H$38-1,"",'ET inputs'!D77)</f>
        <v/>
      </c>
      <c r="F104" s="83" t="str">
        <f>IF(LEFT(D104,4)*1&gt;LEFT('General inputs'!$I$16,4)+'General inputs'!$H$38-1,"",E104/(1+'General inputs'!$H$30)^C104)</f>
        <v/>
      </c>
      <c r="G104" s="83" t="str">
        <f>IF(LEFT(D104,4)*1&gt;LEFT('General inputs'!$I$16,4)+'General inputs'!$H$38-1,"",E104/(1+'General inputs'!$H$32)^C104)</f>
        <v/>
      </c>
      <c r="H104" s="83" t="str">
        <f>IF(LEFT(D104,4)*1&lt;LEFT('General inputs'!$I$16,4)*1,"",IF(LEFT(D104,4)*1&gt;LEFT('General inputs'!$I$16,4)+'General inputs'!$H$38-1,"",E104/(1+'General inputs'!$H$34)^C104))</f>
        <v/>
      </c>
      <c r="J104" s="113"/>
      <c r="K104" s="113"/>
      <c r="L104" s="83" t="str">
        <f>IF(LEFT(D104,4)*1&gt;LEFT('General inputs'!$I$18,4)*1,"",SUMIF('Post-1996 commissioned assets'!$F$22:$F$901,$D104,'Post-1996 commissioned assets'!$P$22:$P$901)*(1+$K$34)*(1+$K$35))</f>
        <v/>
      </c>
      <c r="M104" s="83" t="str">
        <f>IF(L104="","",L104/(1+'General inputs'!$H$32)^C104)</f>
        <v/>
      </c>
      <c r="N104" s="83">
        <f>IF(LEFT(D104,4)*1&lt;LEFT('General inputs'!$I$18,4)*1+1,"",SUMIF('Uncommissioned assets'!$F$22:$F$300,$D104,'Uncommissioned assets'!$P$22:$P$300))</f>
        <v>0</v>
      </c>
      <c r="O104" s="83">
        <f>IF(N104="","",N104/(1+'General inputs'!$H$32)^C104)</f>
        <v>0</v>
      </c>
      <c r="Q104" s="39"/>
      <c r="R104" s="83" t="str">
        <f>IF(OR(LEFT(D104,4)*1&lt;LEFT('General inputs'!$I$16,4)*1,LEFT(D104,4)*1&gt;LEFT('General inputs'!$I$16,4)+'General inputs'!$H$38-1),"",Q104/(1+'General inputs'!$H$34)^C104)</f>
        <v/>
      </c>
      <c r="T104" s="39"/>
      <c r="U104" s="83" t="str">
        <f>IF(OR(LEFT(D104,4)*1&lt;LEFT('General inputs'!$I$16,4)*1,LEFT(D104,4)*1&gt;LEFT('General inputs'!$I$16,4)+'General inputs'!$H$38-1),"",T104/(1+'General inputs'!$H$34)^C104)</f>
        <v/>
      </c>
      <c r="V104" s="56"/>
    </row>
    <row r="105" spans="2:22" x14ac:dyDescent="0.25">
      <c r="B105" s="55"/>
      <c r="C105" s="28">
        <f>IF(D105='General inputs'!$I$16,0,IF(D105&lt;'General inputs'!$I$16,C106-1,C104+1))</f>
        <v>39</v>
      </c>
      <c r="D105" s="28" t="str">
        <f t="shared" si="3"/>
        <v>2061-62</v>
      </c>
      <c r="E105" s="83" t="str">
        <f>IF(LEFT(D105,4)*1&gt;LEFT('General inputs'!$I$16,4)+'General inputs'!$H$38-1,"",'ET inputs'!D78)</f>
        <v/>
      </c>
      <c r="F105" s="83" t="str">
        <f>IF(LEFT(D105,4)*1&gt;LEFT('General inputs'!$I$16,4)+'General inputs'!$H$38-1,"",E105/(1+'General inputs'!$H$30)^C105)</f>
        <v/>
      </c>
      <c r="G105" s="83" t="str">
        <f>IF(LEFT(D105,4)*1&gt;LEFT('General inputs'!$I$16,4)+'General inputs'!$H$38-1,"",E105/(1+'General inputs'!$H$32)^C105)</f>
        <v/>
      </c>
      <c r="H105" s="83" t="str">
        <f>IF(LEFT(D105,4)*1&lt;LEFT('General inputs'!$I$16,4)*1,"",IF(LEFT(D105,4)*1&gt;LEFT('General inputs'!$I$16,4)+'General inputs'!$H$38-1,"",E105/(1+'General inputs'!$H$34)^C105))</f>
        <v/>
      </c>
      <c r="J105" s="113"/>
      <c r="K105" s="113"/>
      <c r="L105" s="83" t="str">
        <f>IF(LEFT(D105,4)*1&gt;LEFT('General inputs'!$I$18,4)*1,"",SUMIF('Post-1996 commissioned assets'!$F$22:$F$901,$D105,'Post-1996 commissioned assets'!$P$22:$P$901)*(1+$K$34)*(1+$K$35))</f>
        <v/>
      </c>
      <c r="M105" s="83" t="str">
        <f>IF(L105="","",L105/(1+'General inputs'!$H$32)^C105)</f>
        <v/>
      </c>
      <c r="N105" s="83">
        <f>IF(LEFT(D105,4)*1&lt;LEFT('General inputs'!$I$18,4)*1+1,"",SUMIF('Uncommissioned assets'!$F$22:$F$300,$D105,'Uncommissioned assets'!$P$22:$P$300))</f>
        <v>0</v>
      </c>
      <c r="O105" s="83">
        <f>IF(N105="","",N105/(1+'General inputs'!$H$32)^C105)</f>
        <v>0</v>
      </c>
      <c r="Q105" s="39"/>
      <c r="R105" s="83" t="str">
        <f>IF(OR(LEFT(D105,4)*1&lt;LEFT('General inputs'!$I$16,4)*1,LEFT(D105,4)*1&gt;LEFT('General inputs'!$I$16,4)+'General inputs'!$H$38-1),"",Q105/(1+'General inputs'!$H$34)^C105)</f>
        <v/>
      </c>
      <c r="T105" s="39"/>
      <c r="U105" s="83" t="str">
        <f>IF(OR(LEFT(D105,4)*1&lt;LEFT('General inputs'!$I$16,4)*1,LEFT(D105,4)*1&gt;LEFT('General inputs'!$I$16,4)+'General inputs'!$H$38-1),"",T105/(1+'General inputs'!$H$34)^C105)</f>
        <v/>
      </c>
      <c r="V105" s="56"/>
    </row>
    <row r="106" spans="2:22" x14ac:dyDescent="0.25">
      <c r="B106" s="55"/>
      <c r="C106" s="28">
        <f>IF(D106='General inputs'!$I$16,0,IF(D106&lt;'General inputs'!$I$16,C107-1,C105+1))</f>
        <v>40</v>
      </c>
      <c r="D106" s="28" t="str">
        <f t="shared" si="3"/>
        <v>2062-63</v>
      </c>
      <c r="E106" s="83" t="str">
        <f>IF(LEFT(D106,4)*1&gt;LEFT('General inputs'!$I$16,4)+'General inputs'!$H$38-1,"",'ET inputs'!D79)</f>
        <v/>
      </c>
      <c r="F106" s="83" t="str">
        <f>IF(LEFT(D106,4)*1&gt;LEFT('General inputs'!$I$16,4)+'General inputs'!$H$38-1,"",E106/(1+'General inputs'!$H$30)^C106)</f>
        <v/>
      </c>
      <c r="G106" s="83" t="str">
        <f>IF(LEFT(D106,4)*1&gt;LEFT('General inputs'!$I$16,4)+'General inputs'!$H$38-1,"",E106/(1+'General inputs'!$H$32)^C106)</f>
        <v/>
      </c>
      <c r="H106" s="83" t="str">
        <f>IF(LEFT(D106,4)*1&lt;LEFT('General inputs'!$I$16,4)*1,"",IF(LEFT(D106,4)*1&gt;LEFT('General inputs'!$I$16,4)+'General inputs'!$H$38-1,"",E106/(1+'General inputs'!$H$34)^C106))</f>
        <v/>
      </c>
      <c r="J106" s="113"/>
      <c r="K106" s="113"/>
      <c r="L106" s="83" t="str">
        <f>IF(LEFT(D106,4)*1&gt;LEFT('General inputs'!$I$18,4)*1,"",SUMIF('Post-1996 commissioned assets'!$F$22:$F$901,$D106,'Post-1996 commissioned assets'!$P$22:$P$901)*(1+$K$34)*(1+$K$35))</f>
        <v/>
      </c>
      <c r="M106" s="83" t="str">
        <f>IF(L106="","",L106/(1+'General inputs'!$H$32)^C106)</f>
        <v/>
      </c>
      <c r="N106" s="83">
        <f>IF(LEFT(D106,4)*1&lt;LEFT('General inputs'!$I$18,4)*1+1,"",SUMIF('Uncommissioned assets'!$F$22:$F$300,$D106,'Uncommissioned assets'!$P$22:$P$300))</f>
        <v>0</v>
      </c>
      <c r="O106" s="83">
        <f>IF(N106="","",N106/(1+'General inputs'!$H$32)^C106)</f>
        <v>0</v>
      </c>
      <c r="Q106" s="39"/>
      <c r="R106" s="83" t="str">
        <f>IF(OR(LEFT(D106,4)*1&lt;LEFT('General inputs'!$I$16,4)*1,LEFT(D106,4)*1&gt;LEFT('General inputs'!$I$16,4)+'General inputs'!$H$38-1),"",Q106/(1+'General inputs'!$H$34)^C106)</f>
        <v/>
      </c>
      <c r="T106" s="39"/>
      <c r="U106" s="83" t="str">
        <f>IF(OR(LEFT(D106,4)*1&lt;LEFT('General inputs'!$I$16,4)*1,LEFT(D106,4)*1&gt;LEFT('General inputs'!$I$16,4)+'General inputs'!$H$38-1),"",T106/(1+'General inputs'!$H$34)^C106)</f>
        <v/>
      </c>
      <c r="V106" s="56"/>
    </row>
    <row r="107" spans="2:22" x14ac:dyDescent="0.25">
      <c r="B107" s="55"/>
      <c r="C107" s="28">
        <f>IF(D107='General inputs'!$I$16,0,IF(D107&lt;'General inputs'!$I$16,C108-1,C106+1))</f>
        <v>41</v>
      </c>
      <c r="D107" s="28" t="str">
        <f t="shared" si="3"/>
        <v>2063-64</v>
      </c>
      <c r="E107" s="83" t="str">
        <f>IF(LEFT(D107,4)*1&gt;LEFT('General inputs'!$I$16,4)+'General inputs'!$H$38-1,"",'ET inputs'!D80)</f>
        <v/>
      </c>
      <c r="F107" s="83" t="str">
        <f>IF(LEFT(D107,4)*1&gt;LEFT('General inputs'!$I$16,4)+'General inputs'!$H$38-1,"",E107/(1+'General inputs'!$H$30)^C107)</f>
        <v/>
      </c>
      <c r="G107" s="83" t="str">
        <f>IF(LEFT(D107,4)*1&gt;LEFT('General inputs'!$I$16,4)+'General inputs'!$H$38-1,"",E107/(1+'General inputs'!$H$32)^C107)</f>
        <v/>
      </c>
      <c r="H107" s="83" t="str">
        <f>IF(LEFT(D107,4)*1&lt;LEFT('General inputs'!$I$16,4)*1,"",IF(LEFT(D107,4)*1&gt;LEFT('General inputs'!$I$16,4)+'General inputs'!$H$38-1,"",E107/(1+'General inputs'!$H$34)^C107))</f>
        <v/>
      </c>
      <c r="J107" s="113"/>
      <c r="K107" s="113"/>
      <c r="L107" s="83" t="str">
        <f>IF(LEFT(D107,4)*1&gt;LEFT('General inputs'!$I$18,4)*1,"",SUMIF('Post-1996 commissioned assets'!$F$22:$F$901,$D107,'Post-1996 commissioned assets'!$P$22:$P$901)*(1+$K$34)*(1+$K$35))</f>
        <v/>
      </c>
      <c r="M107" s="83" t="str">
        <f>IF(L107="","",L107/(1+'General inputs'!$H$32)^C107)</f>
        <v/>
      </c>
      <c r="N107" s="83">
        <f>IF(LEFT(D107,4)*1&lt;LEFT('General inputs'!$I$18,4)*1+1,"",SUMIF('Uncommissioned assets'!$F$22:$F$300,$D107,'Uncommissioned assets'!$P$22:$P$300))</f>
        <v>0</v>
      </c>
      <c r="O107" s="83">
        <f>IF(N107="","",N107/(1+'General inputs'!$H$32)^C107)</f>
        <v>0</v>
      </c>
      <c r="Q107" s="39"/>
      <c r="R107" s="83" t="str">
        <f>IF(OR(LEFT(D107,4)*1&lt;LEFT('General inputs'!$I$16,4)*1,LEFT(D107,4)*1&gt;LEFT('General inputs'!$I$16,4)+'General inputs'!$H$38-1),"",Q107/(1+'General inputs'!$H$34)^C107)</f>
        <v/>
      </c>
      <c r="T107" s="39"/>
      <c r="U107" s="83" t="str">
        <f>IF(OR(LEFT(D107,4)*1&lt;LEFT('General inputs'!$I$16,4)*1,LEFT(D107,4)*1&gt;LEFT('General inputs'!$I$16,4)+'General inputs'!$H$38-1),"",T107/(1+'General inputs'!$H$34)^C107)</f>
        <v/>
      </c>
      <c r="V107" s="56"/>
    </row>
    <row r="108" spans="2:22" x14ac:dyDescent="0.25">
      <c r="B108" s="55"/>
      <c r="C108" s="28">
        <f>IF(D108='General inputs'!$I$16,0,IF(D108&lt;'General inputs'!$I$16,C109-1,C107+1))</f>
        <v>42</v>
      </c>
      <c r="D108" s="28" t="str">
        <f t="shared" si="3"/>
        <v>2064-65</v>
      </c>
      <c r="E108" s="83" t="str">
        <f>IF(LEFT(D108,4)*1&gt;LEFT('General inputs'!$I$16,4)+'General inputs'!$H$38-1,"",'ET inputs'!D81)</f>
        <v/>
      </c>
      <c r="F108" s="83" t="str">
        <f>IF(LEFT(D108,4)*1&gt;LEFT('General inputs'!$I$16,4)+'General inputs'!$H$38-1,"",E108/(1+'General inputs'!$H$30)^C108)</f>
        <v/>
      </c>
      <c r="G108" s="83" t="str">
        <f>IF(LEFT(D108,4)*1&gt;LEFT('General inputs'!$I$16,4)+'General inputs'!$H$38-1,"",E108/(1+'General inputs'!$H$32)^C108)</f>
        <v/>
      </c>
      <c r="H108" s="83" t="str">
        <f>IF(LEFT(D108,4)*1&lt;LEFT('General inputs'!$I$16,4)*1,"",IF(LEFT(D108,4)*1&gt;LEFT('General inputs'!$I$16,4)+'General inputs'!$H$38-1,"",E108/(1+'General inputs'!$H$34)^C108))</f>
        <v/>
      </c>
      <c r="J108" s="113"/>
      <c r="K108" s="113"/>
      <c r="L108" s="83" t="str">
        <f>IF(LEFT(D108,4)*1&gt;LEFT('General inputs'!$I$18,4)*1,"",SUMIF('Post-1996 commissioned assets'!$F$22:$F$901,$D108,'Post-1996 commissioned assets'!$P$22:$P$901)*(1+$K$34)*(1+$K$35))</f>
        <v/>
      </c>
      <c r="M108" s="83" t="str">
        <f>IF(L108="","",L108/(1+'General inputs'!$H$32)^C108)</f>
        <v/>
      </c>
      <c r="N108" s="83">
        <f>IF(LEFT(D108,4)*1&lt;LEFT('General inputs'!$I$18,4)*1+1,"",SUMIF('Uncommissioned assets'!$F$22:$F$300,$D108,'Uncommissioned assets'!$P$22:$P$300))</f>
        <v>0</v>
      </c>
      <c r="O108" s="83">
        <f>IF(N108="","",N108/(1+'General inputs'!$H$32)^C108)</f>
        <v>0</v>
      </c>
      <c r="Q108" s="39"/>
      <c r="R108" s="83" t="str">
        <f>IF(OR(LEFT(D108,4)*1&lt;LEFT('General inputs'!$I$16,4)*1,LEFT(D108,4)*1&gt;LEFT('General inputs'!$I$16,4)+'General inputs'!$H$38-1),"",Q108/(1+'General inputs'!$H$34)^C108)</f>
        <v/>
      </c>
      <c r="T108" s="39"/>
      <c r="U108" s="83" t="str">
        <f>IF(OR(LEFT(D108,4)*1&lt;LEFT('General inputs'!$I$16,4)*1,LEFT(D108,4)*1&gt;LEFT('General inputs'!$I$16,4)+'General inputs'!$H$38-1),"",T108/(1+'General inputs'!$H$34)^C108)</f>
        <v/>
      </c>
      <c r="V108" s="56"/>
    </row>
    <row r="109" spans="2:22" x14ac:dyDescent="0.25">
      <c r="B109" s="55"/>
      <c r="C109" s="28">
        <f>IF(D109='General inputs'!$I$16,0,IF(D109&lt;'General inputs'!$I$16,C110-1,C108+1))</f>
        <v>43</v>
      </c>
      <c r="D109" s="28" t="str">
        <f t="shared" si="3"/>
        <v>2065-66</v>
      </c>
      <c r="E109" s="83" t="str">
        <f>IF(LEFT(D109,4)*1&gt;LEFT('General inputs'!$I$16,4)+'General inputs'!$H$38-1,"",'ET inputs'!D82)</f>
        <v/>
      </c>
      <c r="F109" s="83" t="str">
        <f>IF(LEFT(D109,4)*1&gt;LEFT('General inputs'!$I$16,4)+'General inputs'!$H$38-1,"",E109/(1+'General inputs'!$H$30)^C109)</f>
        <v/>
      </c>
      <c r="G109" s="83" t="str">
        <f>IF(LEFT(D109,4)*1&gt;LEFT('General inputs'!$I$16,4)+'General inputs'!$H$38-1,"",E109/(1+'General inputs'!$H$32)^C109)</f>
        <v/>
      </c>
      <c r="H109" s="83" t="str">
        <f>IF(LEFT(D109,4)*1&lt;LEFT('General inputs'!$I$16,4)*1,"",IF(LEFT(D109,4)*1&gt;LEFT('General inputs'!$I$16,4)+'General inputs'!$H$38-1,"",E109/(1+'General inputs'!$H$34)^C109))</f>
        <v/>
      </c>
      <c r="J109" s="113"/>
      <c r="K109" s="113"/>
      <c r="L109" s="83" t="str">
        <f>IF(LEFT(D109,4)*1&gt;LEFT('General inputs'!$I$18,4)*1,"",SUMIF('Post-1996 commissioned assets'!$F$22:$F$901,$D109,'Post-1996 commissioned assets'!$P$22:$P$901)*(1+$K$34)*(1+$K$35))</f>
        <v/>
      </c>
      <c r="M109" s="83" t="str">
        <f>IF(L109="","",L109/(1+'General inputs'!$H$32)^C109)</f>
        <v/>
      </c>
      <c r="N109" s="83">
        <f>IF(LEFT(D109,4)*1&lt;LEFT('General inputs'!$I$18,4)*1+1,"",SUMIF('Uncommissioned assets'!$F$22:$F$300,$D109,'Uncommissioned assets'!$P$22:$P$300))</f>
        <v>0</v>
      </c>
      <c r="O109" s="83">
        <f>IF(N109="","",N109/(1+'General inputs'!$H$32)^C109)</f>
        <v>0</v>
      </c>
      <c r="Q109" s="39"/>
      <c r="R109" s="83" t="str">
        <f>IF(OR(LEFT(D109,4)*1&lt;LEFT('General inputs'!$I$16,4)*1,LEFT(D109,4)*1&gt;LEFT('General inputs'!$I$16,4)+'General inputs'!$H$38-1),"",Q109/(1+'General inputs'!$H$34)^C109)</f>
        <v/>
      </c>
      <c r="T109" s="39"/>
      <c r="U109" s="83" t="str">
        <f>IF(OR(LEFT(D109,4)*1&lt;LEFT('General inputs'!$I$16,4)*1,LEFT(D109,4)*1&gt;LEFT('General inputs'!$I$16,4)+'General inputs'!$H$38-1),"",T109/(1+'General inputs'!$H$34)^C109)</f>
        <v/>
      </c>
      <c r="V109" s="56"/>
    </row>
    <row r="110" spans="2:22" x14ac:dyDescent="0.25">
      <c r="B110" s="55"/>
      <c r="C110" s="28">
        <f>IF(D110='General inputs'!$I$16,0,IF(D110&lt;'General inputs'!$I$16,C111-1,C109+1))</f>
        <v>44</v>
      </c>
      <c r="D110" s="28" t="str">
        <f t="shared" si="3"/>
        <v>2066-67</v>
      </c>
      <c r="E110" s="83" t="str">
        <f>IF(LEFT(D110,4)*1&gt;LEFT('General inputs'!$I$16,4)+'General inputs'!$H$38-1,"",'ET inputs'!D83)</f>
        <v/>
      </c>
      <c r="F110" s="83" t="str">
        <f>IF(LEFT(D110,4)*1&gt;LEFT('General inputs'!$I$16,4)+'General inputs'!$H$38-1,"",E110/(1+'General inputs'!$H$30)^C110)</f>
        <v/>
      </c>
      <c r="G110" s="83" t="str">
        <f>IF(LEFT(D110,4)*1&gt;LEFT('General inputs'!$I$16,4)+'General inputs'!$H$38-1,"",E110/(1+'General inputs'!$H$32)^C110)</f>
        <v/>
      </c>
      <c r="H110" s="83" t="str">
        <f>IF(LEFT(D110,4)*1&lt;LEFT('General inputs'!$I$16,4)*1,"",IF(LEFT(D110,4)*1&gt;LEFT('General inputs'!$I$16,4)+'General inputs'!$H$38-1,"",E110/(1+'General inputs'!$H$34)^C110))</f>
        <v/>
      </c>
      <c r="J110" s="113"/>
      <c r="K110" s="113"/>
      <c r="L110" s="83" t="str">
        <f>IF(LEFT(D110,4)*1&gt;LEFT('General inputs'!$I$18,4)*1,"",SUMIF('Post-1996 commissioned assets'!$F$22:$F$901,$D110,'Post-1996 commissioned assets'!$P$22:$P$901)*(1+$K$34)*(1+$K$35))</f>
        <v/>
      </c>
      <c r="M110" s="83" t="str">
        <f>IF(L110="","",L110/(1+'General inputs'!$H$32)^C110)</f>
        <v/>
      </c>
      <c r="N110" s="83">
        <f>IF(LEFT(D110,4)*1&lt;LEFT('General inputs'!$I$18,4)*1+1,"",SUMIF('Uncommissioned assets'!$F$22:$F$300,$D110,'Uncommissioned assets'!$P$22:$P$300))</f>
        <v>0</v>
      </c>
      <c r="O110" s="83">
        <f>IF(N110="","",N110/(1+'General inputs'!$H$32)^C110)</f>
        <v>0</v>
      </c>
      <c r="Q110" s="39"/>
      <c r="R110" s="83" t="str">
        <f>IF(OR(LEFT(D110,4)*1&lt;LEFT('General inputs'!$I$16,4)*1,LEFT(D110,4)*1&gt;LEFT('General inputs'!$I$16,4)+'General inputs'!$H$38-1),"",Q110/(1+'General inputs'!$H$34)^C110)</f>
        <v/>
      </c>
      <c r="T110" s="39"/>
      <c r="U110" s="83" t="str">
        <f>IF(OR(LEFT(D110,4)*1&lt;LEFT('General inputs'!$I$16,4)*1,LEFT(D110,4)*1&gt;LEFT('General inputs'!$I$16,4)+'General inputs'!$H$38-1),"",T110/(1+'General inputs'!$H$34)^C110)</f>
        <v/>
      </c>
      <c r="V110" s="56"/>
    </row>
    <row r="111" spans="2:22" x14ac:dyDescent="0.25">
      <c r="B111" s="55"/>
      <c r="C111" s="28">
        <f>IF(D111='General inputs'!$I$16,0,IF(D111&lt;'General inputs'!$I$16,C112-1,C110+1))</f>
        <v>45</v>
      </c>
      <c r="D111" s="28" t="str">
        <f t="shared" si="3"/>
        <v>2067-68</v>
      </c>
      <c r="E111" s="83" t="str">
        <f>IF(LEFT(D111,4)*1&gt;LEFT('General inputs'!$I$16,4)+'General inputs'!$H$38-1,"",'ET inputs'!D84)</f>
        <v/>
      </c>
      <c r="F111" s="83" t="str">
        <f>IF(LEFT(D111,4)*1&gt;LEFT('General inputs'!$I$16,4)+'General inputs'!$H$38-1,"",E111/(1+'General inputs'!$H$30)^C111)</f>
        <v/>
      </c>
      <c r="G111" s="83" t="str">
        <f>IF(LEFT(D111,4)*1&gt;LEFT('General inputs'!$I$16,4)+'General inputs'!$H$38-1,"",E111/(1+'General inputs'!$H$32)^C111)</f>
        <v/>
      </c>
      <c r="H111" s="83" t="str">
        <f>IF(LEFT(D111,4)*1&lt;LEFT('General inputs'!$I$16,4)*1,"",IF(LEFT(D111,4)*1&gt;LEFT('General inputs'!$I$16,4)+'General inputs'!$H$38-1,"",E111/(1+'General inputs'!$H$34)^C111))</f>
        <v/>
      </c>
      <c r="J111" s="113"/>
      <c r="K111" s="113"/>
      <c r="L111" s="83" t="str">
        <f>IF(LEFT(D111,4)*1&gt;LEFT('General inputs'!$I$18,4)*1,"",SUMIF('Post-1996 commissioned assets'!$F$22:$F$901,$D111,'Post-1996 commissioned assets'!$P$22:$P$901)*(1+$K$34)*(1+$K$35))</f>
        <v/>
      </c>
      <c r="M111" s="83" t="str">
        <f>IF(L111="","",L111/(1+'General inputs'!$H$32)^C111)</f>
        <v/>
      </c>
      <c r="N111" s="83">
        <f>IF(LEFT(D111,4)*1&lt;LEFT('General inputs'!$I$18,4)*1+1,"",SUMIF('Uncommissioned assets'!$F$22:$F$300,$D111,'Uncommissioned assets'!$P$22:$P$300))</f>
        <v>0</v>
      </c>
      <c r="O111" s="83">
        <f>IF(N111="","",N111/(1+'General inputs'!$H$32)^C111)</f>
        <v>0</v>
      </c>
      <c r="Q111" s="39"/>
      <c r="R111" s="83" t="str">
        <f>IF(OR(LEFT(D111,4)*1&lt;LEFT('General inputs'!$I$16,4)*1,LEFT(D111,4)*1&gt;LEFT('General inputs'!$I$16,4)+'General inputs'!$H$38-1),"",Q111/(1+'General inputs'!$H$34)^C111)</f>
        <v/>
      </c>
      <c r="T111" s="39"/>
      <c r="U111" s="83" t="str">
        <f>IF(OR(LEFT(D111,4)*1&lt;LEFT('General inputs'!$I$16,4)*1,LEFT(D111,4)*1&gt;LEFT('General inputs'!$I$16,4)+'General inputs'!$H$38-1),"",T111/(1+'General inputs'!$H$34)^C111)</f>
        <v/>
      </c>
      <c r="V111" s="56"/>
    </row>
    <row r="112" spans="2:22" x14ac:dyDescent="0.25">
      <c r="B112" s="55"/>
      <c r="C112" s="28">
        <f>IF(D112='General inputs'!$I$16,0,IF(D112&lt;'General inputs'!$I$16,C113-1,C111+1))</f>
        <v>46</v>
      </c>
      <c r="D112" s="28" t="str">
        <f t="shared" si="3"/>
        <v>2068-69</v>
      </c>
      <c r="E112" s="83" t="str">
        <f>IF(LEFT(D112,4)*1&gt;LEFT('General inputs'!$I$16,4)+'General inputs'!$H$38-1,"",'ET inputs'!D85)</f>
        <v/>
      </c>
      <c r="F112" s="83" t="str">
        <f>IF(LEFT(D112,4)*1&gt;LEFT('General inputs'!$I$16,4)+'General inputs'!$H$38-1,"",E112/(1+'General inputs'!$H$30)^C112)</f>
        <v/>
      </c>
      <c r="G112" s="83" t="str">
        <f>IF(LEFT(D112,4)*1&gt;LEFT('General inputs'!$I$16,4)+'General inputs'!$H$38-1,"",E112/(1+'General inputs'!$H$32)^C112)</f>
        <v/>
      </c>
      <c r="H112" s="83" t="str">
        <f>IF(LEFT(D112,4)*1&lt;LEFT('General inputs'!$I$16,4)*1,"",IF(LEFT(D112,4)*1&gt;LEFT('General inputs'!$I$16,4)+'General inputs'!$H$38-1,"",E112/(1+'General inputs'!$H$34)^C112))</f>
        <v/>
      </c>
      <c r="J112" s="113"/>
      <c r="K112" s="113"/>
      <c r="L112" s="83" t="str">
        <f>IF(LEFT(D112,4)*1&gt;LEFT('General inputs'!$I$18,4)*1,"",SUMIF('Post-1996 commissioned assets'!$F$22:$F$901,$D112,'Post-1996 commissioned assets'!$P$22:$P$901)*(1+$K$34)*(1+$K$35))</f>
        <v/>
      </c>
      <c r="M112" s="83" t="str">
        <f>IF(L112="","",L112/(1+'General inputs'!$H$32)^C112)</f>
        <v/>
      </c>
      <c r="N112" s="83">
        <f>IF(LEFT(D112,4)*1&lt;LEFT('General inputs'!$I$18,4)*1+1,"",SUMIF('Uncommissioned assets'!$F$22:$F$300,$D112,'Uncommissioned assets'!$P$22:$P$300))</f>
        <v>0</v>
      </c>
      <c r="O112" s="83">
        <f>IF(N112="","",N112/(1+'General inputs'!$H$32)^C112)</f>
        <v>0</v>
      </c>
      <c r="Q112" s="39"/>
      <c r="R112" s="83" t="str">
        <f>IF(OR(LEFT(D112,4)*1&lt;LEFT('General inputs'!$I$16,4)*1,LEFT(D112,4)*1&gt;LEFT('General inputs'!$I$16,4)+'General inputs'!$H$38-1),"",Q112/(1+'General inputs'!$H$34)^C112)</f>
        <v/>
      </c>
      <c r="T112" s="39"/>
      <c r="U112" s="83" t="str">
        <f>IF(OR(LEFT(D112,4)*1&lt;LEFT('General inputs'!$I$16,4)*1,LEFT(D112,4)*1&gt;LEFT('General inputs'!$I$16,4)+'General inputs'!$H$38-1),"",T112/(1+'General inputs'!$H$34)^C112)</f>
        <v/>
      </c>
      <c r="V112" s="56"/>
    </row>
    <row r="113" spans="2:22" x14ac:dyDescent="0.25">
      <c r="B113" s="55"/>
      <c r="C113" s="28">
        <f>IF(D113='General inputs'!$I$16,0,IF(D113&lt;'General inputs'!$I$16,C114-1,C112+1))</f>
        <v>47</v>
      </c>
      <c r="D113" s="28" t="str">
        <f t="shared" si="3"/>
        <v>2069-70</v>
      </c>
      <c r="E113" s="83" t="str">
        <f>IF(LEFT(D113,4)*1&gt;LEFT('General inputs'!$I$16,4)+'General inputs'!$H$38-1,"",'ET inputs'!D86)</f>
        <v/>
      </c>
      <c r="F113" s="83" t="str">
        <f>IF(LEFT(D113,4)*1&gt;LEFT('General inputs'!$I$16,4)+'General inputs'!$H$38-1,"",E113/(1+'General inputs'!$H$30)^C113)</f>
        <v/>
      </c>
      <c r="G113" s="83" t="str">
        <f>IF(LEFT(D113,4)*1&gt;LEFT('General inputs'!$I$16,4)+'General inputs'!$H$38-1,"",E113/(1+'General inputs'!$H$32)^C113)</f>
        <v/>
      </c>
      <c r="H113" s="83" t="str">
        <f>IF(LEFT(D113,4)*1&lt;LEFT('General inputs'!$I$16,4)*1,"",IF(LEFT(D113,4)*1&gt;LEFT('General inputs'!$I$16,4)+'General inputs'!$H$38-1,"",E113/(1+'General inputs'!$H$34)^C113))</f>
        <v/>
      </c>
      <c r="J113" s="113"/>
      <c r="K113" s="113"/>
      <c r="L113" s="83" t="str">
        <f>IF(LEFT(D113,4)*1&gt;LEFT('General inputs'!$I$18,4)*1,"",SUMIF('Post-1996 commissioned assets'!$F$22:$F$901,$D113,'Post-1996 commissioned assets'!$P$22:$P$901)*(1+$K$34)*(1+$K$35))</f>
        <v/>
      </c>
      <c r="M113" s="83" t="str">
        <f>IF(L113="","",L113/(1+'General inputs'!$H$32)^C113)</f>
        <v/>
      </c>
      <c r="N113" s="83">
        <f>IF(LEFT(D113,4)*1&lt;LEFT('General inputs'!$I$18,4)*1+1,"",SUMIF('Uncommissioned assets'!$F$22:$F$300,$D113,'Uncommissioned assets'!$P$22:$P$300))</f>
        <v>0</v>
      </c>
      <c r="O113" s="83">
        <f>IF(N113="","",N113/(1+'General inputs'!$H$32)^C113)</f>
        <v>0</v>
      </c>
      <c r="Q113" s="39"/>
      <c r="R113" s="83" t="str">
        <f>IF(OR(LEFT(D113,4)*1&lt;LEFT('General inputs'!$I$16,4)*1,LEFT(D113,4)*1&gt;LEFT('General inputs'!$I$16,4)+'General inputs'!$H$38-1),"",Q113/(1+'General inputs'!$H$34)^C113)</f>
        <v/>
      </c>
      <c r="T113" s="39"/>
      <c r="U113" s="83" t="str">
        <f>IF(OR(LEFT(D113,4)*1&lt;LEFT('General inputs'!$I$16,4)*1,LEFT(D113,4)*1&gt;LEFT('General inputs'!$I$16,4)+'General inputs'!$H$38-1),"",T113/(1+'General inputs'!$H$34)^C113)</f>
        <v/>
      </c>
      <c r="V113" s="56"/>
    </row>
    <row r="114" spans="2:22" x14ac:dyDescent="0.25">
      <c r="B114" s="55"/>
      <c r="C114" s="28">
        <f>IF(D114='General inputs'!$I$16,0,IF(D114&lt;'General inputs'!$I$16,C115-1,C113+1))</f>
        <v>48</v>
      </c>
      <c r="D114" s="28" t="str">
        <f t="shared" si="3"/>
        <v>2070-71</v>
      </c>
      <c r="E114" s="83" t="str">
        <f>IF(LEFT(D114,4)*1&gt;LEFT('General inputs'!$I$16,4)+'General inputs'!$H$38-1,"",'ET inputs'!D87)</f>
        <v/>
      </c>
      <c r="F114" s="83" t="str">
        <f>IF(LEFT(D114,4)*1&gt;LEFT('General inputs'!$I$16,4)+'General inputs'!$H$38-1,"",E114/(1+'General inputs'!$H$30)^C114)</f>
        <v/>
      </c>
      <c r="G114" s="83" t="str">
        <f>IF(LEFT(D114,4)*1&gt;LEFT('General inputs'!$I$16,4)+'General inputs'!$H$38-1,"",E114/(1+'General inputs'!$H$32)^C114)</f>
        <v/>
      </c>
      <c r="H114" s="83" t="str">
        <f>IF(LEFT(D114,4)*1&lt;LEFT('General inputs'!$I$16,4)*1,"",IF(LEFT(D114,4)*1&gt;LEFT('General inputs'!$I$16,4)+'General inputs'!$H$38-1,"",E114/(1+'General inputs'!$H$34)^C114))</f>
        <v/>
      </c>
      <c r="J114" s="113"/>
      <c r="K114" s="113"/>
      <c r="L114" s="83" t="str">
        <f>IF(LEFT(D114,4)*1&gt;LEFT('General inputs'!$I$18,4)*1,"",SUMIF('Post-1996 commissioned assets'!$F$22:$F$901,$D114,'Post-1996 commissioned assets'!$P$22:$P$901)*(1+$K$34)*(1+$K$35))</f>
        <v/>
      </c>
      <c r="M114" s="83" t="str">
        <f>IF(L114="","",L114/(1+'General inputs'!$H$32)^C114)</f>
        <v/>
      </c>
      <c r="N114" s="83">
        <f>IF(LEFT(D114,4)*1&lt;LEFT('General inputs'!$I$18,4)*1+1,"",SUMIF('Uncommissioned assets'!$F$22:$F$300,$D114,'Uncommissioned assets'!$P$22:$P$300))</f>
        <v>0</v>
      </c>
      <c r="O114" s="83">
        <f>IF(N114="","",N114/(1+'General inputs'!$H$32)^C114)</f>
        <v>0</v>
      </c>
      <c r="Q114" s="39"/>
      <c r="R114" s="83" t="str">
        <f>IF(OR(LEFT(D114,4)*1&lt;LEFT('General inputs'!$I$16,4)*1,LEFT(D114,4)*1&gt;LEFT('General inputs'!$I$16,4)+'General inputs'!$H$38-1),"",Q114/(1+'General inputs'!$H$34)^C114)</f>
        <v/>
      </c>
      <c r="T114" s="39"/>
      <c r="U114" s="83" t="str">
        <f>IF(OR(LEFT(D114,4)*1&lt;LEFT('General inputs'!$I$16,4)*1,LEFT(D114,4)*1&gt;LEFT('General inputs'!$I$16,4)+'General inputs'!$H$38-1),"",T114/(1+'General inputs'!$H$34)^C114)</f>
        <v/>
      </c>
      <c r="V114" s="56"/>
    </row>
    <row r="115" spans="2:22" x14ac:dyDescent="0.25">
      <c r="B115" s="55"/>
      <c r="C115" s="28">
        <f>IF(D115='General inputs'!$I$16,0,IF(D115&lt;'General inputs'!$I$16,C116-1,C114+1))</f>
        <v>49</v>
      </c>
      <c r="D115" s="28" t="str">
        <f t="shared" si="3"/>
        <v>2071-72</v>
      </c>
      <c r="E115" s="83" t="str">
        <f>IF(LEFT(D115,4)*1&gt;LEFT('General inputs'!$I$16,4)+'General inputs'!$H$38-1,"",'ET inputs'!D88)</f>
        <v/>
      </c>
      <c r="F115" s="83" t="str">
        <f>IF(LEFT(D115,4)*1&gt;LEFT('General inputs'!$I$16,4)+'General inputs'!$H$38-1,"",E115/(1+'General inputs'!$H$30)^C115)</f>
        <v/>
      </c>
      <c r="G115" s="83" t="str">
        <f>IF(LEFT(D115,4)*1&gt;LEFT('General inputs'!$I$16,4)+'General inputs'!$H$38-1,"",E115/(1+'General inputs'!$H$32)^C115)</f>
        <v/>
      </c>
      <c r="H115" s="83" t="str">
        <f>IF(LEFT(D115,4)*1&lt;LEFT('General inputs'!$I$16,4)*1,"",IF(LEFT(D115,4)*1&gt;LEFT('General inputs'!$I$16,4)+'General inputs'!$H$38-1,"",E115/(1+'General inputs'!$H$34)^C115))</f>
        <v/>
      </c>
      <c r="J115" s="113"/>
      <c r="K115" s="113"/>
      <c r="L115" s="83" t="str">
        <f>IF(LEFT(D115,4)*1&gt;LEFT('General inputs'!$I$18,4)*1,"",SUMIF('Post-1996 commissioned assets'!$F$22:$F$901,$D115,'Post-1996 commissioned assets'!$P$22:$P$901)*(1+$K$34)*(1+$K$35))</f>
        <v/>
      </c>
      <c r="M115" s="83" t="str">
        <f>IF(L115="","",L115/(1+'General inputs'!$H$32)^C115)</f>
        <v/>
      </c>
      <c r="N115" s="83">
        <f>IF(LEFT(D115,4)*1&lt;LEFT('General inputs'!$I$18,4)*1+1,"",SUMIF('Uncommissioned assets'!$F$22:$F$300,$D115,'Uncommissioned assets'!$P$22:$P$300))</f>
        <v>0</v>
      </c>
      <c r="O115" s="83">
        <f>IF(N115="","",N115/(1+'General inputs'!$H$32)^C115)</f>
        <v>0</v>
      </c>
      <c r="Q115" s="39"/>
      <c r="R115" s="83" t="str">
        <f>IF(OR(LEFT(D115,4)*1&lt;LEFT('General inputs'!$I$16,4)*1,LEFT(D115,4)*1&gt;LEFT('General inputs'!$I$16,4)+'General inputs'!$H$38-1),"",Q115/(1+'General inputs'!$H$34)^C115)</f>
        <v/>
      </c>
      <c r="T115" s="39"/>
      <c r="U115" s="83" t="str">
        <f>IF(OR(LEFT(D115,4)*1&lt;LEFT('General inputs'!$I$16,4)*1,LEFT(D115,4)*1&gt;LEFT('General inputs'!$I$16,4)+'General inputs'!$H$38-1),"",T115/(1+'General inputs'!$H$34)^C115)</f>
        <v/>
      </c>
      <c r="V115" s="56"/>
    </row>
    <row r="116" spans="2:22" x14ac:dyDescent="0.25">
      <c r="B116" s="55"/>
      <c r="C116" s="28">
        <f>IF(D116='General inputs'!$I$16,0,IF(D116&lt;'General inputs'!$I$16,C117-1,C115+1))</f>
        <v>50</v>
      </c>
      <c r="D116" s="28" t="str">
        <f t="shared" si="3"/>
        <v>2072-73</v>
      </c>
      <c r="E116" s="83" t="str">
        <f>IF(LEFT(D116,4)*1&gt;LEFT('General inputs'!$I$16,4)+'General inputs'!$H$38-1,"",'ET inputs'!D89)</f>
        <v/>
      </c>
      <c r="F116" s="83" t="str">
        <f>IF(LEFT(D116,4)*1&gt;LEFT('General inputs'!$I$16,4)+'General inputs'!$H$38-1,"",E116/(1+'General inputs'!$H$30)^C116)</f>
        <v/>
      </c>
      <c r="G116" s="83" t="str">
        <f>IF(LEFT(D116,4)*1&gt;LEFT('General inputs'!$I$16,4)+'General inputs'!$H$38-1,"",E116/(1+'General inputs'!$H$32)^C116)</f>
        <v/>
      </c>
      <c r="H116" s="83" t="str">
        <f>IF(LEFT(D116,4)*1&lt;LEFT('General inputs'!$I$16,4)*1,"",IF(LEFT(D116,4)*1&gt;LEFT('General inputs'!$I$16,4)+'General inputs'!$H$38-1,"",E116/(1+'General inputs'!$H$34)^C116))</f>
        <v/>
      </c>
      <c r="J116" s="113"/>
      <c r="K116" s="113"/>
      <c r="L116" s="83" t="str">
        <f>IF(LEFT(D116,4)*1&gt;LEFT('General inputs'!$I$18,4)*1,"",SUMIF('Post-1996 commissioned assets'!$F$22:$F$901,$D116,'Post-1996 commissioned assets'!$P$22:$P$901)*(1+$K$34)*(1+$K$35))</f>
        <v/>
      </c>
      <c r="M116" s="83" t="str">
        <f>IF(L116="","",L116/(1+'General inputs'!$H$32)^C116)</f>
        <v/>
      </c>
      <c r="N116" s="83">
        <f>IF(LEFT(D116,4)*1&lt;LEFT('General inputs'!$I$18,4)*1+1,"",SUMIF('Uncommissioned assets'!$F$22:$F$300,$D116,'Uncommissioned assets'!$P$22:$P$300))</f>
        <v>0</v>
      </c>
      <c r="O116" s="83">
        <f>IF(N116="","",N116/(1+'General inputs'!$H$32)^C116)</f>
        <v>0</v>
      </c>
      <c r="Q116" s="39"/>
      <c r="R116" s="83" t="str">
        <f>IF(OR(LEFT(D116,4)*1&lt;LEFT('General inputs'!$I$16,4)*1,LEFT(D116,4)*1&gt;LEFT('General inputs'!$I$16,4)+'General inputs'!$H$38-1),"",Q116/(1+'General inputs'!$H$34)^C116)</f>
        <v/>
      </c>
      <c r="T116" s="39"/>
      <c r="U116" s="83" t="str">
        <f>IF(OR(LEFT(D116,4)*1&lt;LEFT('General inputs'!$I$16,4)*1,LEFT(D116,4)*1&gt;LEFT('General inputs'!$I$16,4)+'General inputs'!$H$38-1),"",T116/(1+'General inputs'!$H$34)^C116)</f>
        <v/>
      </c>
      <c r="V116" s="56"/>
    </row>
    <row r="117" spans="2:22" x14ac:dyDescent="0.25">
      <c r="B117" s="55"/>
      <c r="C117" s="28">
        <f>IF(D117='General inputs'!$I$16,0,IF(D117&lt;'General inputs'!$I$16,C118-1,C116+1))</f>
        <v>51</v>
      </c>
      <c r="D117" s="28" t="str">
        <f t="shared" si="3"/>
        <v>2073-74</v>
      </c>
      <c r="E117" s="83" t="str">
        <f>IF(LEFT(D117,4)*1&gt;LEFT('General inputs'!$I$16,4)+'General inputs'!$H$38-1,"",'ET inputs'!D90)</f>
        <v/>
      </c>
      <c r="F117" s="83" t="str">
        <f>IF(LEFT(D117,4)*1&gt;LEFT('General inputs'!$I$16,4)+'General inputs'!$H$38-1,"",E117/(1+'General inputs'!$H$30)^C117)</f>
        <v/>
      </c>
      <c r="G117" s="83" t="str">
        <f>IF(LEFT(D117,4)*1&gt;LEFT('General inputs'!$I$16,4)+'General inputs'!$H$38-1,"",E117/(1+'General inputs'!$H$32)^C117)</f>
        <v/>
      </c>
      <c r="H117" s="83" t="str">
        <f>IF(LEFT(D117,4)*1&lt;LEFT('General inputs'!$I$16,4)*1,"",IF(LEFT(D117,4)*1&gt;LEFT('General inputs'!$I$16,4)+'General inputs'!$H$38-1,"",E117/(1+'General inputs'!$H$34)^C117))</f>
        <v/>
      </c>
      <c r="J117" s="113"/>
      <c r="K117" s="113"/>
      <c r="L117" s="83" t="str">
        <f>IF(LEFT(D117,4)*1&gt;LEFT('General inputs'!$I$18,4)*1,"",SUMIF('Post-1996 commissioned assets'!$F$22:$F$901,$D117,'Post-1996 commissioned assets'!$P$22:$P$901)*(1+$K$34)*(1+$K$35))</f>
        <v/>
      </c>
      <c r="M117" s="83" t="str">
        <f>IF(L117="","",L117/(1+'General inputs'!$H$32)^C117)</f>
        <v/>
      </c>
      <c r="N117" s="83">
        <f>IF(LEFT(D117,4)*1&lt;LEFT('General inputs'!$I$18,4)*1+1,"",SUMIF('Uncommissioned assets'!$F$22:$F$300,$D117,'Uncommissioned assets'!$P$22:$P$300))</f>
        <v>0</v>
      </c>
      <c r="O117" s="83">
        <f>IF(N117="","",N117/(1+'General inputs'!$H$32)^C117)</f>
        <v>0</v>
      </c>
      <c r="Q117" s="39"/>
      <c r="R117" s="83" t="str">
        <f>IF(OR(LEFT(D117,4)*1&lt;LEFT('General inputs'!$I$16,4)*1,LEFT(D117,4)*1&gt;LEFT('General inputs'!$I$16,4)+'General inputs'!$H$38-1),"",Q117/(1+'General inputs'!$H$34)^C117)</f>
        <v/>
      </c>
      <c r="T117" s="39"/>
      <c r="U117" s="83" t="str">
        <f>IF(OR(LEFT(D117,4)*1&lt;LEFT('General inputs'!$I$16,4)*1,LEFT(D117,4)*1&gt;LEFT('General inputs'!$I$16,4)+'General inputs'!$H$38-1),"",T117/(1+'General inputs'!$H$34)^C117)</f>
        <v/>
      </c>
      <c r="V117" s="56"/>
    </row>
    <row r="118" spans="2:22" x14ac:dyDescent="0.25">
      <c r="B118" s="55"/>
      <c r="C118" s="28">
        <f>IF(D118='General inputs'!$I$16,0,IF(D118&lt;'General inputs'!$I$16,C119-1,C117+1))</f>
        <v>52</v>
      </c>
      <c r="D118" s="28" t="str">
        <f t="shared" si="3"/>
        <v>2074-75</v>
      </c>
      <c r="E118" s="83" t="str">
        <f>IF(LEFT(D118,4)*1&gt;LEFT('General inputs'!$I$16,4)+'General inputs'!$H$38-1,"",'ET inputs'!D91)</f>
        <v/>
      </c>
      <c r="F118" s="83" t="str">
        <f>IF(LEFT(D118,4)*1&gt;LEFT('General inputs'!$I$16,4)+'General inputs'!$H$38-1,"",E118/(1+'General inputs'!$H$30)^C118)</f>
        <v/>
      </c>
      <c r="G118" s="83" t="str">
        <f>IF(LEFT(D118,4)*1&gt;LEFT('General inputs'!$I$16,4)+'General inputs'!$H$38-1,"",E118/(1+'General inputs'!$H$32)^C118)</f>
        <v/>
      </c>
      <c r="H118" s="83" t="str">
        <f>IF(LEFT(D118,4)*1&lt;LEFT('General inputs'!$I$16,4)*1,"",IF(LEFT(D118,4)*1&gt;LEFT('General inputs'!$I$16,4)+'General inputs'!$H$38-1,"",E118/(1+'General inputs'!$H$34)^C118))</f>
        <v/>
      </c>
      <c r="J118" s="113"/>
      <c r="K118" s="113"/>
      <c r="L118" s="83" t="str">
        <f>IF(LEFT(D118,4)*1&gt;LEFT('General inputs'!$I$18,4)*1,"",SUMIF('Post-1996 commissioned assets'!$F$22:$F$901,$D118,'Post-1996 commissioned assets'!$P$22:$P$901)*(1+$K$34)*(1+$K$35))</f>
        <v/>
      </c>
      <c r="M118" s="83" t="str">
        <f>IF(L118="","",L118/(1+'General inputs'!$H$32)^C118)</f>
        <v/>
      </c>
      <c r="N118" s="83">
        <f>IF(LEFT(D118,4)*1&lt;LEFT('General inputs'!$I$18,4)*1+1,"",SUMIF('Uncommissioned assets'!$F$22:$F$300,$D118,'Uncommissioned assets'!$P$22:$P$300))</f>
        <v>0</v>
      </c>
      <c r="O118" s="83">
        <f>IF(N118="","",N118/(1+'General inputs'!$H$32)^C118)</f>
        <v>0</v>
      </c>
      <c r="Q118" s="39"/>
      <c r="R118" s="83" t="str">
        <f>IF(OR(LEFT(D118,4)*1&lt;LEFT('General inputs'!$I$16,4)*1,LEFT(D118,4)*1&gt;LEFT('General inputs'!$I$16,4)+'General inputs'!$H$38-1),"",Q118/(1+'General inputs'!$H$34)^C118)</f>
        <v/>
      </c>
      <c r="T118" s="39"/>
      <c r="U118" s="83" t="str">
        <f>IF(OR(LEFT(D118,4)*1&lt;LEFT('General inputs'!$I$16,4)*1,LEFT(D118,4)*1&gt;LEFT('General inputs'!$I$16,4)+'General inputs'!$H$38-1),"",T118/(1+'General inputs'!$H$34)^C118)</f>
        <v/>
      </c>
      <c r="V118" s="56"/>
    </row>
    <row r="119" spans="2:22" x14ac:dyDescent="0.25">
      <c r="B119" s="55"/>
      <c r="C119" s="28">
        <f>IF(D119='General inputs'!$I$16,0,IF(D119&lt;'General inputs'!$I$16,C120-1,C118+1))</f>
        <v>53</v>
      </c>
      <c r="D119" s="28" t="str">
        <f t="shared" si="3"/>
        <v>2075-76</v>
      </c>
      <c r="E119" s="83" t="str">
        <f>IF(LEFT(D119,4)*1&gt;LEFT('General inputs'!$I$16,4)+'General inputs'!$H$38-1,"",'ET inputs'!D92)</f>
        <v/>
      </c>
      <c r="F119" s="83" t="str">
        <f>IF(LEFT(D119,4)*1&gt;LEFT('General inputs'!$I$16,4)+'General inputs'!$H$38-1,"",E119/(1+'General inputs'!$H$30)^C119)</f>
        <v/>
      </c>
      <c r="G119" s="83" t="str">
        <f>IF(LEFT(D119,4)*1&gt;LEFT('General inputs'!$I$16,4)+'General inputs'!$H$38-1,"",E119/(1+'General inputs'!$H$32)^C119)</f>
        <v/>
      </c>
      <c r="H119" s="83" t="str">
        <f>IF(LEFT(D119,4)*1&lt;LEFT('General inputs'!$I$16,4)*1,"",IF(LEFT(D119,4)*1&gt;LEFT('General inputs'!$I$16,4)+'General inputs'!$H$38-1,"",E119/(1+'General inputs'!$H$34)^C119))</f>
        <v/>
      </c>
      <c r="J119" s="113"/>
      <c r="K119" s="113"/>
      <c r="L119" s="83" t="str">
        <f>IF(LEFT(D119,4)*1&gt;LEFT('General inputs'!$I$18,4)*1,"",SUMIF('Post-1996 commissioned assets'!$F$22:$F$901,$D119,'Post-1996 commissioned assets'!$P$22:$P$901)*(1+$K$34)*(1+$K$35))</f>
        <v/>
      </c>
      <c r="M119" s="83" t="str">
        <f>IF(L119="","",L119/(1+'General inputs'!$H$32)^C119)</f>
        <v/>
      </c>
      <c r="N119" s="83">
        <f>IF(LEFT(D119,4)*1&lt;LEFT('General inputs'!$I$18,4)*1+1,"",SUMIF('Uncommissioned assets'!$F$22:$F$300,$D119,'Uncommissioned assets'!$P$22:$P$300))</f>
        <v>0</v>
      </c>
      <c r="O119" s="83">
        <f>IF(N119="","",N119/(1+'General inputs'!$H$32)^C119)</f>
        <v>0</v>
      </c>
      <c r="Q119" s="39"/>
      <c r="R119" s="83" t="str">
        <f>IF(OR(LEFT(D119,4)*1&lt;LEFT('General inputs'!$I$16,4)*1,LEFT(D119,4)*1&gt;LEFT('General inputs'!$I$16,4)+'General inputs'!$H$38-1),"",Q119/(1+'General inputs'!$H$34)^C119)</f>
        <v/>
      </c>
      <c r="T119" s="39"/>
      <c r="U119" s="83" t="str">
        <f>IF(OR(LEFT(D119,4)*1&lt;LEFT('General inputs'!$I$16,4)*1,LEFT(D119,4)*1&gt;LEFT('General inputs'!$I$16,4)+'General inputs'!$H$38-1),"",T119/(1+'General inputs'!$H$34)^C119)</f>
        <v/>
      </c>
      <c r="V119" s="56"/>
    </row>
    <row r="120" spans="2:22" x14ac:dyDescent="0.25">
      <c r="B120" s="55"/>
      <c r="C120" s="28">
        <f>IF(D120='General inputs'!$I$16,0,IF(D120&lt;'General inputs'!$I$16,C121-1,C119+1))</f>
        <v>54</v>
      </c>
      <c r="D120" s="28" t="str">
        <f t="shared" si="3"/>
        <v>2076-77</v>
      </c>
      <c r="E120" s="83" t="str">
        <f>IF(LEFT(D120,4)*1&gt;LEFT('General inputs'!$I$16,4)+'General inputs'!$H$38-1,"",'ET inputs'!D93)</f>
        <v/>
      </c>
      <c r="F120" s="83" t="str">
        <f>IF(LEFT(D120,4)*1&gt;LEFT('General inputs'!$I$16,4)+'General inputs'!$H$38-1,"",E120/(1+'General inputs'!$H$30)^C120)</f>
        <v/>
      </c>
      <c r="G120" s="83" t="str">
        <f>IF(LEFT(D120,4)*1&gt;LEFT('General inputs'!$I$16,4)+'General inputs'!$H$38-1,"",E120/(1+'General inputs'!$H$32)^C120)</f>
        <v/>
      </c>
      <c r="H120" s="83" t="str">
        <f>IF(LEFT(D120,4)*1&lt;LEFT('General inputs'!$I$16,4)*1,"",IF(LEFT(D120,4)*1&gt;LEFT('General inputs'!$I$16,4)+'General inputs'!$H$38-1,"",E120/(1+'General inputs'!$H$34)^C120))</f>
        <v/>
      </c>
      <c r="J120" s="113"/>
      <c r="K120" s="113"/>
      <c r="L120" s="83" t="str">
        <f>IF(LEFT(D120,4)*1&gt;LEFT('General inputs'!$I$18,4)*1,"",SUMIF('Post-1996 commissioned assets'!$F$22:$F$901,$D120,'Post-1996 commissioned assets'!$P$22:$P$901)*(1+$K$34)*(1+$K$35))</f>
        <v/>
      </c>
      <c r="M120" s="83" t="str">
        <f>IF(L120="","",L120/(1+'General inputs'!$H$32)^C120)</f>
        <v/>
      </c>
      <c r="N120" s="83">
        <f>IF(LEFT(D120,4)*1&lt;LEFT('General inputs'!$I$18,4)*1+1,"",SUMIF('Uncommissioned assets'!$F$22:$F$300,$D120,'Uncommissioned assets'!$P$22:$P$300))</f>
        <v>0</v>
      </c>
      <c r="O120" s="83">
        <f>IF(N120="","",N120/(1+'General inputs'!$H$32)^C120)</f>
        <v>0</v>
      </c>
      <c r="Q120" s="39"/>
      <c r="R120" s="83" t="str">
        <f>IF(OR(LEFT(D120,4)*1&lt;LEFT('General inputs'!$I$16,4)*1,LEFT(D120,4)*1&gt;LEFT('General inputs'!$I$16,4)+'General inputs'!$H$38-1),"",Q120/(1+'General inputs'!$H$34)^C120)</f>
        <v/>
      </c>
      <c r="T120" s="39"/>
      <c r="U120" s="83" t="str">
        <f>IF(OR(LEFT(D120,4)*1&lt;LEFT('General inputs'!$I$16,4)*1,LEFT(D120,4)*1&gt;LEFT('General inputs'!$I$16,4)+'General inputs'!$H$38-1),"",T120/(1+'General inputs'!$H$34)^C120)</f>
        <v/>
      </c>
      <c r="V120" s="56"/>
    </row>
    <row r="121" spans="2:22" x14ac:dyDescent="0.25">
      <c r="B121" s="55"/>
      <c r="C121" s="28">
        <f>IF(D121='General inputs'!$I$16,0,IF(D121&lt;'General inputs'!$I$16,C122-1,C120+1))</f>
        <v>55</v>
      </c>
      <c r="D121" s="28" t="str">
        <f t="shared" si="3"/>
        <v>2077-78</v>
      </c>
      <c r="E121" s="83" t="str">
        <f>IF(LEFT(D121,4)*1&gt;LEFT('General inputs'!$I$16,4)+'General inputs'!$H$38-1,"",'ET inputs'!D94)</f>
        <v/>
      </c>
      <c r="F121" s="83" t="str">
        <f>IF(LEFT(D121,4)*1&gt;LEFT('General inputs'!$I$16,4)+'General inputs'!$H$38-1,"",E121/(1+'General inputs'!$H$30)^C121)</f>
        <v/>
      </c>
      <c r="G121" s="83" t="str">
        <f>IF(LEFT(D121,4)*1&gt;LEFT('General inputs'!$I$16,4)+'General inputs'!$H$38-1,"",E121/(1+'General inputs'!$H$32)^C121)</f>
        <v/>
      </c>
      <c r="H121" s="83" t="str">
        <f>IF(LEFT(D121,4)*1&lt;LEFT('General inputs'!$I$16,4)*1,"",IF(LEFT(D121,4)*1&gt;LEFT('General inputs'!$I$16,4)+'General inputs'!$H$38-1,"",E121/(1+'General inputs'!$H$34)^C121))</f>
        <v/>
      </c>
      <c r="J121" s="113"/>
      <c r="K121" s="113"/>
      <c r="L121" s="83" t="str">
        <f>IF(LEFT(D121,4)*1&gt;LEFT('General inputs'!$I$18,4)*1,"",SUMIF('Post-1996 commissioned assets'!$F$22:$F$901,$D121,'Post-1996 commissioned assets'!$P$22:$P$901)*(1+$K$34)*(1+$K$35))</f>
        <v/>
      </c>
      <c r="M121" s="83" t="str">
        <f>IF(L121="","",L121/(1+'General inputs'!$H$32)^C121)</f>
        <v/>
      </c>
      <c r="N121" s="83">
        <f>IF(LEFT(D121,4)*1&lt;LEFT('General inputs'!$I$18,4)*1+1,"",SUMIF('Uncommissioned assets'!$F$22:$F$300,$D121,'Uncommissioned assets'!$P$22:$P$300))</f>
        <v>0</v>
      </c>
      <c r="O121" s="83">
        <f>IF(N121="","",N121/(1+'General inputs'!$H$32)^C121)</f>
        <v>0</v>
      </c>
      <c r="Q121" s="39"/>
      <c r="R121" s="83" t="str">
        <f>IF(OR(LEFT(D121,4)*1&lt;LEFT('General inputs'!$I$16,4)*1,LEFT(D121,4)*1&gt;LEFT('General inputs'!$I$16,4)+'General inputs'!$H$38-1),"",Q121/(1+'General inputs'!$H$34)^C121)</f>
        <v/>
      </c>
      <c r="T121" s="39"/>
      <c r="U121" s="83" t="str">
        <f>IF(OR(LEFT(D121,4)*1&lt;LEFT('General inputs'!$I$16,4)*1,LEFT(D121,4)*1&gt;LEFT('General inputs'!$I$16,4)+'General inputs'!$H$38-1),"",T121/(1+'General inputs'!$H$34)^C121)</f>
        <v/>
      </c>
      <c r="V121" s="56"/>
    </row>
    <row r="122" spans="2:22" x14ac:dyDescent="0.25">
      <c r="B122" s="55"/>
      <c r="C122" s="28">
        <f>IF(D122='General inputs'!$I$16,0,IF(D122&lt;'General inputs'!$I$16,C123-1,C121+1))</f>
        <v>56</v>
      </c>
      <c r="D122" s="28" t="str">
        <f t="shared" si="3"/>
        <v>2078-79</v>
      </c>
      <c r="E122" s="83" t="str">
        <f>IF(LEFT(D122,4)*1&gt;LEFT('General inputs'!$I$16,4)+'General inputs'!$H$38-1,"",'ET inputs'!D95)</f>
        <v/>
      </c>
      <c r="F122" s="83" t="str">
        <f>IF(LEFT(D122,4)*1&gt;LEFT('General inputs'!$I$16,4)+'General inputs'!$H$38-1,"",E122/(1+'General inputs'!$H$30)^C122)</f>
        <v/>
      </c>
      <c r="G122" s="83" t="str">
        <f>IF(LEFT(D122,4)*1&gt;LEFT('General inputs'!$I$16,4)+'General inputs'!$H$38-1,"",E122/(1+'General inputs'!$H$32)^C122)</f>
        <v/>
      </c>
      <c r="H122" s="83" t="str">
        <f>IF(LEFT(D122,4)*1&lt;LEFT('General inputs'!$I$16,4)*1,"",IF(LEFT(D122,4)*1&gt;LEFT('General inputs'!$I$16,4)+'General inputs'!$H$38-1,"",E122/(1+'General inputs'!$H$34)^C122))</f>
        <v/>
      </c>
      <c r="J122" s="113"/>
      <c r="K122" s="113"/>
      <c r="L122" s="83" t="str">
        <f>IF(LEFT(D122,4)*1&gt;LEFT('General inputs'!$I$18,4)*1,"",SUMIF('Post-1996 commissioned assets'!$F$22:$F$901,$D122,'Post-1996 commissioned assets'!$P$22:$P$901)*(1+$K$34)*(1+$K$35))</f>
        <v/>
      </c>
      <c r="M122" s="83" t="str">
        <f>IF(L122="","",L122/(1+'General inputs'!$H$32)^C122)</f>
        <v/>
      </c>
      <c r="N122" s="83">
        <f>IF(LEFT(D122,4)*1&lt;LEFT('General inputs'!$I$18,4)*1+1,"",SUMIF('Uncommissioned assets'!$F$22:$F$300,$D122,'Uncommissioned assets'!$P$22:$P$300))</f>
        <v>0</v>
      </c>
      <c r="O122" s="83">
        <f>IF(N122="","",N122/(1+'General inputs'!$H$32)^C122)</f>
        <v>0</v>
      </c>
      <c r="Q122" s="39"/>
      <c r="R122" s="83" t="str">
        <f>IF(OR(LEFT(D122,4)*1&lt;LEFT('General inputs'!$I$16,4)*1,LEFT(D122,4)*1&gt;LEFT('General inputs'!$I$16,4)+'General inputs'!$H$38-1),"",Q122/(1+'General inputs'!$H$34)^C122)</f>
        <v/>
      </c>
      <c r="T122" s="39"/>
      <c r="U122" s="83" t="str">
        <f>IF(OR(LEFT(D122,4)*1&lt;LEFT('General inputs'!$I$16,4)*1,LEFT(D122,4)*1&gt;LEFT('General inputs'!$I$16,4)+'General inputs'!$H$38-1),"",T122/(1+'General inputs'!$H$34)^C122)</f>
        <v/>
      </c>
      <c r="V122" s="56"/>
    </row>
    <row r="123" spans="2:22" x14ac:dyDescent="0.25">
      <c r="B123" s="55"/>
      <c r="C123" s="28">
        <f>IF(D123='General inputs'!$I$16,0,IF(D123&lt;'General inputs'!$I$16,C124-1,C122+1))</f>
        <v>57</v>
      </c>
      <c r="D123" s="28" t="str">
        <f t="shared" ref="D123:D129" si="4">LEFT(D122,4)+1&amp;"-"&amp;RIGHT(D122,2)+1</f>
        <v>2079-80</v>
      </c>
      <c r="E123" s="83" t="str">
        <f>IF(LEFT(D123,4)*1&gt;LEFT('General inputs'!$I$16,4)+'General inputs'!$H$38-1,"",'ET inputs'!D96)</f>
        <v/>
      </c>
      <c r="F123" s="83" t="str">
        <f>IF(LEFT(D123,4)*1&gt;LEFT('General inputs'!$I$16,4)+'General inputs'!$H$38-1,"",E123/(1+'General inputs'!$H$30)^C123)</f>
        <v/>
      </c>
      <c r="G123" s="83" t="str">
        <f>IF(LEFT(D123,4)*1&gt;LEFT('General inputs'!$I$16,4)+'General inputs'!$H$38-1,"",E123/(1+'General inputs'!$H$32)^C123)</f>
        <v/>
      </c>
      <c r="H123" s="83" t="str">
        <f>IF(LEFT(D123,4)*1&lt;LEFT('General inputs'!$I$16,4)*1,"",IF(LEFT(D123,4)*1&gt;LEFT('General inputs'!$I$16,4)+'General inputs'!$H$38-1,"",E123/(1+'General inputs'!$H$34)^C123))</f>
        <v/>
      </c>
      <c r="J123" s="113"/>
      <c r="K123" s="113"/>
      <c r="L123" s="83" t="str">
        <f>IF(LEFT(D123,4)*1&gt;LEFT('General inputs'!$I$18,4)*1,"",SUMIF('Post-1996 commissioned assets'!$F$22:$F$901,$D123,'Post-1996 commissioned assets'!$P$22:$P$901)*(1+$K$34)*(1+$K$35))</f>
        <v/>
      </c>
      <c r="M123" s="83" t="str">
        <f>IF(L123="","",L123/(1+'General inputs'!$H$32)^C123)</f>
        <v/>
      </c>
      <c r="N123" s="83">
        <f>IF(LEFT(D123,4)*1&lt;LEFT('General inputs'!$I$18,4)*1+1,"",SUMIF('Uncommissioned assets'!$F$22:$F$300,$D123,'Uncommissioned assets'!$P$22:$P$300))</f>
        <v>0</v>
      </c>
      <c r="O123" s="83">
        <f>IF(N123="","",N123/(1+'General inputs'!$H$32)^C123)</f>
        <v>0</v>
      </c>
      <c r="Q123" s="39"/>
      <c r="R123" s="83" t="str">
        <f>IF(OR(LEFT(D123,4)*1&lt;LEFT('General inputs'!$I$16,4)*1,LEFT(D123,4)*1&gt;LEFT('General inputs'!$I$16,4)+'General inputs'!$H$38-1),"",Q123/(1+'General inputs'!$H$34)^C123)</f>
        <v/>
      </c>
      <c r="T123" s="39"/>
      <c r="U123" s="83" t="str">
        <f>IF(OR(LEFT(D123,4)*1&lt;LEFT('General inputs'!$I$16,4)*1,LEFT(D123,4)*1&gt;LEFT('General inputs'!$I$16,4)+'General inputs'!$H$38-1),"",T123/(1+'General inputs'!$H$34)^C123)</f>
        <v/>
      </c>
      <c r="V123" s="56"/>
    </row>
    <row r="124" spans="2:22" x14ac:dyDescent="0.25">
      <c r="B124" s="55"/>
      <c r="C124" s="28">
        <f>IF(D124='General inputs'!$I$16,0,IF(D124&lt;'General inputs'!$I$16,C125-1,C123+1))</f>
        <v>58</v>
      </c>
      <c r="D124" s="28" t="str">
        <f t="shared" si="4"/>
        <v>2080-81</v>
      </c>
      <c r="E124" s="83" t="str">
        <f>IF(LEFT(D124,4)*1&gt;LEFT('General inputs'!$I$16,4)+'General inputs'!$H$38-1,"",'ET inputs'!D97)</f>
        <v/>
      </c>
      <c r="F124" s="83" t="str">
        <f>IF(LEFT(D124,4)*1&gt;LEFT('General inputs'!$I$16,4)+'General inputs'!$H$38-1,"",E124/(1+'General inputs'!$H$30)^C124)</f>
        <v/>
      </c>
      <c r="G124" s="83" t="str">
        <f>IF(LEFT(D124,4)*1&gt;LEFT('General inputs'!$I$16,4)+'General inputs'!$H$38-1,"",E124/(1+'General inputs'!$H$32)^C124)</f>
        <v/>
      </c>
      <c r="H124" s="83" t="str">
        <f>IF(LEFT(D124,4)*1&lt;LEFT('General inputs'!$I$16,4)*1,"",IF(LEFT(D124,4)*1&gt;LEFT('General inputs'!$I$16,4)+'General inputs'!$H$38-1,"",E124/(1+'General inputs'!$H$34)^C124))</f>
        <v/>
      </c>
      <c r="J124" s="113"/>
      <c r="K124" s="113"/>
      <c r="L124" s="83" t="str">
        <f>IF(LEFT(D124,4)*1&gt;LEFT('General inputs'!$I$18,4)*1,"",SUMIF('Post-1996 commissioned assets'!$F$22:$F$901,$D124,'Post-1996 commissioned assets'!$P$22:$P$901)*(1+$K$34)*(1+$K$35))</f>
        <v/>
      </c>
      <c r="M124" s="83" t="str">
        <f>IF(L124="","",L124/(1+'General inputs'!$H$32)^C124)</f>
        <v/>
      </c>
      <c r="N124" s="83">
        <f>IF(LEFT(D124,4)*1&lt;LEFT('General inputs'!$I$18,4)*1+1,"",SUMIF('Uncommissioned assets'!$F$22:$F$300,$D124,'Uncommissioned assets'!$P$22:$P$300))</f>
        <v>0</v>
      </c>
      <c r="O124" s="83">
        <f>IF(N124="","",N124/(1+'General inputs'!$H$32)^C124)</f>
        <v>0</v>
      </c>
      <c r="Q124" s="39"/>
      <c r="R124" s="83" t="str">
        <f>IF(OR(LEFT(D124,4)*1&lt;LEFT('General inputs'!$I$16,4)*1,LEFT(D124,4)*1&gt;LEFT('General inputs'!$I$16,4)+'General inputs'!$H$38-1),"",Q124/(1+'General inputs'!$H$34)^C124)</f>
        <v/>
      </c>
      <c r="T124" s="39"/>
      <c r="U124" s="83" t="str">
        <f>IF(OR(LEFT(D124,4)*1&lt;LEFT('General inputs'!$I$16,4)*1,LEFT(D124,4)*1&gt;LEFT('General inputs'!$I$16,4)+'General inputs'!$H$38-1),"",T124/(1+'General inputs'!$H$34)^C124)</f>
        <v/>
      </c>
      <c r="V124" s="56"/>
    </row>
    <row r="125" spans="2:22" x14ac:dyDescent="0.25">
      <c r="B125" s="55"/>
      <c r="C125" s="28">
        <f>IF(D125='General inputs'!$I$16,0,IF(D125&lt;'General inputs'!$I$16,C126-1,C124+1))</f>
        <v>59</v>
      </c>
      <c r="D125" s="28" t="str">
        <f t="shared" si="4"/>
        <v>2081-82</v>
      </c>
      <c r="E125" s="83" t="str">
        <f>IF(LEFT(D125,4)*1&gt;LEFT('General inputs'!$I$16,4)+'General inputs'!$H$38-1,"",'ET inputs'!D98)</f>
        <v/>
      </c>
      <c r="F125" s="83" t="str">
        <f>IF(LEFT(D125,4)*1&gt;LEFT('General inputs'!$I$16,4)+'General inputs'!$H$38-1,"",E125/(1+'General inputs'!$H$30)^C125)</f>
        <v/>
      </c>
      <c r="G125" s="83" t="str">
        <f>IF(LEFT(D125,4)*1&gt;LEFT('General inputs'!$I$16,4)+'General inputs'!$H$38-1,"",E125/(1+'General inputs'!$H$32)^C125)</f>
        <v/>
      </c>
      <c r="H125" s="83" t="str">
        <f>IF(LEFT(D125,4)*1&lt;LEFT('General inputs'!$I$16,4)*1,"",IF(LEFT(D125,4)*1&gt;LEFT('General inputs'!$I$16,4)+'General inputs'!$H$38-1,"",E125/(1+'General inputs'!$H$34)^C125))</f>
        <v/>
      </c>
      <c r="J125" s="113"/>
      <c r="K125" s="113"/>
      <c r="L125" s="83" t="str">
        <f>IF(LEFT(D125,4)*1&gt;LEFT('General inputs'!$I$18,4)*1,"",SUMIF('Post-1996 commissioned assets'!$F$22:$F$901,$D125,'Post-1996 commissioned assets'!$P$22:$P$901)*(1+$K$34)*(1+$K$35))</f>
        <v/>
      </c>
      <c r="M125" s="83" t="str">
        <f>IF(L125="","",L125/(1+'General inputs'!$H$32)^C125)</f>
        <v/>
      </c>
      <c r="N125" s="83">
        <f>IF(LEFT(D125,4)*1&lt;LEFT('General inputs'!$I$18,4)*1+1,"",SUMIF('Uncommissioned assets'!$F$22:$F$300,$D125,'Uncommissioned assets'!$P$22:$P$300))</f>
        <v>0</v>
      </c>
      <c r="O125" s="83">
        <f>IF(N125="","",N125/(1+'General inputs'!$H$32)^C125)</f>
        <v>0</v>
      </c>
      <c r="Q125" s="39"/>
      <c r="R125" s="83" t="str">
        <f>IF(OR(LEFT(D125,4)*1&lt;LEFT('General inputs'!$I$16,4)*1,LEFT(D125,4)*1&gt;LEFT('General inputs'!$I$16,4)+'General inputs'!$H$38-1),"",Q125/(1+'General inputs'!$H$34)^C125)</f>
        <v/>
      </c>
      <c r="T125" s="39"/>
      <c r="U125" s="83" t="str">
        <f>IF(OR(LEFT(D125,4)*1&lt;LEFT('General inputs'!$I$16,4)*1,LEFT(D125,4)*1&gt;LEFT('General inputs'!$I$16,4)+'General inputs'!$H$38-1),"",T125/(1+'General inputs'!$H$34)^C125)</f>
        <v/>
      </c>
      <c r="V125" s="56"/>
    </row>
    <row r="126" spans="2:22" x14ac:dyDescent="0.25">
      <c r="B126" s="55"/>
      <c r="C126" s="28">
        <f>IF(D126='General inputs'!$I$16,0,IF(D126&lt;'General inputs'!$I$16,C127-1,C125+1))</f>
        <v>60</v>
      </c>
      <c r="D126" s="28" t="str">
        <f t="shared" si="4"/>
        <v>2082-83</v>
      </c>
      <c r="E126" s="83" t="str">
        <f>IF(LEFT(D126,4)*1&gt;LEFT('General inputs'!$I$16,4)+'General inputs'!$H$38-1,"",'ET inputs'!D99)</f>
        <v/>
      </c>
      <c r="F126" s="83" t="str">
        <f>IF(LEFT(D126,4)*1&gt;LEFT('General inputs'!$I$16,4)+'General inputs'!$H$38-1,"",E126/(1+'General inputs'!$H$30)^C126)</f>
        <v/>
      </c>
      <c r="G126" s="83" t="str">
        <f>IF(LEFT(D126,4)*1&gt;LEFT('General inputs'!$I$16,4)+'General inputs'!$H$38-1,"",E126/(1+'General inputs'!$H$32)^C126)</f>
        <v/>
      </c>
      <c r="H126" s="83" t="str">
        <f>IF(LEFT(D126,4)*1&lt;LEFT('General inputs'!$I$16,4)*1,"",IF(LEFT(D126,4)*1&gt;LEFT('General inputs'!$I$16,4)+'General inputs'!$H$38-1,"",E126/(1+'General inputs'!$H$34)^C126))</f>
        <v/>
      </c>
      <c r="J126" s="113"/>
      <c r="K126" s="113"/>
      <c r="L126" s="83" t="str">
        <f>IF(LEFT(D126,4)*1&gt;LEFT('General inputs'!$I$18,4)*1,"",SUMIF('Post-1996 commissioned assets'!$F$22:$F$901,$D126,'Post-1996 commissioned assets'!$P$22:$P$901)*(1+$K$34)*(1+$K$35))</f>
        <v/>
      </c>
      <c r="M126" s="83" t="str">
        <f>IF(L126="","",L126/(1+'General inputs'!$H$32)^C126)</f>
        <v/>
      </c>
      <c r="N126" s="83">
        <f>IF(LEFT(D126,4)*1&lt;LEFT('General inputs'!$I$18,4)*1+1,"",SUMIF('Uncommissioned assets'!$F$22:$F$300,$D126,'Uncommissioned assets'!$P$22:$P$300))</f>
        <v>0</v>
      </c>
      <c r="O126" s="83">
        <f>IF(N126="","",N126/(1+'General inputs'!$H$32)^C126)</f>
        <v>0</v>
      </c>
      <c r="Q126" s="39"/>
      <c r="R126" s="83" t="str">
        <f>IF(OR(LEFT(D126,4)*1&lt;LEFT('General inputs'!$I$16,4)*1,LEFT(D126,4)*1&gt;LEFT('General inputs'!$I$16,4)+'General inputs'!$H$38-1),"",Q126/(1+'General inputs'!$H$34)^C126)</f>
        <v/>
      </c>
      <c r="T126" s="39"/>
      <c r="U126" s="83" t="str">
        <f>IF(OR(LEFT(D126,4)*1&lt;LEFT('General inputs'!$I$16,4)*1,LEFT(D126,4)*1&gt;LEFT('General inputs'!$I$16,4)+'General inputs'!$H$38-1),"",T126/(1+'General inputs'!$H$34)^C126)</f>
        <v/>
      </c>
      <c r="V126" s="56"/>
    </row>
    <row r="127" spans="2:22" x14ac:dyDescent="0.25">
      <c r="B127" s="55"/>
      <c r="C127" s="28">
        <f>IF(D127='General inputs'!$I$16,0,IF(D127&lt;'General inputs'!$I$16,C128-1,C126+1))</f>
        <v>61</v>
      </c>
      <c r="D127" s="28" t="str">
        <f t="shared" si="4"/>
        <v>2083-84</v>
      </c>
      <c r="E127" s="83" t="str">
        <f>IF(LEFT(D127,4)*1&gt;LEFT('General inputs'!$I$16,4)+'General inputs'!$H$38-1,"",'ET inputs'!D100)</f>
        <v/>
      </c>
      <c r="F127" s="83" t="str">
        <f>IF(LEFT(D127,4)*1&gt;LEFT('General inputs'!$I$16,4)+'General inputs'!$H$38-1,"",E127/(1+'General inputs'!$H$30)^C127)</f>
        <v/>
      </c>
      <c r="G127" s="83" t="str">
        <f>IF(LEFT(D127,4)*1&gt;LEFT('General inputs'!$I$16,4)+'General inputs'!$H$38-1,"",E127/(1+'General inputs'!$H$32)^C127)</f>
        <v/>
      </c>
      <c r="H127" s="83" t="str">
        <f>IF(LEFT(D127,4)*1&lt;LEFT('General inputs'!$I$16,4)*1,"",IF(LEFT(D127,4)*1&gt;LEFT('General inputs'!$I$16,4)+'General inputs'!$H$38-1,"",E127/(1+'General inputs'!$H$34)^C127))</f>
        <v/>
      </c>
      <c r="J127" s="113"/>
      <c r="K127" s="113"/>
      <c r="L127" s="83" t="str">
        <f>IF(LEFT(D127,4)*1&gt;LEFT('General inputs'!$I$18,4)*1,"",SUMIF('Post-1996 commissioned assets'!$F$22:$F$901,$D127,'Post-1996 commissioned assets'!$P$22:$P$901)*(1+$K$34)*(1+$K$35))</f>
        <v/>
      </c>
      <c r="M127" s="83" t="str">
        <f>IF(L127="","",L127/(1+'General inputs'!$H$32)^C127)</f>
        <v/>
      </c>
      <c r="N127" s="83">
        <f>IF(LEFT(D127,4)*1&lt;LEFT('General inputs'!$I$18,4)*1+1,"",SUMIF('Uncommissioned assets'!$F$22:$F$300,$D127,'Uncommissioned assets'!$P$22:$P$300))</f>
        <v>0</v>
      </c>
      <c r="O127" s="83">
        <f>IF(N127="","",N127/(1+'General inputs'!$H$32)^C127)</f>
        <v>0</v>
      </c>
      <c r="Q127" s="39"/>
      <c r="R127" s="83" t="str">
        <f>IF(OR(LEFT(D127,4)*1&lt;LEFT('General inputs'!$I$16,4)*1,LEFT(D127,4)*1&gt;LEFT('General inputs'!$I$16,4)+'General inputs'!$H$38-1),"",Q127/(1+'General inputs'!$H$34)^C127)</f>
        <v/>
      </c>
      <c r="T127" s="39"/>
      <c r="U127" s="83" t="str">
        <f>IF(OR(LEFT(D127,4)*1&lt;LEFT('General inputs'!$I$16,4)*1,LEFT(D127,4)*1&gt;LEFT('General inputs'!$I$16,4)+'General inputs'!$H$38-1),"",T127/(1+'General inputs'!$H$34)^C127)</f>
        <v/>
      </c>
      <c r="V127" s="56"/>
    </row>
    <row r="128" spans="2:22" x14ac:dyDescent="0.25">
      <c r="B128" s="55"/>
      <c r="C128" s="28">
        <f>IF(D128='General inputs'!$I$16,0,IF(D128&lt;'General inputs'!$I$16,C129-1,C127+1))</f>
        <v>62</v>
      </c>
      <c r="D128" s="28" t="str">
        <f t="shared" si="4"/>
        <v>2084-85</v>
      </c>
      <c r="E128" s="83" t="str">
        <f>IF(LEFT(D128,4)*1&gt;LEFT('General inputs'!$I$16,4)+'General inputs'!$H$38-1,"",'ET inputs'!D101)</f>
        <v/>
      </c>
      <c r="F128" s="83" t="str">
        <f>IF(LEFT(D128,4)*1&gt;LEFT('General inputs'!$I$16,4)+'General inputs'!$H$38-1,"",E128/(1+'General inputs'!$H$30)^C128)</f>
        <v/>
      </c>
      <c r="G128" s="83" t="str">
        <f>IF(LEFT(D128,4)*1&gt;LEFT('General inputs'!$I$16,4)+'General inputs'!$H$38-1,"",E128/(1+'General inputs'!$H$32)^C128)</f>
        <v/>
      </c>
      <c r="H128" s="83" t="str">
        <f>IF(LEFT(D128,4)*1&lt;LEFT('General inputs'!$I$16,4)*1,"",IF(LEFT(D128,4)*1&gt;LEFT('General inputs'!$I$16,4)+'General inputs'!$H$38-1,"",E128/(1+'General inputs'!$H$34)^C128))</f>
        <v/>
      </c>
      <c r="J128" s="113"/>
      <c r="K128" s="113"/>
      <c r="L128" s="83" t="str">
        <f>IF(LEFT(D128,4)*1&gt;LEFT('General inputs'!$I$18,4)*1,"",SUMIF('Post-1996 commissioned assets'!$F$22:$F$901,$D128,'Post-1996 commissioned assets'!$P$22:$P$901)*(1+$K$34)*(1+$K$35))</f>
        <v/>
      </c>
      <c r="M128" s="83" t="str">
        <f>IF(L128="","",L128/(1+'General inputs'!$H$32)^C128)</f>
        <v/>
      </c>
      <c r="N128" s="83">
        <f>IF(LEFT(D128,4)*1&lt;LEFT('General inputs'!$I$18,4)*1+1,"",SUMIF('Uncommissioned assets'!$F$22:$F$300,$D128,'Uncommissioned assets'!$P$22:$P$300))</f>
        <v>0</v>
      </c>
      <c r="O128" s="83">
        <f>IF(N128="","",N128/(1+'General inputs'!$H$32)^C128)</f>
        <v>0</v>
      </c>
      <c r="Q128" s="39"/>
      <c r="R128" s="83" t="str">
        <f>IF(OR(LEFT(D128,4)*1&lt;LEFT('General inputs'!$I$16,4)*1,LEFT(D128,4)*1&gt;LEFT('General inputs'!$I$16,4)+'General inputs'!$H$38-1),"",Q128/(1+'General inputs'!$H$34)^C128)</f>
        <v/>
      </c>
      <c r="T128" s="39"/>
      <c r="U128" s="83" t="str">
        <f>IF(OR(LEFT(D128,4)*1&lt;LEFT('General inputs'!$I$16,4)*1,LEFT(D128,4)*1&gt;LEFT('General inputs'!$I$16,4)+'General inputs'!$H$38-1),"",T128/(1+'General inputs'!$H$34)^C128)</f>
        <v/>
      </c>
      <c r="V128" s="56"/>
    </row>
    <row r="129" spans="2:22" x14ac:dyDescent="0.25">
      <c r="B129" s="55"/>
      <c r="C129" s="28">
        <f>IF(D129='General inputs'!$I$16,0,IF(D129&lt;'General inputs'!$I$16,C130-1,C128+1))</f>
        <v>63</v>
      </c>
      <c r="D129" s="28" t="str">
        <f t="shared" si="4"/>
        <v>2085-86</v>
      </c>
      <c r="E129" s="83" t="str">
        <f>IF(LEFT(D129,4)*1&gt;LEFT('General inputs'!$I$16,4)+'General inputs'!$H$38-1,"",'ET inputs'!D102)</f>
        <v/>
      </c>
      <c r="F129" s="83" t="str">
        <f>IF(LEFT(D129,4)*1&gt;LEFT('General inputs'!$I$16,4)+'General inputs'!$H$38-1,"",E129/(1+'General inputs'!$H$30)^C129)</f>
        <v/>
      </c>
      <c r="G129" s="83" t="str">
        <f>IF(LEFT(D129,4)*1&gt;LEFT('General inputs'!$I$16,4)+'General inputs'!$H$38-1,"",E129/(1+'General inputs'!$H$32)^C129)</f>
        <v/>
      </c>
      <c r="H129" s="83" t="str">
        <f>IF(LEFT(D129,4)*1&lt;LEFT('General inputs'!$I$16,4)*1,"",IF(LEFT(D129,4)*1&gt;LEFT('General inputs'!$I$16,4)+'General inputs'!$H$38-1,"",E129/(1+'General inputs'!$H$34)^C129))</f>
        <v/>
      </c>
      <c r="J129" s="113"/>
      <c r="K129" s="113"/>
      <c r="L129" s="83" t="str">
        <f>IF(LEFT(D129,4)*1&gt;LEFT('General inputs'!$I$18,4)*1,"",SUMIF('Post-1996 commissioned assets'!$F$22:$F$901,$D129,'Post-1996 commissioned assets'!$P$22:$P$901)*(1+$K$34)*(1+$K$35))</f>
        <v/>
      </c>
      <c r="M129" s="83" t="str">
        <f>IF(L129="","",L129/(1+'General inputs'!$H$32)^C129)</f>
        <v/>
      </c>
      <c r="N129" s="83">
        <f>IF(LEFT(D129,4)*1&lt;LEFT('General inputs'!$I$18,4)*1+1,"",SUMIF('Uncommissioned assets'!$F$22:$F$300,$D129,'Uncommissioned assets'!$P$22:$P$300))</f>
        <v>0</v>
      </c>
      <c r="O129" s="83">
        <f>IF(N129="","",N129/(1+'General inputs'!$H$32)^C129)</f>
        <v>0</v>
      </c>
      <c r="Q129" s="39"/>
      <c r="R129" s="83" t="str">
        <f>IF(OR(LEFT(D129,4)*1&lt;LEFT('General inputs'!$I$16,4)*1,LEFT(D129,4)*1&gt;LEFT('General inputs'!$I$16,4)+'General inputs'!$H$38-1),"",Q129/(1+'General inputs'!$H$34)^C129)</f>
        <v/>
      </c>
      <c r="T129" s="39"/>
      <c r="U129" s="83" t="str">
        <f>IF(OR(LEFT(D129,4)*1&lt;LEFT('General inputs'!$I$16,4)*1,LEFT(D129,4)*1&gt;LEFT('General inputs'!$I$16,4)+'General inputs'!$H$38-1),"",T129/(1+'General inputs'!$H$34)^C129)</f>
        <v/>
      </c>
      <c r="V129" s="56"/>
    </row>
    <row r="130" spans="2:22" x14ac:dyDescent="0.25">
      <c r="B130" s="57"/>
      <c r="C130" s="43"/>
      <c r="D130" s="43"/>
      <c r="E130" s="43"/>
      <c r="F130" s="43"/>
      <c r="G130" s="43"/>
      <c r="H130" s="43"/>
      <c r="I130" s="43"/>
      <c r="J130" s="43"/>
      <c r="K130" s="43"/>
      <c r="L130" s="43"/>
      <c r="M130" s="43"/>
      <c r="N130" s="43"/>
      <c r="O130" s="43"/>
      <c r="P130" s="43"/>
      <c r="Q130" s="43"/>
      <c r="R130" s="43"/>
      <c r="S130" s="43"/>
      <c r="T130" s="43"/>
      <c r="U130" s="43"/>
      <c r="V130" s="58"/>
    </row>
  </sheetData>
  <conditionalFormatting sqref="Q36">
    <cfRule type="containsText" dxfId="15" priority="6" operator="containsText" text="data">
      <formula>NOT(ISERROR(SEARCH("data",Q36)))</formula>
    </cfRule>
  </conditionalFormatting>
  <conditionalFormatting sqref="T36">
    <cfRule type="containsText" dxfId="14" priority="4"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8"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2"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1"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9"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50"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U50"/>
  <sheetViews>
    <sheetView showGridLines="0" zoomScaleNormal="100" workbookViewId="0">
      <selection activeCell="Q13" sqref="Q13"/>
    </sheetView>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 min="18" max="18" width="11.69921875" bestFit="1" customWidth="1"/>
    <col min="19" max="19" width="10.3984375" bestFit="1" customWidth="1"/>
  </cols>
  <sheetData>
    <row r="3" spans="3:21" ht="20" x14ac:dyDescent="0.4">
      <c r="C3" s="59" t="s">
        <v>129</v>
      </c>
    </row>
    <row r="5" spans="3:21" ht="15.5" x14ac:dyDescent="0.35">
      <c r="C5" s="2" t="s">
        <v>130</v>
      </c>
      <c r="H5" s="300" t="s">
        <v>131</v>
      </c>
      <c r="I5" s="301"/>
      <c r="L5" s="6" t="str">
        <f>"Do not delete - data validation for option at "&amp;ADDRESS(ROW(H5),COLUMN(H5))</f>
        <v>Do not delete - data validation for option at $H$5</v>
      </c>
      <c r="S5" s="190"/>
      <c r="T5" s="190"/>
      <c r="U5" s="192"/>
    </row>
    <row r="6" spans="3:21" x14ac:dyDescent="0.25">
      <c r="L6" t="s">
        <v>132</v>
      </c>
      <c r="M6" t="s">
        <v>133</v>
      </c>
    </row>
    <row r="7" spans="3:21" ht="15.5" x14ac:dyDescent="0.35">
      <c r="C7" s="2" t="s">
        <v>134</v>
      </c>
      <c r="H7" s="300" t="s">
        <v>488</v>
      </c>
      <c r="I7" s="301"/>
      <c r="L7" s="44" t="s">
        <v>135</v>
      </c>
      <c r="M7" s="138">
        <v>0</v>
      </c>
    </row>
    <row r="8" spans="3:21" x14ac:dyDescent="0.25">
      <c r="L8" s="45" t="s">
        <v>136</v>
      </c>
      <c r="M8" s="139">
        <v>0.03</v>
      </c>
    </row>
    <row r="9" spans="3:21" ht="15.5" hidden="1" outlineLevel="1" x14ac:dyDescent="0.35">
      <c r="C9" s="2" t="s">
        <v>137</v>
      </c>
      <c r="H9" s="300" t="s">
        <v>138</v>
      </c>
      <c r="I9" s="301"/>
      <c r="L9" s="46" t="s">
        <v>131</v>
      </c>
      <c r="M9" s="140">
        <v>0.03</v>
      </c>
    </row>
    <row r="10" spans="3:21" hidden="1" outlineLevel="1" x14ac:dyDescent="0.25"/>
    <row r="11" spans="3:21" ht="15.5" collapsed="1" x14ac:dyDescent="0.35">
      <c r="C11" s="2" t="s">
        <v>139</v>
      </c>
      <c r="H11" s="300" t="s">
        <v>140</v>
      </c>
      <c r="I11" s="301"/>
    </row>
    <row r="12" spans="3:21" x14ac:dyDescent="0.25">
      <c r="L12" s="6" t="str">
        <f>"Do not delete - data validation for options at "&amp;ADDRESS(ROW(H11),COLUMN(H11))</f>
        <v>Do not delete - data validation for options at $H$11</v>
      </c>
      <c r="S12" s="191"/>
      <c r="T12" s="191"/>
      <c r="U12" s="191"/>
    </row>
    <row r="13" spans="3:21" x14ac:dyDescent="0.25">
      <c r="L13" s="44" t="s">
        <v>140</v>
      </c>
      <c r="T13" s="51"/>
      <c r="U13" s="51"/>
    </row>
    <row r="14" spans="3:21" ht="15.5" x14ac:dyDescent="0.35">
      <c r="C14" s="2" t="s">
        <v>141</v>
      </c>
      <c r="I14" s="107" t="s">
        <v>142</v>
      </c>
      <c r="L14" s="45" t="s">
        <v>143</v>
      </c>
      <c r="T14" s="51"/>
      <c r="U14" s="51"/>
    </row>
    <row r="15" spans="3:21" x14ac:dyDescent="0.25">
      <c r="L15" s="46" t="s">
        <v>144</v>
      </c>
    </row>
    <row r="16" spans="3:21" x14ac:dyDescent="0.25">
      <c r="D16" s="6" t="s">
        <v>145</v>
      </c>
      <c r="I16" s="50" t="s">
        <v>146</v>
      </c>
    </row>
    <row r="17" spans="3:12" x14ac:dyDescent="0.25">
      <c r="D17" s="6"/>
    </row>
    <row r="18" spans="3:12" x14ac:dyDescent="0.25">
      <c r="D18" s="6" t="s">
        <v>147</v>
      </c>
      <c r="H18" s="181">
        <v>44377</v>
      </c>
      <c r="I18" s="67" t="str">
        <f>IF(MONTH(H18)&gt;=7,YEAR(H18)&amp;"-"&amp;RIGHT(YEAR(H18),2)+1,RIGHT(YEAR(H18),4)-1&amp;"-"&amp;RIGHT(YEAR(H18),2))</f>
        <v>2020-21</v>
      </c>
      <c r="L18" s="6" t="str">
        <f>"Do not delete - data validation for options at "&amp;ADDRESS(ROW(I16),COLUMN(I16))&amp;" and "&amp;ADDRESS(ROW(I40),COLUMN(I40))</f>
        <v>Do not delete - data validation for options at $I$16 and $I$40</v>
      </c>
    </row>
    <row r="19" spans="3:12" x14ac:dyDescent="0.25">
      <c r="L19" s="168" t="s">
        <v>148</v>
      </c>
    </row>
    <row r="20" spans="3:12" x14ac:dyDescent="0.25">
      <c r="L20" s="45" t="s">
        <v>149</v>
      </c>
    </row>
    <row r="21" spans="3:12" x14ac:dyDescent="0.25">
      <c r="D21" s="6" t="s">
        <v>150</v>
      </c>
      <c r="L21" s="45" t="s">
        <v>151</v>
      </c>
    </row>
    <row r="22" spans="3:12" x14ac:dyDescent="0.25">
      <c r="L22" s="45" t="s">
        <v>152</v>
      </c>
    </row>
    <row r="23" spans="3:12" x14ac:dyDescent="0.25">
      <c r="D23" s="65" t="s">
        <v>153</v>
      </c>
      <c r="H23" s="66">
        <v>25569</v>
      </c>
      <c r="L23" s="45" t="s">
        <v>146</v>
      </c>
    </row>
    <row r="24" spans="3:12" x14ac:dyDescent="0.25">
      <c r="D24" s="65" t="s">
        <v>154</v>
      </c>
      <c r="H24" s="66">
        <v>35064</v>
      </c>
      <c r="L24" s="45" t="s">
        <v>155</v>
      </c>
    </row>
    <row r="25" spans="3:12" x14ac:dyDescent="0.25">
      <c r="L25" s="45" t="s">
        <v>156</v>
      </c>
    </row>
    <row r="26" spans="3:12" x14ac:dyDescent="0.25">
      <c r="L26" s="45" t="s">
        <v>157</v>
      </c>
    </row>
    <row r="27" spans="3:12" x14ac:dyDescent="0.25">
      <c r="L27" s="45" t="s">
        <v>158</v>
      </c>
    </row>
    <row r="28" spans="3:12" ht="15.5" x14ac:dyDescent="0.35">
      <c r="C28" s="2" t="s">
        <v>159</v>
      </c>
      <c r="L28" s="45" t="s">
        <v>160</v>
      </c>
    </row>
    <row r="29" spans="3:12" x14ac:dyDescent="0.25">
      <c r="L29" s="45" t="s">
        <v>161</v>
      </c>
    </row>
    <row r="30" spans="3:12" x14ac:dyDescent="0.25">
      <c r="D30" s="6" t="s">
        <v>162</v>
      </c>
      <c r="H30" s="68">
        <f>INDEX($M$7:$M$12,MATCH($H$5,$L$7:$L$12))</f>
        <v>0.03</v>
      </c>
      <c r="L30" s="45" t="s">
        <v>163</v>
      </c>
    </row>
    <row r="31" spans="3:12" ht="12" customHeight="1" x14ac:dyDescent="0.35">
      <c r="C31" s="2"/>
      <c r="D31" s="6"/>
      <c r="H31" s="36"/>
      <c r="L31" s="46" t="s">
        <v>164</v>
      </c>
    </row>
    <row r="32" spans="3:12" ht="12" customHeight="1" x14ac:dyDescent="0.35">
      <c r="C32" s="2"/>
      <c r="D32" s="5" t="s">
        <v>165</v>
      </c>
      <c r="H32" s="170">
        <v>4.2000000000000003E-2</v>
      </c>
    </row>
    <row r="33" spans="3:12" ht="12" customHeight="1" x14ac:dyDescent="0.25">
      <c r="D33" s="6"/>
      <c r="H33" s="36"/>
    </row>
    <row r="34" spans="3:12" ht="12" customHeight="1" x14ac:dyDescent="0.25">
      <c r="D34" s="5" t="s">
        <v>166</v>
      </c>
      <c r="H34" s="170">
        <v>4.2000000000000003E-2</v>
      </c>
    </row>
    <row r="35" spans="3:12" ht="12" customHeight="1" x14ac:dyDescent="0.35">
      <c r="C35" s="2"/>
    </row>
    <row r="36" spans="3:12" ht="12" customHeight="1" x14ac:dyDescent="0.35">
      <c r="C36" s="2"/>
      <c r="D36" s="6" t="s">
        <v>167</v>
      </c>
      <c r="H36" s="252">
        <v>152.38999999999999</v>
      </c>
      <c r="L36" s="6" t="str">
        <f>"Do not delete - data validation for option at "&amp;ADDRESS(ROW(H42),COLUMN(H42))</f>
        <v>Do not delete - data validation for option at $H$42</v>
      </c>
    </row>
    <row r="37" spans="3:12" ht="12" customHeight="1" x14ac:dyDescent="0.35">
      <c r="C37" s="2"/>
      <c r="L37" s="44" t="s">
        <v>168</v>
      </c>
    </row>
    <row r="38" spans="3:12" ht="12" customHeight="1" x14ac:dyDescent="0.35">
      <c r="C38" s="2"/>
      <c r="D38" s="6" t="s">
        <v>169</v>
      </c>
      <c r="H38" s="69">
        <v>30</v>
      </c>
      <c r="L38" s="45" t="s">
        <v>170</v>
      </c>
    </row>
    <row r="39" spans="3:12" ht="12" customHeight="1" x14ac:dyDescent="0.35">
      <c r="C39" s="2"/>
      <c r="L39" s="46" t="s">
        <v>171</v>
      </c>
    </row>
    <row r="40" spans="3:12" ht="12" customHeight="1" x14ac:dyDescent="0.25">
      <c r="D40" s="6" t="s">
        <v>172</v>
      </c>
      <c r="I40" s="50" t="s">
        <v>152</v>
      </c>
    </row>
    <row r="42" spans="3:12" x14ac:dyDescent="0.25">
      <c r="D42" s="6" t="s">
        <v>173</v>
      </c>
      <c r="H42" s="169" t="s">
        <v>168</v>
      </c>
    </row>
    <row r="43" spans="3:12" x14ac:dyDescent="0.25">
      <c r="D43" s="6"/>
    </row>
    <row r="47" spans="3:12" ht="15.5" x14ac:dyDescent="0.35">
      <c r="C47" s="2"/>
    </row>
    <row r="49" spans="6:6" x14ac:dyDescent="0.25">
      <c r="F49" s="32"/>
    </row>
    <row r="50" spans="6:6" x14ac:dyDescent="0.25">
      <c r="F50" s="32"/>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Q736"/>
  <sheetViews>
    <sheetView showGridLines="0" zoomScale="70" zoomScaleNormal="70" workbookViewId="0">
      <pane ySplit="21" topLeftCell="A22" activePane="bottomLeft" state="frozen"/>
      <selection activeCell="F22" sqref="F22"/>
      <selection pane="bottomLeft" activeCell="D18" sqref="D18"/>
    </sheetView>
  </sheetViews>
  <sheetFormatPr defaultColWidth="28" defaultRowHeight="11.5" outlineLevelRow="1" x14ac:dyDescent="0.25"/>
  <cols>
    <col min="1" max="2" width="3.19921875" style="254" customWidth="1"/>
    <col min="3" max="3" width="15.69921875" customWidth="1"/>
    <col min="4" max="4" width="49.69921875" customWidth="1"/>
    <col min="5" max="5" width="15.69921875" customWidth="1"/>
    <col min="6" max="6" width="25.8984375" customWidth="1"/>
    <col min="7" max="7" width="2.8984375" customWidth="1"/>
    <col min="8" max="10" width="15.69921875" customWidth="1"/>
    <col min="11" max="11" width="2.69921875" customWidth="1"/>
    <col min="12" max="13" width="15.69921875" customWidth="1"/>
    <col min="14" max="14" width="18" customWidth="1"/>
    <col min="15" max="16" width="15.69921875" customWidth="1"/>
    <col min="17" max="17" width="17.3984375" style="212" customWidth="1"/>
  </cols>
  <sheetData>
    <row r="1" spans="3:17" x14ac:dyDescent="0.25">
      <c r="E1" s="32"/>
    </row>
    <row r="2" spans="3:17" x14ac:dyDescent="0.25">
      <c r="E2" s="32"/>
    </row>
    <row r="3" spans="3:17" ht="20" x14ac:dyDescent="0.4">
      <c r="C3" s="59" t="s">
        <v>174</v>
      </c>
    </row>
    <row r="4" spans="3:17" hidden="1" outlineLevel="1" x14ac:dyDescent="0.25"/>
    <row r="5" spans="3:17" hidden="1" outlineLevel="1" x14ac:dyDescent="0.25"/>
    <row r="6" spans="3:17" hidden="1" outlineLevel="1" x14ac:dyDescent="0.25">
      <c r="C6" s="214"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Q6" s="208"/>
    </row>
    <row r="7" spans="3:17" hidden="1" outlineLevel="1" x14ac:dyDescent="0.25">
      <c r="C7" s="132" t="str">
        <f ca="1">"Hyperlink to the '"&amp;MID(CELL("filename",'Asset exclusions'!A1),FIND("]",CELL("filename",'Asset exclusions'!A1))+1,255)&amp;"' worksheet:"</f>
        <v>Hyperlink to the 'Asset exclusions' worksheet:</v>
      </c>
      <c r="E7" s="163" t="s">
        <v>175</v>
      </c>
      <c r="Q7" s="208"/>
    </row>
    <row r="8" spans="3:17" hidden="1" outlineLevel="1" x14ac:dyDescent="0.25">
      <c r="C8" s="132"/>
      <c r="E8" s="163"/>
      <c r="Q8" s="208"/>
    </row>
    <row r="9" spans="3:17" hidden="1" outlineLevel="1" x14ac:dyDescent="0.25">
      <c r="C9" s="132" t="s">
        <v>176</v>
      </c>
      <c r="E9" s="163"/>
      <c r="Q9" s="208"/>
    </row>
    <row r="10" spans="3:17" hidden="1" outlineLevel="1" x14ac:dyDescent="0.25">
      <c r="C10" s="132" t="s">
        <v>177</v>
      </c>
      <c r="E10" s="163"/>
      <c r="Q10" s="208"/>
    </row>
    <row r="11" spans="3:17" hidden="1" outlineLevel="1" x14ac:dyDescent="0.25">
      <c r="C11" s="132" t="s">
        <v>178</v>
      </c>
      <c r="E11" s="163"/>
      <c r="Q11" s="208"/>
    </row>
    <row r="12" spans="3:17" hidden="1" outlineLevel="1" x14ac:dyDescent="0.25">
      <c r="C12" s="132" t="s">
        <v>179</v>
      </c>
      <c r="E12" s="163"/>
      <c r="Q12" s="208"/>
    </row>
    <row r="13" spans="3:17" collapsed="1" x14ac:dyDescent="0.25">
      <c r="H13" s="32"/>
      <c r="Q13" s="208"/>
    </row>
    <row r="14" spans="3:17" ht="12" x14ac:dyDescent="0.3">
      <c r="C14" s="6" t="s">
        <v>180</v>
      </c>
      <c r="H14" s="198" t="s">
        <v>181</v>
      </c>
      <c r="Q14" s="208"/>
    </row>
    <row r="15" spans="3:17" ht="12" x14ac:dyDescent="0.3">
      <c r="C15" s="65" t="s">
        <v>182</v>
      </c>
      <c r="E15" s="89">
        <f>'General inputs'!$H$23</f>
        <v>25569</v>
      </c>
      <c r="H15" s="199" t="s">
        <v>183</v>
      </c>
      <c r="I15" s="200">
        <f>SUMIF($B$22:$B$735,H15,$P$22:$P$735)/$J$22</f>
        <v>45131414.638622582</v>
      </c>
      <c r="Q15" s="208"/>
    </row>
    <row r="16" spans="3:17" ht="12" x14ac:dyDescent="0.3">
      <c r="C16" s="65" t="s">
        <v>184</v>
      </c>
      <c r="E16" s="90">
        <f>'General inputs'!$H$24</f>
        <v>35064</v>
      </c>
      <c r="H16" s="201" t="s">
        <v>185</v>
      </c>
      <c r="I16" s="202">
        <f>SUMIF($B$22:$B$735,H16,$P$22:$P$735)/$J$22</f>
        <v>0</v>
      </c>
      <c r="Q16" s="208"/>
    </row>
    <row r="17" spans="1:17" ht="12" x14ac:dyDescent="0.3">
      <c r="H17" s="201" t="s">
        <v>186</v>
      </c>
      <c r="I17" s="202">
        <f>SUMIF($B$22:$B$735,H17,$P$22:$P$735)/$J$22</f>
        <v>4235788.089955111</v>
      </c>
      <c r="Q17" s="208"/>
    </row>
    <row r="18" spans="1:17" ht="15.5" x14ac:dyDescent="0.35">
      <c r="C18" s="2" t="s">
        <v>187</v>
      </c>
      <c r="H18" s="203" t="s">
        <v>188</v>
      </c>
      <c r="I18" s="204">
        <f>SUMIF($B$22:$B$735,H18,$P$22:$P$735)/$J$22</f>
        <v>30751274.290957857</v>
      </c>
      <c r="Q18" s="208"/>
    </row>
    <row r="19" spans="1:17" x14ac:dyDescent="0.25">
      <c r="Q19" s="208"/>
    </row>
    <row r="20" spans="1:17" x14ac:dyDescent="0.25">
      <c r="C20" s="6" t="s">
        <v>189</v>
      </c>
      <c r="H20" s="6" t="s">
        <v>190</v>
      </c>
      <c r="L20" s="6" t="s">
        <v>191</v>
      </c>
      <c r="M20" s="6"/>
      <c r="Q20" s="208"/>
    </row>
    <row r="21" spans="1:17" ht="46" x14ac:dyDescent="0.25">
      <c r="C21" s="216" t="s">
        <v>192</v>
      </c>
      <c r="D21" s="24" t="s">
        <v>193</v>
      </c>
      <c r="E21" s="171" t="s">
        <v>194</v>
      </c>
      <c r="F21" s="24" t="s">
        <v>195</v>
      </c>
      <c r="H21" s="171" t="s">
        <v>196</v>
      </c>
      <c r="I21" s="171" t="s">
        <v>197</v>
      </c>
      <c r="J21" s="171" t="s">
        <v>198</v>
      </c>
      <c r="L21" s="171" t="s">
        <v>199</v>
      </c>
      <c r="M21" s="24" t="s">
        <v>200</v>
      </c>
      <c r="N21" s="171" t="str">
        <f>"MEERA value per unit/measure of length (B) 
("&amp;'General inputs'!$H$42&amp;" as at 1 July "&amp;LEFT('General inputs'!$I$40,4)&amp;")"</f>
        <v>MEERA value per unit/measure of length (B) 
($ as at 1 July 2021)</v>
      </c>
      <c r="O21" s="171" t="str">
        <f>"Total MEERA value (A x B)
("&amp;'General inputs'!$H$42&amp;", $"&amp;'General inputs'!$I$40&amp;")"</f>
        <v>Total MEERA value (A x B)
($, $2021-22)</v>
      </c>
      <c r="P21" s="24" t="str">
        <f>"MEERA value to be recovered via DSP ("&amp;'General inputs'!$H$42&amp;", $"&amp;'General inputs'!$I$40&amp;")"</f>
        <v>MEERA value to be recovered via DSP ($, $2021-22)</v>
      </c>
      <c r="Q21" s="211" t="s">
        <v>201</v>
      </c>
    </row>
    <row r="22" spans="1:17" x14ac:dyDescent="0.25">
      <c r="A22" s="254">
        <v>1970</v>
      </c>
      <c r="B22" s="254" t="s">
        <v>183</v>
      </c>
      <c r="C22" s="209"/>
      <c r="D22" s="114" t="s">
        <v>202</v>
      </c>
      <c r="E22" s="33">
        <f t="shared" ref="E22" si="0">IF(A22&lt;2022,DATEVALUE("30 Jun "&amp;A22),A22)</f>
        <v>25749</v>
      </c>
      <c r="F22" s="91" t="str">
        <f>IF(E22="","-",IF(OR(E22&lt;$E$15,E22&gt;$E$16),"ERROR - date outside of range","Date check - OK"))</f>
        <v>Date check - OK</v>
      </c>
      <c r="H22" s="118" t="s">
        <v>203</v>
      </c>
      <c r="I22" s="25"/>
      <c r="J22" s="100">
        <f>'ET inputs'!AP20</f>
        <v>4.6523982286353793E-2</v>
      </c>
      <c r="L22" s="25">
        <v>254</v>
      </c>
      <c r="M22" s="172" t="s">
        <v>204</v>
      </c>
      <c r="N22" s="25">
        <v>2401.000277532014</v>
      </c>
      <c r="O22" s="94">
        <f>IF(N22="","-",L22*N22)</f>
        <v>609854.07049313153</v>
      </c>
      <c r="P22" s="96">
        <f>IF(O22="-","-",IF(OR(E22&lt;$E$15,E22&gt;$E$16),0,O22*J22))*Q22</f>
        <v>28372.839972883208</v>
      </c>
      <c r="Q22" s="196">
        <v>1</v>
      </c>
    </row>
    <row r="23" spans="1:17" ht="24" customHeight="1" x14ac:dyDescent="0.25">
      <c r="A23" s="254">
        <v>1970</v>
      </c>
      <c r="B23" s="254" t="s">
        <v>183</v>
      </c>
      <c r="C23" s="210"/>
      <c r="D23" s="115" t="s">
        <v>205</v>
      </c>
      <c r="E23" s="34">
        <f t="shared" ref="E23:E71" si="1">IF(A23&lt;2022,DATEVALUE("30 Jun "&amp;A23),A23)</f>
        <v>25749</v>
      </c>
      <c r="F23" s="92" t="str">
        <f t="shared" ref="F23:F80" si="2">IF(E23="","-",IF(OR(E23&lt;$E$15,E23&gt;$E$16),"ERROR - date outside of range","Date check - OK"))</f>
        <v>Date check - OK</v>
      </c>
      <c r="H23" s="119"/>
      <c r="I23" s="26"/>
      <c r="J23" s="101">
        <f>J22</f>
        <v>4.6523982286353793E-2</v>
      </c>
      <c r="L23" s="26">
        <v>415</v>
      </c>
      <c r="M23" s="26" t="s">
        <v>204</v>
      </c>
      <c r="N23" s="141">
        <v>789.45933038416763</v>
      </c>
      <c r="O23" s="95">
        <f>IF(N23="","-",L23*N23)</f>
        <v>327625.62210942956</v>
      </c>
      <c r="P23" s="97">
        <f>IF(O23="-","-",IF(OR(E23&lt;$E$15,E23&gt;$E$16),0,O23*J23))*Q23</f>
        <v>15242.448639574743</v>
      </c>
      <c r="Q23" s="197">
        <v>1</v>
      </c>
    </row>
    <row r="24" spans="1:17" x14ac:dyDescent="0.25">
      <c r="A24" s="254">
        <v>1970</v>
      </c>
      <c r="B24" s="254" t="s">
        <v>183</v>
      </c>
      <c r="C24" s="210"/>
      <c r="D24" s="115" t="s">
        <v>205</v>
      </c>
      <c r="E24" s="34">
        <f t="shared" si="1"/>
        <v>25749</v>
      </c>
      <c r="F24" s="92" t="str">
        <f t="shared" si="2"/>
        <v>Date check - OK</v>
      </c>
      <c r="H24" s="119"/>
      <c r="I24" s="26"/>
      <c r="J24" s="101">
        <f t="shared" ref="J24:J36" si="3">J23</f>
        <v>4.6523982286353793E-2</v>
      </c>
      <c r="K24" s="37"/>
      <c r="L24" s="26">
        <v>793</v>
      </c>
      <c r="M24" s="26" t="s">
        <v>204</v>
      </c>
      <c r="N24" s="26">
        <v>626.34789848661228</v>
      </c>
      <c r="O24" s="95">
        <f t="shared" ref="O24:O35" si="4">IF(N24="","-",L24*N24)</f>
        <v>496693.88349988352</v>
      </c>
      <c r="P24" s="97">
        <f t="shared" ref="P24:P35" si="5">IF(O24="-","-",IF(OR(E24&lt;$E$15,E24&gt;$E$16),0,O24*J24))*Q24</f>
        <v>23108.177437688857</v>
      </c>
      <c r="Q24" s="197">
        <v>1</v>
      </c>
    </row>
    <row r="25" spans="1:17" x14ac:dyDescent="0.25">
      <c r="A25" s="254">
        <v>1970</v>
      </c>
      <c r="B25" s="254" t="s">
        <v>183</v>
      </c>
      <c r="C25" s="210"/>
      <c r="D25" s="115" t="s">
        <v>205</v>
      </c>
      <c r="E25" s="34">
        <f t="shared" si="1"/>
        <v>25749</v>
      </c>
      <c r="F25" s="92" t="str">
        <f t="shared" si="2"/>
        <v>Date check - OK</v>
      </c>
      <c r="H25" s="119"/>
      <c r="I25" s="26"/>
      <c r="J25" s="101">
        <f t="shared" si="3"/>
        <v>4.6523982286353793E-2</v>
      </c>
      <c r="K25" s="37"/>
      <c r="L25" s="26">
        <v>263</v>
      </c>
      <c r="M25" s="26" t="s">
        <v>204</v>
      </c>
      <c r="N25" s="26">
        <v>528.48103934807921</v>
      </c>
      <c r="O25" s="95">
        <f t="shared" si="4"/>
        <v>138990.51334854483</v>
      </c>
      <c r="P25" s="97">
        <f t="shared" si="5"/>
        <v>6466.3921809989206</v>
      </c>
      <c r="Q25" s="197">
        <v>1</v>
      </c>
    </row>
    <row r="26" spans="1:17" x14ac:dyDescent="0.25">
      <c r="A26" s="254">
        <v>1970</v>
      </c>
      <c r="B26" s="254" t="s">
        <v>183</v>
      </c>
      <c r="C26" s="210"/>
      <c r="D26" s="115" t="s">
        <v>205</v>
      </c>
      <c r="E26" s="34">
        <f t="shared" si="1"/>
        <v>25749</v>
      </c>
      <c r="F26" s="92" t="str">
        <f t="shared" si="2"/>
        <v>Date check - OK</v>
      </c>
      <c r="H26" s="119"/>
      <c r="I26" s="26"/>
      <c r="J26" s="101">
        <f t="shared" si="3"/>
        <v>4.6523982286353793E-2</v>
      </c>
      <c r="K26" s="37"/>
      <c r="L26" s="26">
        <v>192</v>
      </c>
      <c r="M26" s="26" t="s">
        <v>204</v>
      </c>
      <c r="N26" s="26">
        <v>481.17872409778812</v>
      </c>
      <c r="O26" s="95">
        <f t="shared" si="4"/>
        <v>92386.315026775323</v>
      </c>
      <c r="P26" s="97">
        <f t="shared" si="5"/>
        <v>4298.179283807196</v>
      </c>
      <c r="Q26" s="197">
        <v>1</v>
      </c>
    </row>
    <row r="27" spans="1:17" x14ac:dyDescent="0.25">
      <c r="A27" s="254">
        <v>1970</v>
      </c>
      <c r="B27" s="254" t="s">
        <v>183</v>
      </c>
      <c r="C27" s="210"/>
      <c r="D27" s="115" t="s">
        <v>206</v>
      </c>
      <c r="E27" s="34">
        <f t="shared" si="1"/>
        <v>25749</v>
      </c>
      <c r="F27" s="92" t="str">
        <f t="shared" si="2"/>
        <v>Date check - OK</v>
      </c>
      <c r="H27" s="119"/>
      <c r="I27" s="26"/>
      <c r="J27" s="101">
        <f t="shared" si="3"/>
        <v>4.6523982286353793E-2</v>
      </c>
      <c r="K27" s="37"/>
      <c r="L27" s="26">
        <v>470</v>
      </c>
      <c r="M27" s="26" t="s">
        <v>204</v>
      </c>
      <c r="N27" s="26">
        <v>626.34789848661228</v>
      </c>
      <c r="O27" s="95">
        <f t="shared" si="4"/>
        <v>294383.51228870777</v>
      </c>
      <c r="P27" s="97">
        <f t="shared" si="5"/>
        <v>13695.893311114454</v>
      </c>
      <c r="Q27" s="197">
        <v>1</v>
      </c>
    </row>
    <row r="28" spans="1:17" x14ac:dyDescent="0.25">
      <c r="A28" s="254">
        <v>1970</v>
      </c>
      <c r="B28" s="254" t="s">
        <v>183</v>
      </c>
      <c r="C28" s="210"/>
      <c r="D28" s="115" t="s">
        <v>206</v>
      </c>
      <c r="E28" s="34">
        <f t="shared" si="1"/>
        <v>25749</v>
      </c>
      <c r="F28" s="92" t="str">
        <f t="shared" si="2"/>
        <v>Date check - OK</v>
      </c>
      <c r="H28" s="119"/>
      <c r="I28" s="26"/>
      <c r="J28" s="101">
        <f t="shared" si="3"/>
        <v>4.6523982286353793E-2</v>
      </c>
      <c r="K28" s="37"/>
      <c r="L28" s="26">
        <v>182</v>
      </c>
      <c r="M28" s="26" t="s">
        <v>204</v>
      </c>
      <c r="N28" s="26">
        <v>626.34789848661228</v>
      </c>
      <c r="O28" s="95">
        <f t="shared" si="4"/>
        <v>113995.31752456343</v>
      </c>
      <c r="P28" s="97">
        <f t="shared" si="5"/>
        <v>5303.5161332400658</v>
      </c>
      <c r="Q28" s="197">
        <v>1</v>
      </c>
    </row>
    <row r="29" spans="1:17" x14ac:dyDescent="0.25">
      <c r="A29" s="254">
        <v>1970</v>
      </c>
      <c r="B29" s="254" t="s">
        <v>183</v>
      </c>
      <c r="C29" s="210"/>
      <c r="D29" s="115" t="s">
        <v>206</v>
      </c>
      <c r="E29" s="34">
        <f t="shared" si="1"/>
        <v>25749</v>
      </c>
      <c r="F29" s="92" t="str">
        <f t="shared" si="2"/>
        <v>Date check - OK</v>
      </c>
      <c r="H29" s="119"/>
      <c r="I29" s="26"/>
      <c r="J29" s="101">
        <f t="shared" si="3"/>
        <v>4.6523982286353793E-2</v>
      </c>
      <c r="K29" s="37"/>
      <c r="L29" s="26">
        <v>432</v>
      </c>
      <c r="M29" s="26" t="s">
        <v>204</v>
      </c>
      <c r="N29" s="26">
        <v>528.48103934807921</v>
      </c>
      <c r="O29" s="95">
        <f t="shared" si="4"/>
        <v>228303.80899837022</v>
      </c>
      <c r="P29" s="97">
        <f t="shared" si="5"/>
        <v>10621.602365747276</v>
      </c>
      <c r="Q29" s="197">
        <v>1</v>
      </c>
    </row>
    <row r="30" spans="1:17" x14ac:dyDescent="0.25">
      <c r="A30" s="254">
        <v>1970</v>
      </c>
      <c r="B30" s="254" t="s">
        <v>183</v>
      </c>
      <c r="C30" s="210"/>
      <c r="D30" s="115" t="s">
        <v>206</v>
      </c>
      <c r="E30" s="34">
        <f t="shared" si="1"/>
        <v>25749</v>
      </c>
      <c r="F30" s="92" t="str">
        <f t="shared" si="2"/>
        <v>Date check - OK</v>
      </c>
      <c r="H30" s="119"/>
      <c r="I30" s="26"/>
      <c r="J30" s="101">
        <f t="shared" si="3"/>
        <v>4.6523982286353793E-2</v>
      </c>
      <c r="K30" s="37"/>
      <c r="L30" s="26">
        <v>10</v>
      </c>
      <c r="M30" s="26" t="s">
        <v>204</v>
      </c>
      <c r="N30" s="26">
        <v>528.48103934807921</v>
      </c>
      <c r="O30" s="95">
        <f t="shared" si="4"/>
        <v>5284.8103934807923</v>
      </c>
      <c r="P30" s="97">
        <f t="shared" si="5"/>
        <v>245.87042513303879</v>
      </c>
      <c r="Q30" s="197">
        <v>1</v>
      </c>
    </row>
    <row r="31" spans="1:17" x14ac:dyDescent="0.25">
      <c r="A31" s="254">
        <v>1970</v>
      </c>
      <c r="B31" s="254" t="s">
        <v>183</v>
      </c>
      <c r="C31" s="210"/>
      <c r="D31" s="115" t="s">
        <v>207</v>
      </c>
      <c r="E31" s="34">
        <f t="shared" si="1"/>
        <v>25749</v>
      </c>
      <c r="F31" s="92" t="str">
        <f t="shared" si="2"/>
        <v>Date check - OK</v>
      </c>
      <c r="H31" s="119"/>
      <c r="I31" s="26"/>
      <c r="J31" s="101">
        <f t="shared" si="3"/>
        <v>4.6523982286353793E-2</v>
      </c>
      <c r="K31" s="37"/>
      <c r="L31" s="26">
        <v>1408</v>
      </c>
      <c r="M31" s="26" t="s">
        <v>204</v>
      </c>
      <c r="N31" s="26">
        <v>895.48176111757846</v>
      </c>
      <c r="O31" s="95">
        <f t="shared" si="4"/>
        <v>1260838.3196535504</v>
      </c>
      <c r="P31" s="97">
        <f t="shared" si="5"/>
        <v>58659.219649517858</v>
      </c>
      <c r="Q31" s="197">
        <v>1</v>
      </c>
    </row>
    <row r="32" spans="1:17" x14ac:dyDescent="0.25">
      <c r="A32" s="254">
        <v>1970</v>
      </c>
      <c r="B32" s="254" t="s">
        <v>183</v>
      </c>
      <c r="C32" s="210"/>
      <c r="D32" s="115" t="s">
        <v>207</v>
      </c>
      <c r="E32" s="34">
        <f t="shared" si="1"/>
        <v>25749</v>
      </c>
      <c r="F32" s="92" t="str">
        <f t="shared" si="2"/>
        <v>Date check - OK</v>
      </c>
      <c r="H32" s="119"/>
      <c r="I32" s="26"/>
      <c r="J32" s="101">
        <f t="shared" si="3"/>
        <v>4.6523982286353793E-2</v>
      </c>
      <c r="K32" s="37"/>
      <c r="L32" s="26">
        <v>26</v>
      </c>
      <c r="M32" s="26" t="s">
        <v>204</v>
      </c>
      <c r="N32" s="26">
        <v>895.48176111757846</v>
      </c>
      <c r="O32" s="95">
        <f t="shared" si="4"/>
        <v>23282.525789057039</v>
      </c>
      <c r="P32" s="97">
        <f t="shared" si="5"/>
        <v>1083.1958173916651</v>
      </c>
      <c r="Q32" s="197">
        <v>1</v>
      </c>
    </row>
    <row r="33" spans="1:17" x14ac:dyDescent="0.25">
      <c r="A33" s="254">
        <v>1970</v>
      </c>
      <c r="B33" s="254" t="s">
        <v>183</v>
      </c>
      <c r="C33" s="210"/>
      <c r="D33" s="115" t="s">
        <v>207</v>
      </c>
      <c r="E33" s="34">
        <f t="shared" si="1"/>
        <v>25749</v>
      </c>
      <c r="F33" s="92" t="str">
        <f t="shared" si="2"/>
        <v>Date check - OK</v>
      </c>
      <c r="H33" s="119"/>
      <c r="I33" s="26"/>
      <c r="J33" s="101">
        <f t="shared" si="3"/>
        <v>4.6523982286353793E-2</v>
      </c>
      <c r="K33" s="37"/>
      <c r="L33" s="26">
        <v>6</v>
      </c>
      <c r="M33" s="26" t="s">
        <v>204</v>
      </c>
      <c r="N33" s="26">
        <v>626.34789848661228</v>
      </c>
      <c r="O33" s="95">
        <f t="shared" si="4"/>
        <v>3758.0873909196735</v>
      </c>
      <c r="P33" s="97">
        <f t="shared" si="5"/>
        <v>174.84119120571643</v>
      </c>
      <c r="Q33" s="197">
        <v>1</v>
      </c>
    </row>
    <row r="34" spans="1:17" x14ac:dyDescent="0.25">
      <c r="A34" s="254">
        <v>1971</v>
      </c>
      <c r="B34" s="254" t="s">
        <v>183</v>
      </c>
      <c r="C34" s="210"/>
      <c r="D34" s="115" t="s">
        <v>208</v>
      </c>
      <c r="E34" s="34">
        <f t="shared" si="1"/>
        <v>26114</v>
      </c>
      <c r="F34" s="92" t="str">
        <f t="shared" si="2"/>
        <v>Date check - OK</v>
      </c>
      <c r="H34" s="119"/>
      <c r="I34" s="26"/>
      <c r="J34" s="101">
        <f t="shared" si="3"/>
        <v>4.6523982286353793E-2</v>
      </c>
      <c r="K34" s="37"/>
      <c r="L34" s="26">
        <v>676</v>
      </c>
      <c r="M34" s="26" t="s">
        <v>204</v>
      </c>
      <c r="N34" s="26">
        <v>626.34789848661228</v>
      </c>
      <c r="O34" s="95">
        <f t="shared" si="4"/>
        <v>423411.17937694991</v>
      </c>
      <c r="P34" s="97">
        <f t="shared" si="5"/>
        <v>19698.774209177387</v>
      </c>
      <c r="Q34" s="197">
        <v>1</v>
      </c>
    </row>
    <row r="35" spans="1:17" x14ac:dyDescent="0.25">
      <c r="A35" s="254">
        <v>1971</v>
      </c>
      <c r="B35" s="254" t="s">
        <v>183</v>
      </c>
      <c r="C35" s="210"/>
      <c r="D35" s="115" t="s">
        <v>208</v>
      </c>
      <c r="E35" s="34">
        <f t="shared" si="1"/>
        <v>26114</v>
      </c>
      <c r="F35" s="92" t="str">
        <f t="shared" si="2"/>
        <v>Date check - OK</v>
      </c>
      <c r="H35" s="119"/>
      <c r="I35" s="26"/>
      <c r="J35" s="101">
        <f t="shared" si="3"/>
        <v>4.6523982286353793E-2</v>
      </c>
      <c r="K35" s="37"/>
      <c r="L35" s="26">
        <v>692</v>
      </c>
      <c r="M35" s="26" t="s">
        <v>204</v>
      </c>
      <c r="N35" s="26">
        <v>481.17872409778812</v>
      </c>
      <c r="O35" s="95">
        <f t="shared" si="4"/>
        <v>332975.6770756694</v>
      </c>
      <c r="P35" s="97">
        <f t="shared" si="5"/>
        <v>15491.354502055105</v>
      </c>
      <c r="Q35" s="197">
        <v>1</v>
      </c>
    </row>
    <row r="36" spans="1:17" x14ac:dyDescent="0.25">
      <c r="A36" s="254">
        <v>1972</v>
      </c>
      <c r="B36" s="254" t="s">
        <v>183</v>
      </c>
      <c r="C36" s="210"/>
      <c r="D36" s="115" t="s">
        <v>209</v>
      </c>
      <c r="E36" s="34">
        <f t="shared" si="1"/>
        <v>26480</v>
      </c>
      <c r="F36" s="92" t="str">
        <f t="shared" si="2"/>
        <v>Date check - OK</v>
      </c>
      <c r="H36" s="119"/>
      <c r="I36" s="26"/>
      <c r="J36" s="101">
        <f t="shared" si="3"/>
        <v>4.6523982286353793E-2</v>
      </c>
      <c r="K36" s="37"/>
      <c r="L36" s="26">
        <v>99</v>
      </c>
      <c r="M36" s="26" t="s">
        <v>204</v>
      </c>
      <c r="N36" s="26">
        <v>528.48103934807921</v>
      </c>
      <c r="O36" s="95">
        <f t="shared" ref="O36" si="6">IF(N36="","-",L36*N36)</f>
        <v>52319.622895459841</v>
      </c>
      <c r="P36" s="97">
        <f t="shared" ref="P36" si="7">IF(O36="-","-",IF(OR(E36&lt;$E$15,E36&gt;$E$16),0,O36*J36))*Q36</f>
        <v>2434.1172088170838</v>
      </c>
      <c r="Q36" s="197">
        <v>1</v>
      </c>
    </row>
    <row r="37" spans="1:17" x14ac:dyDescent="0.25">
      <c r="A37" s="254">
        <v>1972</v>
      </c>
      <c r="B37" s="254" t="s">
        <v>183</v>
      </c>
      <c r="C37" s="210"/>
      <c r="D37" s="115" t="s">
        <v>209</v>
      </c>
      <c r="E37" s="34">
        <f t="shared" si="1"/>
        <v>26480</v>
      </c>
      <c r="F37" s="92" t="str">
        <f t="shared" si="2"/>
        <v>Date check - OK</v>
      </c>
      <c r="H37" s="119"/>
      <c r="I37" s="26"/>
      <c r="J37" s="101">
        <f>J35</f>
        <v>4.6523982286353793E-2</v>
      </c>
      <c r="K37" s="37"/>
      <c r="L37" s="26">
        <v>1519</v>
      </c>
      <c r="M37" s="26" t="s">
        <v>204</v>
      </c>
      <c r="N37" s="26">
        <v>481.17872409778812</v>
      </c>
      <c r="O37" s="95">
        <f t="shared" ref="O37:O39" si="8">IF(N37="","-",L37*N37)</f>
        <v>730910.48190454021</v>
      </c>
      <c r="P37" s="97">
        <f t="shared" ref="P37:P39" si="9">IF(O37="-","-",IF(OR(E37&lt;$E$15,E37&gt;$E$16),0,O37*J37))*Q37</f>
        <v>34004.866313037142</v>
      </c>
      <c r="Q37" s="197">
        <v>1</v>
      </c>
    </row>
    <row r="38" spans="1:17" x14ac:dyDescent="0.25">
      <c r="A38" s="254">
        <v>1973</v>
      </c>
      <c r="B38" s="254" t="s">
        <v>183</v>
      </c>
      <c r="C38" s="210"/>
      <c r="D38" s="115" t="s">
        <v>210</v>
      </c>
      <c r="E38" s="34">
        <f t="shared" si="1"/>
        <v>26845</v>
      </c>
      <c r="F38" s="92" t="str">
        <f t="shared" si="2"/>
        <v>Date check - OK</v>
      </c>
      <c r="H38" s="119"/>
      <c r="I38" s="26"/>
      <c r="J38" s="101">
        <f t="shared" ref="J38:J95" si="10">J37</f>
        <v>4.6523982286353793E-2</v>
      </c>
      <c r="K38" s="37"/>
      <c r="L38" s="26">
        <v>260</v>
      </c>
      <c r="M38" s="26" t="s">
        <v>204</v>
      </c>
      <c r="N38" s="26">
        <v>895.48176111757846</v>
      </c>
      <c r="O38" s="95">
        <f t="shared" si="8"/>
        <v>232825.25789057038</v>
      </c>
      <c r="P38" s="97">
        <f t="shared" si="9"/>
        <v>10831.95817391665</v>
      </c>
      <c r="Q38" s="197">
        <v>1</v>
      </c>
    </row>
    <row r="39" spans="1:17" x14ac:dyDescent="0.25">
      <c r="A39" s="254">
        <v>1973</v>
      </c>
      <c r="B39" s="254" t="s">
        <v>183</v>
      </c>
      <c r="C39" s="210"/>
      <c r="D39" s="115" t="s">
        <v>210</v>
      </c>
      <c r="E39" s="34">
        <f t="shared" si="1"/>
        <v>26845</v>
      </c>
      <c r="F39" s="92" t="str">
        <f t="shared" si="2"/>
        <v>Date check - OK</v>
      </c>
      <c r="H39" s="119"/>
      <c r="I39" s="26"/>
      <c r="J39" s="101">
        <f t="shared" si="10"/>
        <v>4.6523982286353793E-2</v>
      </c>
      <c r="K39" s="37"/>
      <c r="L39" s="26">
        <v>575</v>
      </c>
      <c r="M39" s="26" t="s">
        <v>204</v>
      </c>
      <c r="N39" s="26">
        <v>789.45933038416763</v>
      </c>
      <c r="O39" s="95">
        <f t="shared" si="8"/>
        <v>453939.11497089639</v>
      </c>
      <c r="P39" s="97">
        <f t="shared" si="9"/>
        <v>21119.055343989101</v>
      </c>
      <c r="Q39" s="197">
        <v>1</v>
      </c>
    </row>
    <row r="40" spans="1:17" ht="23" x14ac:dyDescent="0.25">
      <c r="A40" s="254">
        <v>1973</v>
      </c>
      <c r="B40" s="254" t="s">
        <v>183</v>
      </c>
      <c r="C40" s="210"/>
      <c r="D40" s="115" t="s">
        <v>211</v>
      </c>
      <c r="E40" s="34">
        <f t="shared" si="1"/>
        <v>26845</v>
      </c>
      <c r="F40" s="92" t="str">
        <f t="shared" si="2"/>
        <v>Date check - OK</v>
      </c>
      <c r="H40" s="119"/>
      <c r="I40" s="26"/>
      <c r="J40" s="101">
        <f t="shared" si="10"/>
        <v>4.6523982286353793E-2</v>
      </c>
      <c r="K40" s="37"/>
      <c r="L40" s="26">
        <v>897</v>
      </c>
      <c r="M40" s="26" t="s">
        <v>204</v>
      </c>
      <c r="N40" s="26">
        <v>3557.4603296856808</v>
      </c>
      <c r="O40" s="95">
        <f t="shared" ref="O40:O71" si="11">IF(N40="","-",L40*N40)</f>
        <v>3191041.9157280559</v>
      </c>
      <c r="P40" s="97">
        <f t="shared" ref="P40:P71" si="12">IF(O40="-","-",IF(OR(E40&lt;$E$15,E40&gt;$E$16),0,O40*J40))*Q40</f>
        <v>148459.97756234455</v>
      </c>
      <c r="Q40" s="197">
        <v>1</v>
      </c>
    </row>
    <row r="41" spans="1:17" x14ac:dyDescent="0.25">
      <c r="A41" s="254">
        <v>1974</v>
      </c>
      <c r="B41" s="254" t="s">
        <v>183</v>
      </c>
      <c r="C41" s="210"/>
      <c r="D41" s="115" t="s">
        <v>212</v>
      </c>
      <c r="E41" s="34">
        <f t="shared" si="1"/>
        <v>27210</v>
      </c>
      <c r="F41" s="92" t="str">
        <f t="shared" si="2"/>
        <v>Date check - OK</v>
      </c>
      <c r="H41" s="119"/>
      <c r="I41" s="26"/>
      <c r="J41" s="101">
        <f t="shared" si="10"/>
        <v>4.6523982286353793E-2</v>
      </c>
      <c r="K41" s="37"/>
      <c r="L41" s="26">
        <v>931</v>
      </c>
      <c r="M41" s="26" t="s">
        <v>204</v>
      </c>
      <c r="N41" s="26">
        <v>1756.7101215366704</v>
      </c>
      <c r="O41" s="95">
        <f t="shared" si="11"/>
        <v>1635497.1231506402</v>
      </c>
      <c r="P41" s="97">
        <f t="shared" si="12"/>
        <v>76089.839186842975</v>
      </c>
      <c r="Q41" s="197">
        <v>1</v>
      </c>
    </row>
    <row r="42" spans="1:17" x14ac:dyDescent="0.25">
      <c r="A42" s="254">
        <v>1974</v>
      </c>
      <c r="B42" s="254" t="s">
        <v>183</v>
      </c>
      <c r="C42" s="210"/>
      <c r="D42" s="115" t="s">
        <v>213</v>
      </c>
      <c r="E42" s="34">
        <f t="shared" si="1"/>
        <v>27210</v>
      </c>
      <c r="F42" s="92" t="str">
        <f t="shared" si="2"/>
        <v>Date check - OK</v>
      </c>
      <c r="H42" s="119"/>
      <c r="I42" s="26"/>
      <c r="J42" s="101">
        <f t="shared" si="10"/>
        <v>4.6523982286353793E-2</v>
      </c>
      <c r="K42" s="37"/>
      <c r="L42" s="26">
        <v>298</v>
      </c>
      <c r="M42" s="26" t="s">
        <v>204</v>
      </c>
      <c r="N42" s="26">
        <v>1756.7101215366704</v>
      </c>
      <c r="O42" s="95">
        <f t="shared" si="11"/>
        <v>523499.61621792777</v>
      </c>
      <c r="P42" s="97">
        <f t="shared" si="12"/>
        <v>24355.28687183588</v>
      </c>
      <c r="Q42" s="197">
        <v>1</v>
      </c>
    </row>
    <row r="43" spans="1:17" x14ac:dyDescent="0.25">
      <c r="A43" s="254">
        <v>1974</v>
      </c>
      <c r="B43" s="254" t="s">
        <v>183</v>
      </c>
      <c r="C43" s="210"/>
      <c r="D43" s="115" t="s">
        <v>214</v>
      </c>
      <c r="E43" s="34">
        <f t="shared" si="1"/>
        <v>27210</v>
      </c>
      <c r="F43" s="92" t="str">
        <f t="shared" si="2"/>
        <v>Date check - OK</v>
      </c>
      <c r="H43" s="119"/>
      <c r="I43" s="26"/>
      <c r="J43" s="101">
        <f t="shared" si="10"/>
        <v>4.6523982286353793E-2</v>
      </c>
      <c r="K43" s="37"/>
      <c r="L43" s="26">
        <v>1984</v>
      </c>
      <c r="M43" s="26" t="s">
        <v>204</v>
      </c>
      <c r="N43" s="26">
        <v>1285.3180833527358</v>
      </c>
      <c r="O43" s="95">
        <f t="shared" si="11"/>
        <v>2550071.0773718278</v>
      </c>
      <c r="P43" s="97">
        <f t="shared" si="12"/>
        <v>118639.46163259004</v>
      </c>
      <c r="Q43" s="197">
        <v>1</v>
      </c>
    </row>
    <row r="44" spans="1:17" x14ac:dyDescent="0.25">
      <c r="A44" s="254">
        <v>1974</v>
      </c>
      <c r="B44" s="254" t="s">
        <v>183</v>
      </c>
      <c r="C44" s="210"/>
      <c r="D44" s="115" t="s">
        <v>214</v>
      </c>
      <c r="E44" s="34">
        <f t="shared" si="1"/>
        <v>27210</v>
      </c>
      <c r="F44" s="92" t="str">
        <f t="shared" si="2"/>
        <v>Date check - OK</v>
      </c>
      <c r="H44" s="119"/>
      <c r="I44" s="26"/>
      <c r="J44" s="101">
        <f t="shared" si="10"/>
        <v>4.6523982286353793E-2</v>
      </c>
      <c r="K44" s="37"/>
      <c r="L44" s="26">
        <v>33</v>
      </c>
      <c r="M44" s="26" t="s">
        <v>204</v>
      </c>
      <c r="N44" s="26">
        <v>895.48176111757846</v>
      </c>
      <c r="O44" s="95">
        <f t="shared" si="11"/>
        <v>29550.898116880089</v>
      </c>
      <c r="P44" s="97">
        <f t="shared" si="12"/>
        <v>1374.8254605355748</v>
      </c>
      <c r="Q44" s="197">
        <v>1</v>
      </c>
    </row>
    <row r="45" spans="1:17" x14ac:dyDescent="0.25">
      <c r="A45" s="254">
        <v>1974</v>
      </c>
      <c r="B45" s="254" t="s">
        <v>183</v>
      </c>
      <c r="C45" s="210"/>
      <c r="D45" s="115" t="s">
        <v>214</v>
      </c>
      <c r="E45" s="34">
        <f t="shared" si="1"/>
        <v>27210</v>
      </c>
      <c r="F45" s="92" t="str">
        <f t="shared" si="2"/>
        <v>Date check - OK</v>
      </c>
      <c r="H45" s="119"/>
      <c r="I45" s="26"/>
      <c r="J45" s="101">
        <f t="shared" si="10"/>
        <v>4.6523982286353793E-2</v>
      </c>
      <c r="K45" s="37"/>
      <c r="L45" s="26">
        <v>5</v>
      </c>
      <c r="M45" s="26" t="s">
        <v>204</v>
      </c>
      <c r="N45" s="26">
        <v>626.34789848661228</v>
      </c>
      <c r="O45" s="95">
        <f t="shared" si="11"/>
        <v>3131.7394924330615</v>
      </c>
      <c r="P45" s="97">
        <f t="shared" si="12"/>
        <v>145.70099267143038</v>
      </c>
      <c r="Q45" s="197">
        <v>1</v>
      </c>
    </row>
    <row r="46" spans="1:17" x14ac:dyDescent="0.25">
      <c r="A46" s="254">
        <v>1975</v>
      </c>
      <c r="B46" s="254" t="s">
        <v>183</v>
      </c>
      <c r="C46" s="210"/>
      <c r="D46" s="115" t="s">
        <v>215</v>
      </c>
      <c r="E46" s="34">
        <f t="shared" si="1"/>
        <v>27575</v>
      </c>
      <c r="F46" s="92" t="str">
        <f t="shared" si="2"/>
        <v>Date check - OK</v>
      </c>
      <c r="H46" s="119"/>
      <c r="I46" s="26"/>
      <c r="J46" s="101">
        <f t="shared" si="10"/>
        <v>4.6523982286353793E-2</v>
      </c>
      <c r="K46" s="37"/>
      <c r="L46" s="26">
        <v>3008</v>
      </c>
      <c r="M46" s="26" t="s">
        <v>204</v>
      </c>
      <c r="N46" s="26">
        <v>3557.4603296856808</v>
      </c>
      <c r="O46" s="95">
        <f t="shared" si="11"/>
        <v>10700840.671694528</v>
      </c>
      <c r="P46" s="97">
        <f t="shared" si="12"/>
        <v>497845.72185901046</v>
      </c>
      <c r="Q46" s="197">
        <v>1</v>
      </c>
    </row>
    <row r="47" spans="1:17" x14ac:dyDescent="0.25">
      <c r="A47" s="254">
        <v>1975</v>
      </c>
      <c r="B47" s="254" t="s">
        <v>183</v>
      </c>
      <c r="C47" s="210"/>
      <c r="D47" s="115" t="s">
        <v>215</v>
      </c>
      <c r="E47" s="29">
        <f t="shared" si="1"/>
        <v>27575</v>
      </c>
      <c r="F47" s="92" t="str">
        <f t="shared" si="2"/>
        <v>Date check - OK</v>
      </c>
      <c r="H47" s="119"/>
      <c r="I47" s="26"/>
      <c r="J47" s="101">
        <f t="shared" si="10"/>
        <v>4.6523982286353793E-2</v>
      </c>
      <c r="K47" s="37"/>
      <c r="L47" s="26">
        <v>21</v>
      </c>
      <c r="M47" s="26" t="s">
        <v>204</v>
      </c>
      <c r="N47" s="26">
        <v>1756.7101215366704</v>
      </c>
      <c r="O47" s="95">
        <f t="shared" si="11"/>
        <v>36890.912552270078</v>
      </c>
      <c r="P47" s="97">
        <f t="shared" si="12"/>
        <v>1716.3121621092398</v>
      </c>
      <c r="Q47" s="197">
        <v>1</v>
      </c>
    </row>
    <row r="48" spans="1:17" x14ac:dyDescent="0.25">
      <c r="A48" s="254">
        <v>1977</v>
      </c>
      <c r="B48" s="254" t="s">
        <v>183</v>
      </c>
      <c r="C48" s="210"/>
      <c r="D48" s="115" t="s">
        <v>216</v>
      </c>
      <c r="E48" s="34">
        <f t="shared" si="1"/>
        <v>28306</v>
      </c>
      <c r="F48" s="92" t="str">
        <f t="shared" si="2"/>
        <v>Date check - OK</v>
      </c>
      <c r="H48" s="119"/>
      <c r="I48" s="26"/>
      <c r="J48" s="101">
        <f t="shared" si="10"/>
        <v>4.6523982286353793E-2</v>
      </c>
      <c r="K48" s="37"/>
      <c r="L48" s="26">
        <v>278</v>
      </c>
      <c r="M48" s="26" t="s">
        <v>204</v>
      </c>
      <c r="N48" s="26">
        <v>1285.3180833527358</v>
      </c>
      <c r="O48" s="95">
        <f t="shared" si="11"/>
        <v>357318.42717206053</v>
      </c>
      <c r="P48" s="97">
        <f t="shared" si="12"/>
        <v>16623.876176340742</v>
      </c>
      <c r="Q48" s="197">
        <v>1</v>
      </c>
    </row>
    <row r="49" spans="1:17" x14ac:dyDescent="0.25">
      <c r="C49" s="210"/>
      <c r="D49" s="115"/>
      <c r="E49" s="29"/>
      <c r="F49" s="92"/>
      <c r="H49" s="119"/>
      <c r="I49" s="26"/>
      <c r="J49" s="101">
        <f t="shared" si="10"/>
        <v>4.6523982286353793E-2</v>
      </c>
      <c r="K49" s="37"/>
      <c r="L49" s="26"/>
      <c r="M49" s="26"/>
      <c r="N49" s="26"/>
      <c r="O49" s="95"/>
      <c r="P49" s="97"/>
      <c r="Q49" s="197"/>
    </row>
    <row r="50" spans="1:17" x14ac:dyDescent="0.25">
      <c r="A50" s="254">
        <v>1978</v>
      </c>
      <c r="B50" s="254" t="s">
        <v>183</v>
      </c>
      <c r="C50" s="210"/>
      <c r="D50" s="115" t="s">
        <v>217</v>
      </c>
      <c r="E50" s="29">
        <f t="shared" si="1"/>
        <v>28671</v>
      </c>
      <c r="F50" s="92" t="str">
        <f t="shared" si="2"/>
        <v>Date check - OK</v>
      </c>
      <c r="H50" s="119"/>
      <c r="I50" s="26"/>
      <c r="J50" s="101">
        <f t="shared" si="10"/>
        <v>4.6523982286353793E-2</v>
      </c>
      <c r="K50" s="37"/>
      <c r="L50" s="26">
        <v>193</v>
      </c>
      <c r="M50" s="26" t="s">
        <v>204</v>
      </c>
      <c r="N50" s="26">
        <v>1285.3180833527358</v>
      </c>
      <c r="O50" s="95">
        <f t="shared" si="11"/>
        <v>248066.39008707801</v>
      </c>
      <c r="P50" s="97">
        <f t="shared" si="12"/>
        <v>11541.036338250948</v>
      </c>
      <c r="Q50" s="197">
        <v>1</v>
      </c>
    </row>
    <row r="51" spans="1:17" x14ac:dyDescent="0.25">
      <c r="A51" s="254">
        <v>1978</v>
      </c>
      <c r="B51" s="254" t="s">
        <v>183</v>
      </c>
      <c r="C51" s="210"/>
      <c r="D51" s="115" t="s">
        <v>218</v>
      </c>
      <c r="E51" s="29">
        <f t="shared" si="1"/>
        <v>28671</v>
      </c>
      <c r="F51" s="92" t="str">
        <f t="shared" si="2"/>
        <v>Date check - OK</v>
      </c>
      <c r="H51" s="119"/>
      <c r="I51" s="26"/>
      <c r="J51" s="101">
        <f t="shared" si="10"/>
        <v>4.6523982286353793E-2</v>
      </c>
      <c r="K51" s="37"/>
      <c r="L51" s="26">
        <v>94</v>
      </c>
      <c r="M51" s="26" t="s">
        <v>204</v>
      </c>
      <c r="N51" s="26">
        <v>1756.7101215366704</v>
      </c>
      <c r="O51" s="95">
        <f t="shared" si="11"/>
        <v>165130.75142444702</v>
      </c>
      <c r="P51" s="97">
        <f t="shared" si="12"/>
        <v>7682.540154203265</v>
      </c>
      <c r="Q51" s="197">
        <v>1</v>
      </c>
    </row>
    <row r="52" spans="1:17" x14ac:dyDescent="0.25">
      <c r="A52" s="254">
        <v>1978</v>
      </c>
      <c r="B52" s="254" t="s">
        <v>183</v>
      </c>
      <c r="C52" s="210"/>
      <c r="D52" s="115" t="s">
        <v>218</v>
      </c>
      <c r="E52" s="29">
        <f t="shared" si="1"/>
        <v>28671</v>
      </c>
      <c r="F52" s="92" t="str">
        <f t="shared" si="2"/>
        <v>Date check - OK</v>
      </c>
      <c r="H52" s="119"/>
      <c r="I52" s="26"/>
      <c r="J52" s="101">
        <f t="shared" si="10"/>
        <v>4.6523982286353793E-2</v>
      </c>
      <c r="K52" s="37"/>
      <c r="L52" s="26">
        <v>14</v>
      </c>
      <c r="M52" s="26" t="s">
        <v>204</v>
      </c>
      <c r="N52" s="26">
        <v>1285.3180833527358</v>
      </c>
      <c r="O52" s="95">
        <f t="shared" si="11"/>
        <v>17994.4531669383</v>
      </c>
      <c r="P52" s="97">
        <f t="shared" si="12"/>
        <v>837.17362039126033</v>
      </c>
      <c r="Q52" s="197">
        <v>1</v>
      </c>
    </row>
    <row r="53" spans="1:17" x14ac:dyDescent="0.25">
      <c r="A53" s="254">
        <v>1978</v>
      </c>
      <c r="B53" s="254" t="s">
        <v>183</v>
      </c>
      <c r="C53" s="210"/>
      <c r="D53" s="115" t="s">
        <v>218</v>
      </c>
      <c r="E53" s="29">
        <f t="shared" si="1"/>
        <v>28671</v>
      </c>
      <c r="F53" s="92" t="str">
        <f t="shared" si="2"/>
        <v>Date check - OK</v>
      </c>
      <c r="H53" s="119"/>
      <c r="I53" s="26"/>
      <c r="J53" s="101">
        <f t="shared" si="10"/>
        <v>4.6523982286353793E-2</v>
      </c>
      <c r="K53" s="37"/>
      <c r="L53" s="26">
        <v>373</v>
      </c>
      <c r="M53" s="26" t="s">
        <v>204</v>
      </c>
      <c r="N53" s="26">
        <v>895.48176111757846</v>
      </c>
      <c r="O53" s="95">
        <f t="shared" si="11"/>
        <v>334014.69689685677</v>
      </c>
      <c r="P53" s="97">
        <f t="shared" si="12"/>
        <v>15539.693841811195</v>
      </c>
      <c r="Q53" s="197">
        <v>1</v>
      </c>
    </row>
    <row r="54" spans="1:17" x14ac:dyDescent="0.25">
      <c r="A54" s="254">
        <v>1978</v>
      </c>
      <c r="B54" s="254" t="s">
        <v>183</v>
      </c>
      <c r="C54" s="210"/>
      <c r="D54" s="115" t="s">
        <v>218</v>
      </c>
      <c r="E54" s="29">
        <f t="shared" si="1"/>
        <v>28671</v>
      </c>
      <c r="F54" s="92" t="str">
        <f t="shared" si="2"/>
        <v>Date check - OK</v>
      </c>
      <c r="H54" s="119"/>
      <c r="I54" s="26"/>
      <c r="J54" s="101">
        <f t="shared" si="10"/>
        <v>4.6523982286353793E-2</v>
      </c>
      <c r="K54" s="37"/>
      <c r="L54" s="26">
        <v>258</v>
      </c>
      <c r="M54" s="26" t="s">
        <v>204</v>
      </c>
      <c r="N54" s="26">
        <v>481.17872409778812</v>
      </c>
      <c r="O54" s="95">
        <f t="shared" si="11"/>
        <v>124144.11081722933</v>
      </c>
      <c r="P54" s="97">
        <f t="shared" si="12"/>
        <v>5775.67841261592</v>
      </c>
      <c r="Q54" s="197">
        <v>1</v>
      </c>
    </row>
    <row r="55" spans="1:17" x14ac:dyDescent="0.25">
      <c r="A55" s="254">
        <v>1978</v>
      </c>
      <c r="B55" s="254" t="s">
        <v>183</v>
      </c>
      <c r="C55" s="210"/>
      <c r="D55" s="115" t="s">
        <v>218</v>
      </c>
      <c r="E55" s="29">
        <f t="shared" si="1"/>
        <v>28671</v>
      </c>
      <c r="F55" s="92" t="str">
        <f t="shared" si="2"/>
        <v>Date check - OK</v>
      </c>
      <c r="H55" s="119"/>
      <c r="I55" s="26"/>
      <c r="J55" s="101">
        <f t="shared" si="10"/>
        <v>4.6523982286353793E-2</v>
      </c>
      <c r="K55" s="37"/>
      <c r="L55" s="26">
        <v>10</v>
      </c>
      <c r="M55" s="26" t="s">
        <v>204</v>
      </c>
      <c r="N55" s="26">
        <v>1285.3180833527358</v>
      </c>
      <c r="O55" s="95">
        <f t="shared" si="11"/>
        <v>12853.180833527358</v>
      </c>
      <c r="P55" s="97">
        <f t="shared" si="12"/>
        <v>597.98115742232892</v>
      </c>
      <c r="Q55" s="197">
        <v>1</v>
      </c>
    </row>
    <row r="56" spans="1:17" x14ac:dyDescent="0.25">
      <c r="A56" s="254">
        <v>1978</v>
      </c>
      <c r="B56" s="254" t="s">
        <v>183</v>
      </c>
      <c r="C56" s="210"/>
      <c r="D56" s="115" t="s">
        <v>218</v>
      </c>
      <c r="E56" s="29">
        <f t="shared" si="1"/>
        <v>28671</v>
      </c>
      <c r="F56" s="92" t="str">
        <f t="shared" si="2"/>
        <v>Date check - OK</v>
      </c>
      <c r="H56" s="119"/>
      <c r="I56" s="26"/>
      <c r="J56" s="101">
        <f t="shared" si="10"/>
        <v>4.6523982286353793E-2</v>
      </c>
      <c r="K56" s="37"/>
      <c r="L56" s="26">
        <v>503</v>
      </c>
      <c r="M56" s="26" t="s">
        <v>204</v>
      </c>
      <c r="N56" s="26">
        <v>895.48176111757846</v>
      </c>
      <c r="O56" s="95">
        <f t="shared" si="11"/>
        <v>450427.32584214199</v>
      </c>
      <c r="P56" s="97">
        <f t="shared" si="12"/>
        <v>20955.672928769523</v>
      </c>
      <c r="Q56" s="197">
        <v>1</v>
      </c>
    </row>
    <row r="57" spans="1:17" x14ac:dyDescent="0.25">
      <c r="A57" s="254">
        <v>1978</v>
      </c>
      <c r="B57" s="254" t="s">
        <v>183</v>
      </c>
      <c r="C57" s="210"/>
      <c r="D57" s="115" t="s">
        <v>218</v>
      </c>
      <c r="E57" s="29">
        <f t="shared" si="1"/>
        <v>28671</v>
      </c>
      <c r="F57" s="92" t="str">
        <f t="shared" si="2"/>
        <v>Date check - OK</v>
      </c>
      <c r="H57" s="119"/>
      <c r="I57" s="26"/>
      <c r="J57" s="101">
        <f t="shared" si="10"/>
        <v>4.6523982286353793E-2</v>
      </c>
      <c r="K57" s="37"/>
      <c r="L57" s="26">
        <v>4</v>
      </c>
      <c r="M57" s="26" t="s">
        <v>204</v>
      </c>
      <c r="N57" s="26">
        <v>481.17872409778812</v>
      </c>
      <c r="O57" s="95">
        <f t="shared" si="11"/>
        <v>1924.7148963911525</v>
      </c>
      <c r="P57" s="97">
        <f t="shared" si="12"/>
        <v>89.545401745983256</v>
      </c>
      <c r="Q57" s="197">
        <v>1</v>
      </c>
    </row>
    <row r="58" spans="1:17" x14ac:dyDescent="0.25">
      <c r="A58" s="254">
        <v>1978</v>
      </c>
      <c r="B58" s="254" t="s">
        <v>183</v>
      </c>
      <c r="C58" s="210"/>
      <c r="D58" s="115" t="s">
        <v>219</v>
      </c>
      <c r="E58" s="29">
        <f t="shared" si="1"/>
        <v>28671</v>
      </c>
      <c r="F58" s="92" t="str">
        <f t="shared" si="2"/>
        <v>Date check - OK</v>
      </c>
      <c r="H58" s="119"/>
      <c r="I58" s="26"/>
      <c r="J58" s="101">
        <f t="shared" si="10"/>
        <v>4.6523982286353793E-2</v>
      </c>
      <c r="K58" s="37"/>
      <c r="L58" s="26">
        <v>4</v>
      </c>
      <c r="M58" s="26" t="s">
        <v>204</v>
      </c>
      <c r="N58" s="26">
        <v>1285.3180833527358</v>
      </c>
      <c r="O58" s="95">
        <f t="shared" si="11"/>
        <v>5141.2723334109432</v>
      </c>
      <c r="P58" s="97">
        <f t="shared" si="12"/>
        <v>239.19246296893155</v>
      </c>
      <c r="Q58" s="197">
        <v>1</v>
      </c>
    </row>
    <row r="59" spans="1:17" ht="23" x14ac:dyDescent="0.25">
      <c r="A59" s="254">
        <v>1979</v>
      </c>
      <c r="B59" s="254" t="s">
        <v>183</v>
      </c>
      <c r="C59" s="210"/>
      <c r="D59" s="115" t="s">
        <v>220</v>
      </c>
      <c r="E59" s="29">
        <f t="shared" si="1"/>
        <v>29036</v>
      </c>
      <c r="F59" s="92" t="str">
        <f t="shared" si="2"/>
        <v>Date check - OK</v>
      </c>
      <c r="H59" s="119"/>
      <c r="I59" s="26"/>
      <c r="J59" s="101">
        <f t="shared" si="10"/>
        <v>4.6523982286353793E-2</v>
      </c>
      <c r="K59" s="37"/>
      <c r="L59" s="26">
        <v>630</v>
      </c>
      <c r="M59" s="26" t="s">
        <v>204</v>
      </c>
      <c r="N59" s="26">
        <v>626.34789848661228</v>
      </c>
      <c r="O59" s="95">
        <f t="shared" si="11"/>
        <v>394599.17604656576</v>
      </c>
      <c r="P59" s="97">
        <f t="shared" si="12"/>
        <v>18358.325076600227</v>
      </c>
      <c r="Q59" s="197">
        <v>1</v>
      </c>
    </row>
    <row r="60" spans="1:17" ht="23" x14ac:dyDescent="0.25">
      <c r="A60" s="254">
        <v>1979</v>
      </c>
      <c r="B60" s="254" t="s">
        <v>183</v>
      </c>
      <c r="C60" s="210"/>
      <c r="D60" s="115" t="s">
        <v>220</v>
      </c>
      <c r="E60" s="29">
        <f t="shared" si="1"/>
        <v>29036</v>
      </c>
      <c r="F60" s="92" t="str">
        <f t="shared" si="2"/>
        <v>Date check - OK</v>
      </c>
      <c r="H60" s="119"/>
      <c r="I60" s="26"/>
      <c r="J60" s="101">
        <f t="shared" si="10"/>
        <v>4.6523982286353793E-2</v>
      </c>
      <c r="K60" s="37"/>
      <c r="L60" s="26">
        <v>144</v>
      </c>
      <c r="M60" s="26" t="s">
        <v>204</v>
      </c>
      <c r="N60" s="26">
        <v>528.48103934807921</v>
      </c>
      <c r="O60" s="95">
        <f t="shared" si="11"/>
        <v>76101.269666123408</v>
      </c>
      <c r="P60" s="97">
        <f t="shared" si="12"/>
        <v>3540.5341219157585</v>
      </c>
      <c r="Q60" s="197">
        <v>1</v>
      </c>
    </row>
    <row r="61" spans="1:17" x14ac:dyDescent="0.25">
      <c r="A61" s="254">
        <v>1979</v>
      </c>
      <c r="B61" s="254" t="s">
        <v>183</v>
      </c>
      <c r="C61" s="210"/>
      <c r="D61" s="115" t="s">
        <v>221</v>
      </c>
      <c r="E61" s="29">
        <f t="shared" si="1"/>
        <v>29036</v>
      </c>
      <c r="F61" s="92" t="str">
        <f t="shared" si="2"/>
        <v>Date check - OK</v>
      </c>
      <c r="H61" s="119"/>
      <c r="I61" s="26"/>
      <c r="J61" s="101">
        <f t="shared" si="10"/>
        <v>4.6523982286353793E-2</v>
      </c>
      <c r="K61" s="37"/>
      <c r="L61" s="26">
        <v>531</v>
      </c>
      <c r="M61" s="26" t="s">
        <v>204</v>
      </c>
      <c r="N61" s="26">
        <v>1285.3180833527358</v>
      </c>
      <c r="O61" s="95">
        <f t="shared" si="11"/>
        <v>682503.90226030268</v>
      </c>
      <c r="P61" s="97">
        <f t="shared" si="12"/>
        <v>31752.799459125661</v>
      </c>
      <c r="Q61" s="197">
        <v>1</v>
      </c>
    </row>
    <row r="62" spans="1:17" x14ac:dyDescent="0.25">
      <c r="A62" s="254">
        <v>1979</v>
      </c>
      <c r="B62" s="254" t="s">
        <v>183</v>
      </c>
      <c r="C62" s="210"/>
      <c r="D62" s="115" t="s">
        <v>221</v>
      </c>
      <c r="E62" s="29">
        <f t="shared" si="1"/>
        <v>29036</v>
      </c>
      <c r="F62" s="92" t="str">
        <f t="shared" si="2"/>
        <v>Date check - OK</v>
      </c>
      <c r="H62" s="119"/>
      <c r="I62" s="26"/>
      <c r="J62" s="101">
        <f t="shared" si="10"/>
        <v>4.6523982286353793E-2</v>
      </c>
      <c r="K62" s="37"/>
      <c r="L62" s="26">
        <v>1245</v>
      </c>
      <c r="M62" s="26" t="s">
        <v>204</v>
      </c>
      <c r="N62" s="26">
        <v>626.34789848661228</v>
      </c>
      <c r="O62" s="95">
        <f t="shared" si="11"/>
        <v>779803.13361583231</v>
      </c>
      <c r="P62" s="97">
        <f t="shared" si="12"/>
        <v>36279.547175186162</v>
      </c>
      <c r="Q62" s="197">
        <v>1</v>
      </c>
    </row>
    <row r="63" spans="1:17" x14ac:dyDescent="0.25">
      <c r="A63" s="254">
        <v>1979</v>
      </c>
      <c r="B63" s="254" t="s">
        <v>183</v>
      </c>
      <c r="C63" s="210"/>
      <c r="D63" s="115" t="s">
        <v>221</v>
      </c>
      <c r="E63" s="29">
        <f t="shared" si="1"/>
        <v>29036</v>
      </c>
      <c r="F63" s="92" t="str">
        <f t="shared" si="2"/>
        <v>Date check - OK</v>
      </c>
      <c r="H63" s="119"/>
      <c r="I63" s="26"/>
      <c r="J63" s="101">
        <f t="shared" si="10"/>
        <v>4.6523982286353793E-2</v>
      </c>
      <c r="K63" s="37"/>
      <c r="L63" s="26">
        <v>788</v>
      </c>
      <c r="M63" s="26" t="s">
        <v>204</v>
      </c>
      <c r="N63" s="26">
        <v>528.48103934807921</v>
      </c>
      <c r="O63" s="95">
        <f t="shared" si="11"/>
        <v>416443.05900628644</v>
      </c>
      <c r="P63" s="97">
        <f t="shared" si="12"/>
        <v>19374.589500483457</v>
      </c>
      <c r="Q63" s="197">
        <v>1</v>
      </c>
    </row>
    <row r="64" spans="1:17" x14ac:dyDescent="0.25">
      <c r="A64" s="254">
        <v>1981</v>
      </c>
      <c r="B64" s="254" t="s">
        <v>183</v>
      </c>
      <c r="C64" s="210"/>
      <c r="D64" s="115" t="s">
        <v>219</v>
      </c>
      <c r="E64" s="29">
        <f t="shared" si="1"/>
        <v>29767</v>
      </c>
      <c r="F64" s="92" t="str">
        <f t="shared" si="2"/>
        <v>Date check - OK</v>
      </c>
      <c r="H64" s="119"/>
      <c r="I64" s="26"/>
      <c r="J64" s="101">
        <f t="shared" si="10"/>
        <v>4.6523982286353793E-2</v>
      </c>
      <c r="K64" s="37"/>
      <c r="L64" s="26">
        <v>4544</v>
      </c>
      <c r="M64" s="26" t="s">
        <v>204</v>
      </c>
      <c r="N64" s="26">
        <v>1756.7101215366704</v>
      </c>
      <c r="O64" s="95">
        <f t="shared" si="11"/>
        <v>7982490.7922626305</v>
      </c>
      <c r="P64" s="97">
        <f t="shared" si="12"/>
        <v>371377.2602202089</v>
      </c>
      <c r="Q64" s="197">
        <v>1</v>
      </c>
    </row>
    <row r="65" spans="1:17" x14ac:dyDescent="0.25">
      <c r="A65" s="254">
        <v>1985</v>
      </c>
      <c r="B65" s="254" t="s">
        <v>183</v>
      </c>
      <c r="C65" s="210"/>
      <c r="D65" s="115" t="s">
        <v>222</v>
      </c>
      <c r="E65" s="29">
        <f t="shared" si="1"/>
        <v>31228</v>
      </c>
      <c r="F65" s="92" t="str">
        <f t="shared" si="2"/>
        <v>Date check - OK</v>
      </c>
      <c r="H65" s="119"/>
      <c r="I65" s="26"/>
      <c r="J65" s="101">
        <f t="shared" si="10"/>
        <v>4.6523982286353793E-2</v>
      </c>
      <c r="K65" s="37"/>
      <c r="L65" s="26">
        <v>8</v>
      </c>
      <c r="M65" s="26" t="s">
        <v>204</v>
      </c>
      <c r="N65" s="26">
        <v>1756.7101215366704</v>
      </c>
      <c r="O65" s="95">
        <f t="shared" si="11"/>
        <v>14053.680972293363</v>
      </c>
      <c r="P65" s="97">
        <f t="shared" si="12"/>
        <v>653.83320461304379</v>
      </c>
      <c r="Q65" s="197">
        <v>1</v>
      </c>
    </row>
    <row r="66" spans="1:17" x14ac:dyDescent="0.25">
      <c r="A66" s="254">
        <v>1985</v>
      </c>
      <c r="B66" s="254" t="s">
        <v>183</v>
      </c>
      <c r="C66" s="210"/>
      <c r="D66" s="115" t="s">
        <v>222</v>
      </c>
      <c r="E66" s="29">
        <f t="shared" si="1"/>
        <v>31228</v>
      </c>
      <c r="F66" s="92" t="str">
        <f t="shared" si="2"/>
        <v>Date check - OK</v>
      </c>
      <c r="H66" s="119"/>
      <c r="I66" s="26"/>
      <c r="J66" s="101">
        <f t="shared" si="10"/>
        <v>4.6523982286353793E-2</v>
      </c>
      <c r="K66" s="37"/>
      <c r="L66" s="26">
        <v>3566</v>
      </c>
      <c r="M66" s="26" t="s">
        <v>204</v>
      </c>
      <c r="N66" s="26">
        <v>1285.3180833527358</v>
      </c>
      <c r="O66" s="95">
        <f t="shared" si="11"/>
        <v>4583444.2852358557</v>
      </c>
      <c r="P66" s="97">
        <f t="shared" si="12"/>
        <v>213240.08073680248</v>
      </c>
      <c r="Q66" s="197">
        <v>1</v>
      </c>
    </row>
    <row r="67" spans="1:17" x14ac:dyDescent="0.25">
      <c r="A67" s="254">
        <v>1985</v>
      </c>
      <c r="B67" s="254" t="s">
        <v>183</v>
      </c>
      <c r="C67" s="210"/>
      <c r="D67" s="115" t="s">
        <v>223</v>
      </c>
      <c r="E67" s="29">
        <f t="shared" si="1"/>
        <v>31228</v>
      </c>
      <c r="F67" s="92" t="str">
        <f t="shared" si="2"/>
        <v>Date check - OK</v>
      </c>
      <c r="H67" s="119"/>
      <c r="I67" s="26"/>
      <c r="J67" s="101">
        <f t="shared" si="10"/>
        <v>4.6523982286353793E-2</v>
      </c>
      <c r="K67" s="37"/>
      <c r="L67" s="26">
        <v>177</v>
      </c>
      <c r="M67" s="26" t="s">
        <v>204</v>
      </c>
      <c r="N67" s="26">
        <v>1285.3180833527358</v>
      </c>
      <c r="O67" s="95">
        <f t="shared" si="11"/>
        <v>227501.30075343425</v>
      </c>
      <c r="P67" s="97">
        <f t="shared" si="12"/>
        <v>10584.266486375222</v>
      </c>
      <c r="Q67" s="197">
        <v>1</v>
      </c>
    </row>
    <row r="68" spans="1:17" x14ac:dyDescent="0.25">
      <c r="A68" s="254">
        <v>1985</v>
      </c>
      <c r="B68" s="254" t="s">
        <v>183</v>
      </c>
      <c r="C68" s="210"/>
      <c r="D68" s="115" t="s">
        <v>223</v>
      </c>
      <c r="E68" s="29">
        <f t="shared" si="1"/>
        <v>31228</v>
      </c>
      <c r="F68" s="92" t="str">
        <f t="shared" si="2"/>
        <v>Date check - OK</v>
      </c>
      <c r="H68" s="119"/>
      <c r="I68" s="26"/>
      <c r="J68" s="101">
        <f t="shared" si="10"/>
        <v>4.6523982286353793E-2</v>
      </c>
      <c r="K68" s="37"/>
      <c r="L68" s="26">
        <v>74</v>
      </c>
      <c r="M68" s="26" t="s">
        <v>204</v>
      </c>
      <c r="N68" s="26">
        <v>895.48176111757846</v>
      </c>
      <c r="O68" s="95">
        <f t="shared" si="11"/>
        <v>66265.650322700807</v>
      </c>
      <c r="P68" s="97">
        <f t="shared" si="12"/>
        <v>3082.941941807047</v>
      </c>
      <c r="Q68" s="197">
        <v>1</v>
      </c>
    </row>
    <row r="69" spans="1:17" x14ac:dyDescent="0.25">
      <c r="A69" s="254">
        <v>1985</v>
      </c>
      <c r="B69" s="254" t="s">
        <v>183</v>
      </c>
      <c r="C69" s="210"/>
      <c r="D69" s="115" t="s">
        <v>223</v>
      </c>
      <c r="E69" s="29">
        <f t="shared" si="1"/>
        <v>31228</v>
      </c>
      <c r="F69" s="92" t="str">
        <f t="shared" si="2"/>
        <v>Date check - OK</v>
      </c>
      <c r="H69" s="119"/>
      <c r="I69" s="26"/>
      <c r="J69" s="101">
        <f t="shared" si="10"/>
        <v>4.6523982286353793E-2</v>
      </c>
      <c r="K69" s="37"/>
      <c r="L69" s="26">
        <v>13</v>
      </c>
      <c r="M69" s="26" t="s">
        <v>204</v>
      </c>
      <c r="N69" s="26">
        <v>528.48103934807921</v>
      </c>
      <c r="O69" s="95">
        <f t="shared" si="11"/>
        <v>6870.2535115250294</v>
      </c>
      <c r="P69" s="97">
        <f t="shared" si="12"/>
        <v>319.63155267295042</v>
      </c>
      <c r="Q69" s="197">
        <v>1</v>
      </c>
    </row>
    <row r="70" spans="1:17" x14ac:dyDescent="0.25">
      <c r="A70" s="254">
        <v>1993</v>
      </c>
      <c r="B70" s="254" t="s">
        <v>183</v>
      </c>
      <c r="C70" s="210"/>
      <c r="D70" s="115" t="s">
        <v>224</v>
      </c>
      <c r="E70" s="29">
        <f t="shared" si="1"/>
        <v>34150</v>
      </c>
      <c r="F70" s="92" t="str">
        <f t="shared" si="2"/>
        <v>Date check - OK</v>
      </c>
      <c r="H70" s="119"/>
      <c r="I70" s="26"/>
      <c r="J70" s="101">
        <f t="shared" si="10"/>
        <v>4.6523982286353793E-2</v>
      </c>
      <c r="K70" s="37"/>
      <c r="L70" s="26">
        <v>8873</v>
      </c>
      <c r="M70" s="26" t="s">
        <v>204</v>
      </c>
      <c r="N70" s="26">
        <v>404.51635110593713</v>
      </c>
      <c r="O70" s="95">
        <f t="shared" si="11"/>
        <v>3589273.5833629803</v>
      </c>
      <c r="P70" s="97">
        <f t="shared" si="12"/>
        <v>166987.3006132569</v>
      </c>
      <c r="Q70" s="197">
        <v>1</v>
      </c>
    </row>
    <row r="71" spans="1:17" x14ac:dyDescent="0.25">
      <c r="A71" s="254">
        <v>1993</v>
      </c>
      <c r="B71" s="254" t="s">
        <v>183</v>
      </c>
      <c r="C71" s="210"/>
      <c r="D71" s="115" t="s">
        <v>224</v>
      </c>
      <c r="E71" s="29">
        <f t="shared" si="1"/>
        <v>34150</v>
      </c>
      <c r="F71" s="92" t="str">
        <f t="shared" si="2"/>
        <v>Date check - OK</v>
      </c>
      <c r="H71" s="119"/>
      <c r="I71" s="26"/>
      <c r="J71" s="101">
        <f t="shared" si="10"/>
        <v>4.6523982286353793E-2</v>
      </c>
      <c r="K71" s="37"/>
      <c r="L71" s="26">
        <v>254</v>
      </c>
      <c r="M71" s="26" t="s">
        <v>204</v>
      </c>
      <c r="N71" s="26">
        <v>404.51635110593713</v>
      </c>
      <c r="O71" s="95">
        <f t="shared" si="11"/>
        <v>102747.15318090803</v>
      </c>
      <c r="P71" s="97">
        <f t="shared" si="12"/>
        <v>4780.2067345618452</v>
      </c>
      <c r="Q71" s="197">
        <v>1</v>
      </c>
    </row>
    <row r="72" spans="1:17" x14ac:dyDescent="0.25">
      <c r="C72" s="210"/>
      <c r="D72" s="115"/>
      <c r="E72" s="29"/>
      <c r="F72" s="92"/>
      <c r="H72" s="119"/>
      <c r="I72" s="26"/>
      <c r="J72" s="101">
        <f t="shared" si="10"/>
        <v>4.6523982286353793E-2</v>
      </c>
      <c r="K72" s="37"/>
      <c r="L72" s="26"/>
      <c r="M72" s="26"/>
      <c r="N72" s="26"/>
      <c r="O72" s="95"/>
      <c r="P72" s="97"/>
      <c r="Q72" s="197"/>
    </row>
    <row r="73" spans="1:17" ht="23" x14ac:dyDescent="0.25">
      <c r="A73" s="254">
        <v>1971</v>
      </c>
      <c r="B73" s="254" t="s">
        <v>186</v>
      </c>
      <c r="C73" s="210" t="s">
        <v>225</v>
      </c>
      <c r="D73" s="115" t="s">
        <v>226</v>
      </c>
      <c r="E73" s="29">
        <f t="shared" ref="E73:E88" si="13">IF(A73&lt;2022,DATEVALUE("30 Jun "&amp;A73),A73)</f>
        <v>26114</v>
      </c>
      <c r="F73" s="92" t="str">
        <f t="shared" si="2"/>
        <v>Date check - OK</v>
      </c>
      <c r="H73" s="119"/>
      <c r="I73" s="26"/>
      <c r="J73" s="101">
        <f t="shared" si="10"/>
        <v>4.6523982286353793E-2</v>
      </c>
      <c r="K73" s="37"/>
      <c r="L73" s="26">
        <v>1</v>
      </c>
      <c r="M73" s="26" t="s">
        <v>227</v>
      </c>
      <c r="N73" s="26">
        <v>687150.94695506396</v>
      </c>
      <c r="O73" s="95">
        <f t="shared" ref="O73:O88" si="14">IF(N73="","-",L73*N73)</f>
        <v>687150.94695506396</v>
      </c>
      <c r="P73" s="97">
        <f t="shared" ref="P73:P88" si="15">IF(O73="-","-",IF(OR(E73&lt;$E$15,E73&gt;$E$16),0,O73*J73))*Q73</f>
        <v>31968.998484188633</v>
      </c>
      <c r="Q73" s="197">
        <v>1</v>
      </c>
    </row>
    <row r="74" spans="1:17" x14ac:dyDescent="0.25">
      <c r="A74" s="254">
        <v>1972</v>
      </c>
      <c r="B74" s="254" t="s">
        <v>186</v>
      </c>
      <c r="C74" s="210" t="s">
        <v>228</v>
      </c>
      <c r="D74" s="115" t="s">
        <v>229</v>
      </c>
      <c r="E74" s="29">
        <f t="shared" si="13"/>
        <v>26480</v>
      </c>
      <c r="F74" s="92" t="str">
        <f t="shared" si="2"/>
        <v>Date check - OK</v>
      </c>
      <c r="H74" s="119"/>
      <c r="I74" s="26"/>
      <c r="J74" s="101">
        <f t="shared" si="10"/>
        <v>4.6523982286353793E-2</v>
      </c>
      <c r="K74" s="37"/>
      <c r="L74" s="26">
        <v>1</v>
      </c>
      <c r="M74" s="26" t="s">
        <v>227</v>
      </c>
      <c r="N74" s="26">
        <v>702405.12806612335</v>
      </c>
      <c r="O74" s="95">
        <f t="shared" si="14"/>
        <v>702405.12806612335</v>
      </c>
      <c r="P74" s="97">
        <f t="shared" si="15"/>
        <v>32678.683735992392</v>
      </c>
      <c r="Q74" s="197">
        <v>1</v>
      </c>
    </row>
    <row r="75" spans="1:17" x14ac:dyDescent="0.25">
      <c r="A75" s="254">
        <v>1984</v>
      </c>
      <c r="B75" s="254" t="s">
        <v>186</v>
      </c>
      <c r="C75" s="210" t="s">
        <v>230</v>
      </c>
      <c r="D75" s="115" t="s">
        <v>231</v>
      </c>
      <c r="E75" s="29">
        <f t="shared" si="13"/>
        <v>30863</v>
      </c>
      <c r="F75" s="92" t="str">
        <f t="shared" si="2"/>
        <v>Date check - OK</v>
      </c>
      <c r="H75" s="119"/>
      <c r="I75" s="26"/>
      <c r="J75" s="101">
        <f t="shared" si="10"/>
        <v>4.6523982286353793E-2</v>
      </c>
      <c r="K75" s="37"/>
      <c r="L75" s="26">
        <v>1</v>
      </c>
      <c r="M75" s="26" t="s">
        <v>227</v>
      </c>
      <c r="N75" s="26">
        <v>885902.22672223521</v>
      </c>
      <c r="O75" s="95">
        <f t="shared" si="14"/>
        <v>885902.22672223521</v>
      </c>
      <c r="P75" s="97">
        <f t="shared" si="15"/>
        <v>41215.699503466654</v>
      </c>
      <c r="Q75" s="197">
        <v>1</v>
      </c>
    </row>
    <row r="76" spans="1:17" x14ac:dyDescent="0.25">
      <c r="A76" s="254">
        <v>1992</v>
      </c>
      <c r="B76" s="254" t="s">
        <v>186</v>
      </c>
      <c r="C76" s="210" t="s">
        <v>232</v>
      </c>
      <c r="D76" s="115" t="s">
        <v>233</v>
      </c>
      <c r="E76" s="29">
        <f t="shared" si="13"/>
        <v>33785</v>
      </c>
      <c r="F76" s="92" t="str">
        <f t="shared" si="2"/>
        <v>Date check - OK</v>
      </c>
      <c r="H76" s="119"/>
      <c r="I76" s="26"/>
      <c r="J76" s="101">
        <f t="shared" si="10"/>
        <v>4.6523982286353793E-2</v>
      </c>
      <c r="K76" s="37"/>
      <c r="L76" s="26">
        <v>1</v>
      </c>
      <c r="M76" s="26" t="s">
        <v>227</v>
      </c>
      <c r="N76" s="26">
        <v>889099.21078742715</v>
      </c>
      <c r="O76" s="95">
        <f t="shared" si="14"/>
        <v>889099.21078742715</v>
      </c>
      <c r="P76" s="97">
        <f t="shared" si="15"/>
        <v>41364.435933485402</v>
      </c>
      <c r="Q76" s="197">
        <v>1</v>
      </c>
    </row>
    <row r="77" spans="1:17" ht="23" x14ac:dyDescent="0.25">
      <c r="A77" s="254">
        <v>1995</v>
      </c>
      <c r="B77" s="254" t="s">
        <v>186</v>
      </c>
      <c r="C77" s="210" t="s">
        <v>234</v>
      </c>
      <c r="D77" s="115" t="s">
        <v>235</v>
      </c>
      <c r="E77" s="29">
        <f t="shared" si="13"/>
        <v>34880</v>
      </c>
      <c r="F77" s="92" t="str">
        <f t="shared" si="2"/>
        <v>Date check - OK</v>
      </c>
      <c r="H77" s="119"/>
      <c r="I77" s="26"/>
      <c r="J77" s="101">
        <f t="shared" si="10"/>
        <v>4.6523982286353793E-2</v>
      </c>
      <c r="K77" s="37"/>
      <c r="L77" s="26">
        <v>1</v>
      </c>
      <c r="M77" s="26" t="s">
        <v>227</v>
      </c>
      <c r="N77" s="26">
        <v>673054.85701047722</v>
      </c>
      <c r="O77" s="95">
        <f t="shared" si="14"/>
        <v>673054.85701047722</v>
      </c>
      <c r="P77" s="97">
        <f t="shared" si="15"/>
        <v>31313.192245299826</v>
      </c>
      <c r="Q77" s="197">
        <v>1</v>
      </c>
    </row>
    <row r="78" spans="1:17" ht="23" x14ac:dyDescent="0.25">
      <c r="A78" s="254">
        <v>1995</v>
      </c>
      <c r="B78" s="254" t="s">
        <v>186</v>
      </c>
      <c r="C78" s="210" t="s">
        <v>236</v>
      </c>
      <c r="D78" s="115" t="s">
        <v>237</v>
      </c>
      <c r="E78" s="29">
        <f t="shared" si="13"/>
        <v>34880</v>
      </c>
      <c r="F78" s="92" t="str">
        <f t="shared" si="2"/>
        <v>Date check - OK</v>
      </c>
      <c r="H78" s="119"/>
      <c r="I78" s="26"/>
      <c r="J78" s="101">
        <f t="shared" si="10"/>
        <v>4.6523982286353793E-2</v>
      </c>
      <c r="K78" s="37"/>
      <c r="L78" s="26">
        <v>1</v>
      </c>
      <c r="M78" s="26" t="s">
        <v>227</v>
      </c>
      <c r="N78" s="26">
        <v>1066435.5906607683</v>
      </c>
      <c r="O78" s="95">
        <f t="shared" si="14"/>
        <v>1066435.5906607683</v>
      </c>
      <c r="P78" s="97">
        <f t="shared" si="15"/>
        <v>4961.4830529438841</v>
      </c>
      <c r="Q78" s="197">
        <v>0.1</v>
      </c>
    </row>
    <row r="79" spans="1:17" ht="23" x14ac:dyDescent="0.25">
      <c r="A79" s="254">
        <v>1995</v>
      </c>
      <c r="B79" s="254" t="s">
        <v>186</v>
      </c>
      <c r="C79" s="210" t="s">
        <v>238</v>
      </c>
      <c r="D79" s="115" t="s">
        <v>239</v>
      </c>
      <c r="E79" s="29">
        <f t="shared" si="13"/>
        <v>34880</v>
      </c>
      <c r="F79" s="92" t="str">
        <f t="shared" si="2"/>
        <v>Date check - OK</v>
      </c>
      <c r="H79" s="119"/>
      <c r="I79" s="26"/>
      <c r="J79" s="101">
        <f t="shared" si="10"/>
        <v>4.6523982286353793E-2</v>
      </c>
      <c r="K79" s="37"/>
      <c r="L79" s="26">
        <v>1</v>
      </c>
      <c r="M79" s="26" t="s">
        <v>227</v>
      </c>
      <c r="N79" s="26">
        <v>931498.39639487769</v>
      </c>
      <c r="O79" s="95">
        <f t="shared" si="14"/>
        <v>931498.39639487769</v>
      </c>
      <c r="P79" s="97">
        <f t="shared" si="15"/>
        <v>4333.7014893642254</v>
      </c>
      <c r="Q79" s="197">
        <v>0.1</v>
      </c>
    </row>
    <row r="80" spans="1:17" ht="23" x14ac:dyDescent="0.25">
      <c r="A80" s="254">
        <v>1995</v>
      </c>
      <c r="B80" s="254" t="s">
        <v>186</v>
      </c>
      <c r="C80" s="210" t="s">
        <v>240</v>
      </c>
      <c r="D80" s="115" t="s">
        <v>241</v>
      </c>
      <c r="E80" s="29">
        <f t="shared" si="13"/>
        <v>34880</v>
      </c>
      <c r="F80" s="92" t="str">
        <f t="shared" si="2"/>
        <v>Date check - OK</v>
      </c>
      <c r="H80" s="119"/>
      <c r="I80" s="26"/>
      <c r="J80" s="101">
        <f t="shared" si="10"/>
        <v>4.6523982286353793E-2</v>
      </c>
      <c r="K80" s="37"/>
      <c r="L80" s="26">
        <v>1</v>
      </c>
      <c r="M80" s="26" t="s">
        <v>227</v>
      </c>
      <c r="N80" s="26">
        <v>1983823.2170821885</v>
      </c>
      <c r="O80" s="95">
        <f t="shared" si="14"/>
        <v>1983823.2170821885</v>
      </c>
      <c r="P80" s="97">
        <f t="shared" si="15"/>
        <v>9229.5356210789141</v>
      </c>
      <c r="Q80" s="197">
        <v>0.1</v>
      </c>
    </row>
    <row r="81" spans="1:17" x14ac:dyDescent="0.25">
      <c r="C81" s="210"/>
      <c r="D81" s="115"/>
      <c r="E81" s="29"/>
      <c r="F81" s="92"/>
      <c r="H81" s="119"/>
      <c r="I81" s="26"/>
      <c r="J81" s="101"/>
      <c r="K81" s="37"/>
      <c r="L81" s="26"/>
      <c r="M81" s="26"/>
      <c r="N81" s="26"/>
      <c r="O81" s="95"/>
      <c r="P81" s="97"/>
      <c r="Q81" s="197"/>
    </row>
    <row r="82" spans="1:17" ht="23" x14ac:dyDescent="0.25">
      <c r="A82" s="254">
        <v>1972</v>
      </c>
      <c r="B82" s="254" t="s">
        <v>188</v>
      </c>
      <c r="C82" s="210" t="s">
        <v>242</v>
      </c>
      <c r="D82" s="115" t="s">
        <v>243</v>
      </c>
      <c r="E82" s="29">
        <f t="shared" si="13"/>
        <v>26480</v>
      </c>
      <c r="F82" s="92" t="str">
        <f t="shared" ref="F82:F87" si="16">IF(E82="","-",IF(OR(E82&lt;$E$15,E82&gt;$E$16),"ERROR - date outside of range","Date check - OK"))</f>
        <v>Date check - OK</v>
      </c>
      <c r="H82" s="119"/>
      <c r="I82" s="26"/>
      <c r="J82" s="101">
        <f>J80</f>
        <v>4.6523982286353793E-2</v>
      </c>
      <c r="K82" s="37"/>
      <c r="L82" s="26">
        <v>1</v>
      </c>
      <c r="M82" s="26" t="s">
        <v>188</v>
      </c>
      <c r="N82" s="26">
        <v>1795070.6680903374</v>
      </c>
      <c r="O82" s="95">
        <f t="shared" ref="O82:O84" si="17">IF(N82="","-",L82*N82)</f>
        <v>1795070.6680903374</v>
      </c>
      <c r="P82" s="97">
        <f t="shared" ref="P82:P84" si="18">IF(O82="-","-",IF(OR(E82&lt;$E$15,E82&gt;$E$16),0,O82*J82))*Q82</f>
        <v>83513.835964988131</v>
      </c>
      <c r="Q82" s="197">
        <v>1</v>
      </c>
    </row>
    <row r="83" spans="1:17" x14ac:dyDescent="0.25">
      <c r="A83" s="254">
        <v>1974</v>
      </c>
      <c r="B83" s="254" t="s">
        <v>188</v>
      </c>
      <c r="C83" s="210" t="s">
        <v>244</v>
      </c>
      <c r="D83" s="115" t="s">
        <v>245</v>
      </c>
      <c r="E83" s="29">
        <f t="shared" si="13"/>
        <v>27210</v>
      </c>
      <c r="F83" s="92" t="str">
        <f t="shared" si="16"/>
        <v>Date check - OK</v>
      </c>
      <c r="H83" s="119"/>
      <c r="I83" s="26"/>
      <c r="J83" s="101">
        <f>J82</f>
        <v>4.6523982286353793E-2</v>
      </c>
      <c r="K83" s="37"/>
      <c r="L83" s="26">
        <v>1</v>
      </c>
      <c r="M83" s="26" t="s">
        <v>188</v>
      </c>
      <c r="N83" s="26">
        <v>1795070.6680903374</v>
      </c>
      <c r="O83" s="95">
        <f t="shared" si="17"/>
        <v>1795070.6680903374</v>
      </c>
      <c r="P83" s="97">
        <f t="shared" si="18"/>
        <v>83513.835964988131</v>
      </c>
      <c r="Q83" s="197">
        <v>1</v>
      </c>
    </row>
    <row r="84" spans="1:17" x14ac:dyDescent="0.25">
      <c r="A84" s="254">
        <v>1977</v>
      </c>
      <c r="B84" s="254" t="s">
        <v>188</v>
      </c>
      <c r="C84" s="210" t="s">
        <v>246</v>
      </c>
      <c r="D84" s="115" t="s">
        <v>247</v>
      </c>
      <c r="E84" s="29">
        <f t="shared" si="13"/>
        <v>28306</v>
      </c>
      <c r="F84" s="92" t="str">
        <f t="shared" si="16"/>
        <v>Date check - OK</v>
      </c>
      <c r="H84" s="119"/>
      <c r="I84" s="26"/>
      <c r="J84" s="101">
        <f t="shared" ref="J84" si="19">J82</f>
        <v>4.6523982286353793E-2</v>
      </c>
      <c r="K84" s="37"/>
      <c r="L84" s="26">
        <v>1</v>
      </c>
      <c r="M84" s="26" t="s">
        <v>188</v>
      </c>
      <c r="N84" s="26">
        <v>1876460.0103785796</v>
      </c>
      <c r="O84" s="95">
        <f t="shared" si="17"/>
        <v>1876460.0103785796</v>
      </c>
      <c r="P84" s="97">
        <f t="shared" si="18"/>
        <v>87300.392283904293</v>
      </c>
      <c r="Q84" s="197">
        <v>1</v>
      </c>
    </row>
    <row r="85" spans="1:17" ht="23" x14ac:dyDescent="0.25">
      <c r="A85" s="254">
        <v>1980</v>
      </c>
      <c r="B85" s="254" t="s">
        <v>188</v>
      </c>
      <c r="C85" s="210" t="s">
        <v>248</v>
      </c>
      <c r="D85" s="115" t="s">
        <v>249</v>
      </c>
      <c r="E85" s="29">
        <f t="shared" si="13"/>
        <v>29402</v>
      </c>
      <c r="F85" s="92" t="str">
        <f t="shared" si="16"/>
        <v>Date check - OK</v>
      </c>
      <c r="H85" s="119"/>
      <c r="I85" s="26"/>
      <c r="J85" s="101">
        <f t="shared" si="10"/>
        <v>4.6523982286353793E-2</v>
      </c>
      <c r="K85" s="37"/>
      <c r="L85" s="26">
        <v>1</v>
      </c>
      <c r="M85" s="26" t="s">
        <v>188</v>
      </c>
      <c r="N85" s="26">
        <v>8751412.7622565776</v>
      </c>
      <c r="O85" s="95">
        <f t="shared" si="14"/>
        <v>8751412.7622565776</v>
      </c>
      <c r="P85" s="97">
        <f t="shared" si="15"/>
        <v>407150.57233179553</v>
      </c>
      <c r="Q85" s="197">
        <v>1</v>
      </c>
    </row>
    <row r="86" spans="1:17" ht="23" x14ac:dyDescent="0.25">
      <c r="A86" s="254">
        <v>1981</v>
      </c>
      <c r="B86" s="254" t="s">
        <v>188</v>
      </c>
      <c r="C86" s="210" t="s">
        <v>250</v>
      </c>
      <c r="D86" s="115" t="s">
        <v>249</v>
      </c>
      <c r="E86" s="29">
        <f t="shared" si="13"/>
        <v>29767</v>
      </c>
      <c r="F86" s="92" t="str">
        <f t="shared" si="16"/>
        <v>Date check - OK</v>
      </c>
      <c r="H86" s="119"/>
      <c r="I86" s="26"/>
      <c r="J86" s="101">
        <f t="shared" si="10"/>
        <v>4.6523982286353793E-2</v>
      </c>
      <c r="K86" s="37"/>
      <c r="L86" s="26">
        <v>1</v>
      </c>
      <c r="M86" s="26" t="s">
        <v>188</v>
      </c>
      <c r="N86" s="26">
        <v>12411678.965238648</v>
      </c>
      <c r="O86" s="95">
        <f t="shared" si="14"/>
        <v>12411678.965238648</v>
      </c>
      <c r="P86" s="97">
        <f t="shared" si="15"/>
        <v>577440.73232267285</v>
      </c>
      <c r="Q86" s="197">
        <v>1</v>
      </c>
    </row>
    <row r="87" spans="1:17" ht="23" x14ac:dyDescent="0.25">
      <c r="A87" s="254">
        <v>1990</v>
      </c>
      <c r="B87" s="254" t="s">
        <v>188</v>
      </c>
      <c r="C87" s="210" t="s">
        <v>251</v>
      </c>
      <c r="D87" s="115" t="s">
        <v>252</v>
      </c>
      <c r="E87" s="29">
        <f t="shared" si="13"/>
        <v>33054</v>
      </c>
      <c r="F87" s="92" t="str">
        <f t="shared" si="16"/>
        <v>Date check - OK</v>
      </c>
      <c r="H87" s="119"/>
      <c r="I87" s="26"/>
      <c r="J87" s="101">
        <f t="shared" si="10"/>
        <v>4.6523982286353793E-2</v>
      </c>
      <c r="K87" s="37"/>
      <c r="L87" s="26">
        <v>1</v>
      </c>
      <c r="M87" s="26" t="s">
        <v>188</v>
      </c>
      <c r="N87" s="26">
        <v>2987428.284176019</v>
      </c>
      <c r="O87" s="95">
        <f t="shared" si="14"/>
        <v>2987428.284176019</v>
      </c>
      <c r="P87" s="97">
        <f t="shared" si="15"/>
        <v>138987.0605747574</v>
      </c>
      <c r="Q87" s="197">
        <v>1</v>
      </c>
    </row>
    <row r="88" spans="1:17" ht="23" x14ac:dyDescent="0.25">
      <c r="A88" s="254">
        <v>1994</v>
      </c>
      <c r="B88" s="254" t="s">
        <v>188</v>
      </c>
      <c r="C88" s="210" t="s">
        <v>253</v>
      </c>
      <c r="D88" s="115" t="s">
        <v>254</v>
      </c>
      <c r="E88" s="29">
        <f t="shared" si="13"/>
        <v>34515</v>
      </c>
      <c r="F88" s="92" t="str">
        <f t="shared" ref="F88" si="20">IF(E88="","-",IF(OR(E88&lt;$E$15,E88&gt;$E$16),"ERROR - date outside of range","Date check - OK"))</f>
        <v>Date check - OK</v>
      </c>
      <c r="H88" s="119"/>
      <c r="I88" s="26"/>
      <c r="J88" s="101">
        <f t="shared" si="10"/>
        <v>4.6523982286353793E-2</v>
      </c>
      <c r="K88" s="37"/>
      <c r="L88" s="26">
        <v>1</v>
      </c>
      <c r="M88" s="26" t="s">
        <v>188</v>
      </c>
      <c r="N88" s="26">
        <v>1134152.9327273574</v>
      </c>
      <c r="O88" s="95">
        <f t="shared" si="14"/>
        <v>1134152.9327273574</v>
      </c>
      <c r="P88" s="97">
        <f t="shared" si="15"/>
        <v>52765.310952223779</v>
      </c>
      <c r="Q88" s="197">
        <v>1</v>
      </c>
    </row>
    <row r="89" spans="1:17" x14ac:dyDescent="0.25">
      <c r="C89" s="210"/>
      <c r="D89" s="115"/>
      <c r="E89" s="29"/>
      <c r="F89" s="92"/>
      <c r="H89" s="119"/>
      <c r="I89" s="26"/>
      <c r="J89" s="101"/>
      <c r="K89" s="37"/>
      <c r="L89" s="26"/>
      <c r="M89" s="26"/>
      <c r="N89" s="26"/>
      <c r="O89" s="95"/>
      <c r="P89" s="97"/>
      <c r="Q89" s="197"/>
    </row>
    <row r="90" spans="1:17" x14ac:dyDescent="0.25">
      <c r="C90" s="210"/>
      <c r="D90" s="115"/>
      <c r="E90" s="29"/>
      <c r="F90" s="92"/>
      <c r="H90" s="119"/>
      <c r="I90" s="26"/>
      <c r="J90" s="101"/>
      <c r="K90" s="37"/>
      <c r="L90" s="26"/>
      <c r="M90" s="26"/>
      <c r="N90" s="26"/>
      <c r="O90" s="95"/>
      <c r="P90" s="97"/>
      <c r="Q90" s="197"/>
    </row>
    <row r="91" spans="1:17" x14ac:dyDescent="0.25">
      <c r="C91" s="210"/>
      <c r="D91" s="115"/>
      <c r="E91" s="29"/>
      <c r="F91" s="92"/>
      <c r="H91" s="119"/>
      <c r="I91" s="26"/>
      <c r="J91" s="101"/>
      <c r="K91" s="37"/>
      <c r="L91" s="26"/>
      <c r="M91" s="26"/>
      <c r="N91" s="26"/>
      <c r="O91" s="95"/>
      <c r="P91" s="97"/>
      <c r="Q91" s="197"/>
    </row>
    <row r="92" spans="1:17" x14ac:dyDescent="0.25">
      <c r="C92" s="210"/>
      <c r="D92" s="115"/>
      <c r="E92" s="29"/>
      <c r="F92" s="92"/>
      <c r="H92" s="119"/>
      <c r="I92" s="26"/>
      <c r="J92" s="101">
        <f t="shared" si="10"/>
        <v>0</v>
      </c>
      <c r="K92" s="37"/>
      <c r="L92" s="26"/>
      <c r="M92" s="26"/>
      <c r="N92" s="26"/>
      <c r="O92" s="95"/>
      <c r="P92" s="97"/>
      <c r="Q92" s="197"/>
    </row>
    <row r="93" spans="1:17" x14ac:dyDescent="0.25">
      <c r="C93" s="210"/>
      <c r="D93" s="115"/>
      <c r="E93" s="29"/>
      <c r="F93" s="92"/>
      <c r="H93" s="119"/>
      <c r="I93" s="26"/>
      <c r="J93" s="101">
        <f t="shared" si="10"/>
        <v>0</v>
      </c>
      <c r="K93" s="37"/>
      <c r="L93" s="26"/>
      <c r="M93" s="26"/>
      <c r="N93" s="26"/>
      <c r="O93" s="95"/>
      <c r="P93" s="97"/>
      <c r="Q93" s="197"/>
    </row>
    <row r="94" spans="1:17" x14ac:dyDescent="0.25">
      <c r="C94" s="210"/>
      <c r="D94" s="115"/>
      <c r="E94" s="29"/>
      <c r="F94" s="92"/>
      <c r="H94" s="119"/>
      <c r="I94" s="26"/>
      <c r="J94" s="101">
        <f t="shared" si="10"/>
        <v>0</v>
      </c>
      <c r="K94" s="37"/>
      <c r="L94" s="26"/>
      <c r="M94" s="26"/>
      <c r="N94" s="26"/>
      <c r="O94" s="95"/>
      <c r="P94" s="97"/>
      <c r="Q94" s="197"/>
    </row>
    <row r="95" spans="1:17" x14ac:dyDescent="0.25">
      <c r="C95" s="210"/>
      <c r="D95" s="115"/>
      <c r="E95" s="29"/>
      <c r="F95" s="92"/>
      <c r="H95" s="119"/>
      <c r="I95" s="26"/>
      <c r="J95" s="101">
        <f t="shared" si="10"/>
        <v>0</v>
      </c>
      <c r="K95" s="37"/>
      <c r="L95" s="26"/>
      <c r="M95" s="26"/>
      <c r="N95" s="26"/>
      <c r="O95" s="95"/>
      <c r="P95" s="97"/>
      <c r="Q95" s="197"/>
    </row>
    <row r="96" spans="1:17" x14ac:dyDescent="0.25">
      <c r="C96" s="210"/>
      <c r="D96" s="115"/>
      <c r="E96" s="29"/>
      <c r="F96" s="92"/>
      <c r="H96" s="119"/>
      <c r="I96" s="26"/>
      <c r="J96" s="101"/>
      <c r="K96" s="37"/>
      <c r="L96" s="26"/>
      <c r="M96" s="26"/>
      <c r="N96" s="26"/>
      <c r="O96" s="95"/>
      <c r="P96" s="97"/>
      <c r="Q96" s="197"/>
    </row>
    <row r="97" spans="3:17" x14ac:dyDescent="0.25">
      <c r="C97" s="210"/>
      <c r="D97" s="115"/>
      <c r="E97" s="29"/>
      <c r="F97" s="92"/>
      <c r="H97" s="119"/>
      <c r="I97" s="26"/>
      <c r="J97" s="101"/>
      <c r="K97" s="37"/>
      <c r="L97" s="26"/>
      <c r="M97" s="26"/>
      <c r="N97" s="26"/>
      <c r="O97" s="95"/>
      <c r="P97" s="97"/>
      <c r="Q97" s="197"/>
    </row>
    <row r="98" spans="3:17" x14ac:dyDescent="0.25">
      <c r="C98" s="210"/>
      <c r="D98" s="115"/>
      <c r="E98" s="29"/>
      <c r="F98" s="92"/>
      <c r="H98" s="119"/>
      <c r="I98" s="26"/>
      <c r="J98" s="101"/>
      <c r="K98" s="37"/>
      <c r="L98" s="26"/>
      <c r="M98" s="26"/>
      <c r="N98" s="26"/>
      <c r="O98" s="95"/>
      <c r="P98" s="97"/>
      <c r="Q98" s="197"/>
    </row>
    <row r="99" spans="3:17" x14ac:dyDescent="0.25">
      <c r="C99" s="210"/>
      <c r="D99" s="115"/>
      <c r="E99" s="29"/>
      <c r="F99" s="92"/>
      <c r="H99" s="119"/>
      <c r="I99" s="26"/>
      <c r="J99" s="101"/>
      <c r="K99" s="37"/>
      <c r="L99" s="26"/>
      <c r="M99" s="26"/>
      <c r="N99" s="26"/>
      <c r="O99" s="95"/>
      <c r="P99" s="97"/>
      <c r="Q99" s="197"/>
    </row>
    <row r="100" spans="3:17" x14ac:dyDescent="0.25">
      <c r="C100" s="210"/>
      <c r="D100" s="115"/>
      <c r="E100" s="29"/>
      <c r="F100" s="92"/>
      <c r="H100" s="119"/>
      <c r="I100" s="26"/>
      <c r="J100" s="101"/>
      <c r="K100" s="37"/>
      <c r="L100" s="26"/>
      <c r="M100" s="26"/>
      <c r="N100" s="26"/>
      <c r="O100" s="95"/>
      <c r="P100" s="97"/>
      <c r="Q100" s="197"/>
    </row>
    <row r="101" spans="3:17" x14ac:dyDescent="0.25">
      <c r="C101" s="210"/>
      <c r="D101" s="115"/>
      <c r="E101" s="29"/>
      <c r="F101" s="92"/>
      <c r="H101" s="119"/>
      <c r="I101" s="26"/>
      <c r="J101" s="101"/>
      <c r="K101" s="37"/>
      <c r="L101" s="26"/>
      <c r="M101" s="26"/>
      <c r="N101" s="26"/>
      <c r="O101" s="95"/>
      <c r="P101" s="97"/>
      <c r="Q101" s="197"/>
    </row>
    <row r="102" spans="3:17" x14ac:dyDescent="0.25">
      <c r="C102" s="210"/>
      <c r="D102" s="115"/>
      <c r="E102" s="29"/>
      <c r="F102" s="92"/>
      <c r="H102" s="119"/>
      <c r="I102" s="26"/>
      <c r="J102" s="101"/>
      <c r="K102" s="37"/>
      <c r="L102" s="26"/>
      <c r="M102" s="26"/>
      <c r="N102" s="26"/>
      <c r="O102" s="95"/>
      <c r="P102" s="97"/>
      <c r="Q102" s="197"/>
    </row>
    <row r="103" spans="3:17" x14ac:dyDescent="0.25">
      <c r="C103" s="210"/>
      <c r="D103" s="115"/>
      <c r="E103" s="29"/>
      <c r="F103" s="92"/>
      <c r="H103" s="119"/>
      <c r="I103" s="26"/>
      <c r="J103" s="101"/>
      <c r="K103" s="37"/>
      <c r="L103" s="26"/>
      <c r="M103" s="26"/>
      <c r="N103" s="26"/>
      <c r="O103" s="95"/>
      <c r="P103" s="97"/>
      <c r="Q103" s="197"/>
    </row>
    <row r="104" spans="3:17" x14ac:dyDescent="0.25">
      <c r="C104" s="210"/>
      <c r="D104" s="115"/>
      <c r="E104" s="29"/>
      <c r="F104" s="92"/>
      <c r="H104" s="119"/>
      <c r="I104" s="26"/>
      <c r="J104" s="101"/>
      <c r="K104" s="37"/>
      <c r="L104" s="26"/>
      <c r="M104" s="26"/>
      <c r="N104" s="26"/>
      <c r="O104" s="95"/>
      <c r="P104" s="97"/>
      <c r="Q104" s="197"/>
    </row>
    <row r="105" spans="3:17" x14ac:dyDescent="0.25">
      <c r="C105" s="210"/>
      <c r="D105" s="115"/>
      <c r="E105" s="29"/>
      <c r="F105" s="92"/>
      <c r="H105" s="119"/>
      <c r="I105" s="26"/>
      <c r="J105" s="101"/>
      <c r="K105" s="37"/>
      <c r="L105" s="26"/>
      <c r="M105" s="26"/>
      <c r="N105" s="26"/>
      <c r="O105" s="95"/>
      <c r="P105" s="97"/>
      <c r="Q105" s="197"/>
    </row>
    <row r="106" spans="3:17" x14ac:dyDescent="0.25">
      <c r="C106" s="210"/>
      <c r="D106" s="115"/>
      <c r="E106" s="29"/>
      <c r="F106" s="92"/>
      <c r="H106" s="119"/>
      <c r="I106" s="26"/>
      <c r="J106" s="101"/>
      <c r="K106" s="37"/>
      <c r="L106" s="26"/>
      <c r="M106" s="26"/>
      <c r="N106" s="26"/>
      <c r="O106" s="95"/>
      <c r="P106" s="97"/>
      <c r="Q106" s="197"/>
    </row>
    <row r="107" spans="3:17" x14ac:dyDescent="0.25">
      <c r="C107" s="210"/>
      <c r="D107" s="115"/>
      <c r="E107" s="29"/>
      <c r="F107" s="92"/>
      <c r="H107" s="119"/>
      <c r="I107" s="26"/>
      <c r="J107" s="101"/>
      <c r="K107" s="37"/>
      <c r="L107" s="26"/>
      <c r="M107" s="26"/>
      <c r="N107" s="26"/>
      <c r="O107" s="95"/>
      <c r="P107" s="97"/>
      <c r="Q107" s="197"/>
    </row>
    <row r="108" spans="3:17" x14ac:dyDescent="0.25">
      <c r="C108" s="210"/>
      <c r="D108" s="115"/>
      <c r="E108" s="29"/>
      <c r="F108" s="92"/>
      <c r="H108" s="119"/>
      <c r="I108" s="26"/>
      <c r="J108" s="101"/>
      <c r="K108" s="37"/>
      <c r="L108" s="26"/>
      <c r="M108" s="26"/>
      <c r="N108" s="26"/>
      <c r="O108" s="95"/>
      <c r="P108" s="97"/>
      <c r="Q108" s="197"/>
    </row>
    <row r="109" spans="3:17" x14ac:dyDescent="0.25">
      <c r="C109" s="210"/>
      <c r="D109" s="115"/>
      <c r="E109" s="29"/>
      <c r="F109" s="92"/>
      <c r="H109" s="119"/>
      <c r="I109" s="26"/>
      <c r="J109" s="101"/>
      <c r="K109" s="37"/>
      <c r="L109" s="26"/>
      <c r="M109" s="26"/>
      <c r="N109" s="26"/>
      <c r="O109" s="95"/>
      <c r="P109" s="97"/>
      <c r="Q109" s="197"/>
    </row>
    <row r="110" spans="3:17" x14ac:dyDescent="0.25">
      <c r="C110" s="210"/>
      <c r="D110" s="115"/>
      <c r="E110" s="29"/>
      <c r="F110" s="92"/>
      <c r="H110" s="119"/>
      <c r="I110" s="26"/>
      <c r="J110" s="101"/>
      <c r="K110" s="37"/>
      <c r="L110" s="26"/>
      <c r="M110" s="26"/>
      <c r="N110" s="26"/>
      <c r="O110" s="95"/>
      <c r="P110" s="97"/>
      <c r="Q110" s="197"/>
    </row>
    <row r="111" spans="3:17" x14ac:dyDescent="0.25">
      <c r="C111" s="210"/>
      <c r="D111" s="115"/>
      <c r="E111" s="29"/>
      <c r="F111" s="92"/>
      <c r="H111" s="119"/>
      <c r="I111" s="26"/>
      <c r="J111" s="101"/>
      <c r="K111" s="37"/>
      <c r="L111" s="26"/>
      <c r="M111" s="26"/>
      <c r="N111" s="26"/>
      <c r="O111" s="95"/>
      <c r="P111" s="97"/>
      <c r="Q111" s="197"/>
    </row>
    <row r="112" spans="3:17" x14ac:dyDescent="0.25">
      <c r="C112" s="210"/>
      <c r="D112" s="115"/>
      <c r="E112" s="29"/>
      <c r="F112" s="92"/>
      <c r="H112" s="119"/>
      <c r="I112" s="26"/>
      <c r="J112" s="101"/>
      <c r="K112" s="37"/>
      <c r="L112" s="26"/>
      <c r="M112" s="26"/>
      <c r="N112" s="26"/>
      <c r="O112" s="95"/>
      <c r="P112" s="97"/>
      <c r="Q112" s="197"/>
    </row>
    <row r="113" spans="3:17" x14ac:dyDescent="0.25">
      <c r="C113" s="210"/>
      <c r="D113" s="115"/>
      <c r="E113" s="29"/>
      <c r="F113" s="92"/>
      <c r="H113" s="119"/>
      <c r="I113" s="26"/>
      <c r="J113" s="101"/>
      <c r="K113" s="37"/>
      <c r="L113" s="26"/>
      <c r="M113" s="26"/>
      <c r="N113" s="26"/>
      <c r="O113" s="95"/>
      <c r="P113" s="97"/>
      <c r="Q113" s="197"/>
    </row>
    <row r="114" spans="3:17" x14ac:dyDescent="0.25">
      <c r="C114" s="210"/>
      <c r="D114" s="115"/>
      <c r="E114" s="29"/>
      <c r="F114" s="92"/>
      <c r="H114" s="119"/>
      <c r="I114" s="26"/>
      <c r="J114" s="101"/>
      <c r="K114" s="37"/>
      <c r="L114" s="26"/>
      <c r="M114" s="26"/>
      <c r="N114" s="26"/>
      <c r="O114" s="95"/>
      <c r="P114" s="97"/>
      <c r="Q114" s="197"/>
    </row>
    <row r="115" spans="3:17" x14ac:dyDescent="0.25">
      <c r="C115" s="210"/>
      <c r="D115" s="115"/>
      <c r="E115" s="29"/>
      <c r="F115" s="92"/>
      <c r="H115" s="119"/>
      <c r="I115" s="26"/>
      <c r="J115" s="101"/>
      <c r="K115" s="37"/>
      <c r="L115" s="26"/>
      <c r="M115" s="26"/>
      <c r="N115" s="26"/>
      <c r="O115" s="95"/>
      <c r="P115" s="97"/>
      <c r="Q115" s="197"/>
    </row>
    <row r="116" spans="3:17" x14ac:dyDescent="0.25">
      <c r="C116" s="210"/>
      <c r="D116" s="115"/>
      <c r="E116" s="29"/>
      <c r="F116" s="92"/>
      <c r="H116" s="119"/>
      <c r="I116" s="26"/>
      <c r="J116" s="101"/>
      <c r="K116" s="37"/>
      <c r="L116" s="26"/>
      <c r="M116" s="26"/>
      <c r="N116" s="26"/>
      <c r="O116" s="95"/>
      <c r="P116" s="97"/>
      <c r="Q116" s="197"/>
    </row>
    <row r="117" spans="3:17" x14ac:dyDescent="0.25">
      <c r="C117" s="210"/>
      <c r="D117" s="115"/>
      <c r="E117" s="29"/>
      <c r="F117" s="92"/>
      <c r="H117" s="119"/>
      <c r="I117" s="26"/>
      <c r="J117" s="101"/>
      <c r="K117" s="37"/>
      <c r="L117" s="26"/>
      <c r="M117" s="26"/>
      <c r="N117" s="26"/>
      <c r="O117" s="95"/>
      <c r="P117" s="97"/>
      <c r="Q117" s="197"/>
    </row>
    <row r="118" spans="3:17" x14ac:dyDescent="0.25">
      <c r="C118" s="210"/>
      <c r="D118" s="115"/>
      <c r="E118" s="29"/>
      <c r="F118" s="92"/>
      <c r="H118" s="119"/>
      <c r="I118" s="26"/>
      <c r="J118" s="101"/>
      <c r="K118" s="37"/>
      <c r="L118" s="26"/>
      <c r="M118" s="26"/>
      <c r="N118" s="26"/>
      <c r="O118" s="95"/>
      <c r="P118" s="97"/>
      <c r="Q118" s="197"/>
    </row>
    <row r="119" spans="3:17" x14ac:dyDescent="0.25">
      <c r="C119" s="210"/>
      <c r="D119" s="115"/>
      <c r="E119" s="29"/>
      <c r="F119" s="92"/>
      <c r="H119" s="119"/>
      <c r="I119" s="26"/>
      <c r="J119" s="101"/>
      <c r="K119" s="37"/>
      <c r="L119" s="26"/>
      <c r="M119" s="26"/>
      <c r="N119" s="26"/>
      <c r="O119" s="95"/>
      <c r="P119" s="97"/>
      <c r="Q119" s="197"/>
    </row>
    <row r="120" spans="3:17" x14ac:dyDescent="0.25">
      <c r="C120" s="210"/>
      <c r="D120" s="115"/>
      <c r="E120" s="29"/>
      <c r="F120" s="92"/>
      <c r="H120" s="119"/>
      <c r="I120" s="26"/>
      <c r="J120" s="101"/>
      <c r="K120" s="37"/>
      <c r="L120" s="26"/>
      <c r="M120" s="26"/>
      <c r="N120" s="26"/>
      <c r="O120" s="95"/>
      <c r="P120" s="97"/>
      <c r="Q120" s="197"/>
    </row>
    <row r="121" spans="3:17" x14ac:dyDescent="0.25">
      <c r="C121" s="210"/>
      <c r="D121" s="115"/>
      <c r="E121" s="29"/>
      <c r="F121" s="92"/>
      <c r="H121" s="119"/>
      <c r="I121" s="26"/>
      <c r="J121" s="101"/>
      <c r="K121" s="37"/>
      <c r="L121" s="26"/>
      <c r="M121" s="26"/>
      <c r="N121" s="26"/>
      <c r="O121" s="95"/>
      <c r="P121" s="97"/>
      <c r="Q121" s="197"/>
    </row>
    <row r="122" spans="3:17" x14ac:dyDescent="0.25">
      <c r="C122" s="210"/>
      <c r="D122" s="115"/>
      <c r="E122" s="29"/>
      <c r="F122" s="92"/>
      <c r="H122" s="119"/>
      <c r="I122" s="26"/>
      <c r="J122" s="101"/>
      <c r="K122" s="37"/>
      <c r="L122" s="26"/>
      <c r="M122" s="26"/>
      <c r="N122" s="26"/>
      <c r="O122" s="95"/>
      <c r="P122" s="97"/>
      <c r="Q122" s="197"/>
    </row>
    <row r="123" spans="3:17" x14ac:dyDescent="0.25">
      <c r="C123" s="210"/>
      <c r="D123" s="115"/>
      <c r="E123" s="29"/>
      <c r="F123" s="92"/>
      <c r="H123" s="119"/>
      <c r="I123" s="26"/>
      <c r="J123" s="101"/>
      <c r="K123" s="37"/>
      <c r="L123" s="26"/>
      <c r="M123" s="26"/>
      <c r="N123" s="26"/>
      <c r="O123" s="95"/>
      <c r="P123" s="97"/>
      <c r="Q123" s="197"/>
    </row>
    <row r="124" spans="3:17" x14ac:dyDescent="0.25">
      <c r="C124" s="210"/>
      <c r="D124" s="115"/>
      <c r="E124" s="29"/>
      <c r="F124" s="92"/>
      <c r="H124" s="119"/>
      <c r="I124" s="26"/>
      <c r="J124" s="101"/>
      <c r="K124" s="37"/>
      <c r="L124" s="26"/>
      <c r="M124" s="26"/>
      <c r="N124" s="26"/>
      <c r="O124" s="95"/>
      <c r="P124" s="97"/>
      <c r="Q124" s="197"/>
    </row>
    <row r="125" spans="3:17" x14ac:dyDescent="0.25">
      <c r="C125" s="210"/>
      <c r="D125" s="115"/>
      <c r="E125" s="29"/>
      <c r="F125" s="92"/>
      <c r="H125" s="119"/>
      <c r="I125" s="26"/>
      <c r="J125" s="101"/>
      <c r="K125" s="37"/>
      <c r="L125" s="26"/>
      <c r="M125" s="26"/>
      <c r="N125" s="26"/>
      <c r="O125" s="95"/>
      <c r="P125" s="97"/>
      <c r="Q125" s="197"/>
    </row>
    <row r="126" spans="3:17" x14ac:dyDescent="0.25">
      <c r="C126" s="210"/>
      <c r="D126" s="115"/>
      <c r="E126" s="29"/>
      <c r="F126" s="92"/>
      <c r="H126" s="119"/>
      <c r="I126" s="26"/>
      <c r="J126" s="101"/>
      <c r="K126" s="37"/>
      <c r="L126" s="26"/>
      <c r="M126" s="26"/>
      <c r="N126" s="26"/>
      <c r="O126" s="95"/>
      <c r="P126" s="97"/>
      <c r="Q126" s="197"/>
    </row>
    <row r="127" spans="3:17" x14ac:dyDescent="0.25">
      <c r="C127" s="210"/>
      <c r="D127" s="115"/>
      <c r="E127" s="29"/>
      <c r="F127" s="92"/>
      <c r="H127" s="119"/>
      <c r="I127" s="26"/>
      <c r="J127" s="101"/>
      <c r="K127" s="37"/>
      <c r="L127" s="26"/>
      <c r="M127" s="26"/>
      <c r="N127" s="26"/>
      <c r="O127" s="95"/>
      <c r="P127" s="97"/>
      <c r="Q127" s="197"/>
    </row>
    <row r="128" spans="3:17" x14ac:dyDescent="0.25">
      <c r="C128" s="210"/>
      <c r="D128" s="115"/>
      <c r="E128" s="29"/>
      <c r="F128" s="92"/>
      <c r="H128" s="119"/>
      <c r="I128" s="26"/>
      <c r="J128" s="101"/>
      <c r="K128" s="37"/>
      <c r="L128" s="26"/>
      <c r="M128" s="26"/>
      <c r="N128" s="26"/>
      <c r="O128" s="95"/>
      <c r="P128" s="97"/>
      <c r="Q128" s="197"/>
    </row>
    <row r="129" spans="3:17" x14ac:dyDescent="0.25">
      <c r="C129" s="210"/>
      <c r="D129" s="115"/>
      <c r="E129" s="29"/>
      <c r="F129" s="92"/>
      <c r="H129" s="119"/>
      <c r="I129" s="26"/>
      <c r="J129" s="101"/>
      <c r="K129" s="37"/>
      <c r="L129" s="26"/>
      <c r="M129" s="26"/>
      <c r="N129" s="26"/>
      <c r="O129" s="95"/>
      <c r="P129" s="97"/>
      <c r="Q129" s="197"/>
    </row>
    <row r="130" spans="3:17" x14ac:dyDescent="0.25">
      <c r="C130" s="210"/>
      <c r="D130" s="115"/>
      <c r="E130" s="29"/>
      <c r="F130" s="92"/>
      <c r="H130" s="119"/>
      <c r="I130" s="26"/>
      <c r="J130" s="101"/>
      <c r="K130" s="37"/>
      <c r="L130" s="26"/>
      <c r="M130" s="26"/>
      <c r="N130" s="26"/>
      <c r="O130" s="95"/>
      <c r="P130" s="97"/>
      <c r="Q130" s="197"/>
    </row>
    <row r="131" spans="3:17" x14ac:dyDescent="0.25">
      <c r="C131" s="210"/>
      <c r="D131" s="115"/>
      <c r="E131" s="29"/>
      <c r="F131" s="92"/>
      <c r="H131" s="119"/>
      <c r="I131" s="26"/>
      <c r="J131" s="101"/>
      <c r="K131" s="37"/>
      <c r="L131" s="26"/>
      <c r="M131" s="26"/>
      <c r="N131" s="26"/>
      <c r="O131" s="95"/>
      <c r="P131" s="97"/>
      <c r="Q131" s="197"/>
    </row>
    <row r="132" spans="3:17" x14ac:dyDescent="0.25">
      <c r="C132" s="210"/>
      <c r="D132" s="115"/>
      <c r="E132" s="29"/>
      <c r="F132" s="92"/>
      <c r="H132" s="119"/>
      <c r="I132" s="26"/>
      <c r="J132" s="101"/>
      <c r="K132" s="37"/>
      <c r="L132" s="26"/>
      <c r="M132" s="26"/>
      <c r="N132" s="26"/>
      <c r="O132" s="95"/>
      <c r="P132" s="97"/>
      <c r="Q132" s="197"/>
    </row>
    <row r="133" spans="3:17" x14ac:dyDescent="0.25">
      <c r="C133" s="210"/>
      <c r="D133" s="115"/>
      <c r="E133" s="29"/>
      <c r="F133" s="92"/>
      <c r="H133" s="119"/>
      <c r="I133" s="26"/>
      <c r="J133" s="101"/>
      <c r="K133" s="37"/>
      <c r="L133" s="26"/>
      <c r="M133" s="26"/>
      <c r="N133" s="26"/>
      <c r="O133" s="95"/>
      <c r="P133" s="97"/>
      <c r="Q133" s="197"/>
    </row>
    <row r="134" spans="3:17" x14ac:dyDescent="0.25">
      <c r="C134" s="210"/>
      <c r="D134" s="115"/>
      <c r="E134" s="29"/>
      <c r="F134" s="92"/>
      <c r="H134" s="119"/>
      <c r="I134" s="26"/>
      <c r="J134" s="101"/>
      <c r="K134" s="37"/>
      <c r="L134" s="26"/>
      <c r="M134" s="26"/>
      <c r="N134" s="26"/>
      <c r="O134" s="95"/>
      <c r="P134" s="97"/>
      <c r="Q134" s="197"/>
    </row>
    <row r="135" spans="3:17" x14ac:dyDescent="0.25">
      <c r="C135" s="210"/>
      <c r="D135" s="115"/>
      <c r="E135" s="29"/>
      <c r="F135" s="92"/>
      <c r="H135" s="119"/>
      <c r="I135" s="26"/>
      <c r="J135" s="101"/>
      <c r="K135" s="37"/>
      <c r="L135" s="26"/>
      <c r="M135" s="26"/>
      <c r="N135" s="26"/>
      <c r="O135" s="95"/>
      <c r="P135" s="97"/>
      <c r="Q135" s="197"/>
    </row>
    <row r="136" spans="3:17" x14ac:dyDescent="0.25">
      <c r="C136" s="210"/>
      <c r="D136" s="115"/>
      <c r="E136" s="29"/>
      <c r="F136" s="92"/>
      <c r="H136" s="119"/>
      <c r="I136" s="26"/>
      <c r="J136" s="101"/>
      <c r="K136" s="37"/>
      <c r="L136" s="26"/>
      <c r="M136" s="26"/>
      <c r="N136" s="26"/>
      <c r="O136" s="95"/>
      <c r="P136" s="97"/>
      <c r="Q136" s="197"/>
    </row>
    <row r="137" spans="3:17" x14ac:dyDescent="0.25">
      <c r="C137" s="210"/>
      <c r="D137" s="115"/>
      <c r="E137" s="29"/>
      <c r="F137" s="92"/>
      <c r="H137" s="119"/>
      <c r="I137" s="26"/>
      <c r="J137" s="101"/>
      <c r="K137" s="37"/>
      <c r="L137" s="26"/>
      <c r="M137" s="26"/>
      <c r="N137" s="26"/>
      <c r="O137" s="95"/>
      <c r="P137" s="97"/>
      <c r="Q137" s="197"/>
    </row>
    <row r="138" spans="3:17" x14ac:dyDescent="0.25">
      <c r="C138" s="210"/>
      <c r="D138" s="115"/>
      <c r="E138" s="29"/>
      <c r="F138" s="92"/>
      <c r="H138" s="119"/>
      <c r="I138" s="26"/>
      <c r="J138" s="101"/>
      <c r="K138" s="37"/>
      <c r="L138" s="26"/>
      <c r="M138" s="26"/>
      <c r="N138" s="26"/>
      <c r="O138" s="95"/>
      <c r="P138" s="97"/>
      <c r="Q138" s="197"/>
    </row>
    <row r="139" spans="3:17" x14ac:dyDescent="0.25">
      <c r="C139" s="210"/>
      <c r="D139" s="115"/>
      <c r="E139" s="29"/>
      <c r="F139" s="92"/>
      <c r="H139" s="119"/>
      <c r="I139" s="26"/>
      <c r="J139" s="101"/>
      <c r="K139" s="37"/>
      <c r="L139" s="26"/>
      <c r="M139" s="26"/>
      <c r="N139" s="26"/>
      <c r="O139" s="95"/>
      <c r="P139" s="97"/>
      <c r="Q139" s="197"/>
    </row>
    <row r="140" spans="3:17" x14ac:dyDescent="0.25">
      <c r="C140" s="210"/>
      <c r="D140" s="115"/>
      <c r="E140" s="29"/>
      <c r="F140" s="92"/>
      <c r="H140" s="119"/>
      <c r="I140" s="26"/>
      <c r="J140" s="101"/>
      <c r="K140" s="37"/>
      <c r="L140" s="26"/>
      <c r="M140" s="26"/>
      <c r="N140" s="26"/>
      <c r="O140" s="95"/>
      <c r="P140" s="97"/>
      <c r="Q140" s="197"/>
    </row>
    <row r="141" spans="3:17" x14ac:dyDescent="0.25">
      <c r="C141" s="210"/>
      <c r="D141" s="115"/>
      <c r="E141" s="29"/>
      <c r="F141" s="92"/>
      <c r="H141" s="119"/>
      <c r="I141" s="26"/>
      <c r="J141" s="101"/>
      <c r="K141" s="37"/>
      <c r="L141" s="26"/>
      <c r="M141" s="26"/>
      <c r="N141" s="26"/>
      <c r="O141" s="95"/>
      <c r="P141" s="97"/>
      <c r="Q141" s="197"/>
    </row>
    <row r="142" spans="3:17" x14ac:dyDescent="0.25">
      <c r="C142" s="210"/>
      <c r="D142" s="115"/>
      <c r="E142" s="29"/>
      <c r="F142" s="92"/>
      <c r="H142" s="119"/>
      <c r="I142" s="26"/>
      <c r="J142" s="101"/>
      <c r="K142" s="37"/>
      <c r="L142" s="26"/>
      <c r="M142" s="26"/>
      <c r="N142" s="26"/>
      <c r="O142" s="95"/>
      <c r="P142" s="97"/>
      <c r="Q142" s="197"/>
    </row>
    <row r="143" spans="3:17" x14ac:dyDescent="0.25">
      <c r="C143" s="210"/>
      <c r="D143" s="115"/>
      <c r="E143" s="29"/>
      <c r="F143" s="92"/>
      <c r="H143" s="119"/>
      <c r="I143" s="26"/>
      <c r="J143" s="101"/>
      <c r="K143" s="37"/>
      <c r="L143" s="26"/>
      <c r="M143" s="26"/>
      <c r="N143" s="26"/>
      <c r="O143" s="95"/>
      <c r="P143" s="97"/>
      <c r="Q143" s="197"/>
    </row>
    <row r="144" spans="3:17" x14ac:dyDescent="0.25">
      <c r="C144" s="210"/>
      <c r="D144" s="115"/>
      <c r="E144" s="29"/>
      <c r="F144" s="92"/>
      <c r="H144" s="119"/>
      <c r="I144" s="26"/>
      <c r="J144" s="101"/>
      <c r="K144" s="37"/>
      <c r="L144" s="26"/>
      <c r="M144" s="26"/>
      <c r="N144" s="26"/>
      <c r="O144" s="95"/>
      <c r="P144" s="97"/>
      <c r="Q144" s="197"/>
    </row>
    <row r="145" spans="3:17" x14ac:dyDescent="0.25">
      <c r="C145" s="210"/>
      <c r="D145" s="115"/>
      <c r="E145" s="29"/>
      <c r="F145" s="92"/>
      <c r="H145" s="119"/>
      <c r="I145" s="26"/>
      <c r="J145" s="101"/>
      <c r="K145" s="37"/>
      <c r="L145" s="26"/>
      <c r="M145" s="26"/>
      <c r="N145" s="26"/>
      <c r="O145" s="95"/>
      <c r="P145" s="97"/>
      <c r="Q145" s="197"/>
    </row>
    <row r="146" spans="3:17" x14ac:dyDescent="0.25">
      <c r="C146" s="210"/>
      <c r="D146" s="115"/>
      <c r="E146" s="29"/>
      <c r="F146" s="92"/>
      <c r="H146" s="119"/>
      <c r="I146" s="26"/>
      <c r="J146" s="101"/>
      <c r="K146" s="37"/>
      <c r="L146" s="26"/>
      <c r="M146" s="26"/>
      <c r="N146" s="26"/>
      <c r="O146" s="95"/>
      <c r="P146" s="97"/>
      <c r="Q146" s="197"/>
    </row>
    <row r="147" spans="3:17" x14ac:dyDescent="0.25">
      <c r="C147" s="210"/>
      <c r="D147" s="115"/>
      <c r="E147" s="29"/>
      <c r="F147" s="92"/>
      <c r="H147" s="119"/>
      <c r="I147" s="26"/>
      <c r="J147" s="101"/>
      <c r="K147" s="37"/>
      <c r="L147" s="26"/>
      <c r="M147" s="26"/>
      <c r="N147" s="26"/>
      <c r="O147" s="95"/>
      <c r="P147" s="97"/>
      <c r="Q147" s="197"/>
    </row>
    <row r="148" spans="3:17" x14ac:dyDescent="0.25">
      <c r="C148" s="210"/>
      <c r="D148" s="115"/>
      <c r="E148" s="29"/>
      <c r="F148" s="92"/>
      <c r="H148" s="119"/>
      <c r="I148" s="26"/>
      <c r="J148" s="101"/>
      <c r="K148" s="37"/>
      <c r="L148" s="26"/>
      <c r="M148" s="26"/>
      <c r="N148" s="26"/>
      <c r="O148" s="95"/>
      <c r="P148" s="97"/>
      <c r="Q148" s="197"/>
    </row>
    <row r="149" spans="3:17" x14ac:dyDescent="0.25">
      <c r="C149" s="210"/>
      <c r="D149" s="115"/>
      <c r="E149" s="29"/>
      <c r="F149" s="92"/>
      <c r="H149" s="119"/>
      <c r="I149" s="26"/>
      <c r="J149" s="101"/>
      <c r="K149" s="37"/>
      <c r="L149" s="26"/>
      <c r="M149" s="26"/>
      <c r="N149" s="26"/>
      <c r="O149" s="95"/>
      <c r="P149" s="97"/>
      <c r="Q149" s="197"/>
    </row>
    <row r="150" spans="3:17" x14ac:dyDescent="0.25">
      <c r="C150" s="210"/>
      <c r="D150" s="115"/>
      <c r="E150" s="29"/>
      <c r="F150" s="92"/>
      <c r="H150" s="119"/>
      <c r="I150" s="26"/>
      <c r="J150" s="101"/>
      <c r="K150" s="37"/>
      <c r="L150" s="26"/>
      <c r="M150" s="26"/>
      <c r="N150" s="26"/>
      <c r="O150" s="95"/>
      <c r="P150" s="97"/>
      <c r="Q150" s="197"/>
    </row>
    <row r="151" spans="3:17" x14ac:dyDescent="0.25">
      <c r="C151" s="210"/>
      <c r="D151" s="115"/>
      <c r="E151" s="29"/>
      <c r="F151" s="92"/>
      <c r="H151" s="119"/>
      <c r="I151" s="26"/>
      <c r="J151" s="101"/>
      <c r="K151" s="37"/>
      <c r="L151" s="26"/>
      <c r="M151" s="26"/>
      <c r="N151" s="26"/>
      <c r="O151" s="95"/>
      <c r="P151" s="97"/>
      <c r="Q151" s="197"/>
    </row>
    <row r="152" spans="3:17" x14ac:dyDescent="0.25">
      <c r="C152" s="210"/>
      <c r="D152" s="115"/>
      <c r="E152" s="29"/>
      <c r="F152" s="92"/>
      <c r="H152" s="119"/>
      <c r="I152" s="26"/>
      <c r="J152" s="101"/>
      <c r="K152" s="37"/>
      <c r="L152" s="26"/>
      <c r="M152" s="26"/>
      <c r="N152" s="26"/>
      <c r="O152" s="95"/>
      <c r="P152" s="97"/>
      <c r="Q152" s="197"/>
    </row>
    <row r="153" spans="3:17" x14ac:dyDescent="0.25">
      <c r="C153" s="210"/>
      <c r="D153" s="115"/>
      <c r="E153" s="29"/>
      <c r="F153" s="92"/>
      <c r="H153" s="119"/>
      <c r="I153" s="26"/>
      <c r="J153" s="101"/>
      <c r="K153" s="37"/>
      <c r="L153" s="26"/>
      <c r="M153" s="26"/>
      <c r="N153" s="26"/>
      <c r="O153" s="95"/>
      <c r="P153" s="97"/>
      <c r="Q153" s="197"/>
    </row>
    <row r="154" spans="3:17" x14ac:dyDescent="0.25">
      <c r="C154" s="210"/>
      <c r="D154" s="115"/>
      <c r="E154" s="29"/>
      <c r="F154" s="92"/>
      <c r="H154" s="119"/>
      <c r="I154" s="26"/>
      <c r="J154" s="101"/>
      <c r="K154" s="37"/>
      <c r="L154" s="26"/>
      <c r="M154" s="26"/>
      <c r="N154" s="26"/>
      <c r="O154" s="95"/>
      <c r="P154" s="97"/>
      <c r="Q154" s="197"/>
    </row>
    <row r="155" spans="3:17" x14ac:dyDescent="0.25">
      <c r="C155" s="210"/>
      <c r="D155" s="115"/>
      <c r="E155" s="29"/>
      <c r="F155" s="92"/>
      <c r="H155" s="119"/>
      <c r="I155" s="26"/>
      <c r="J155" s="101"/>
      <c r="K155" s="37"/>
      <c r="L155" s="26"/>
      <c r="M155" s="26"/>
      <c r="N155" s="26"/>
      <c r="O155" s="95"/>
      <c r="P155" s="97"/>
      <c r="Q155" s="197"/>
    </row>
    <row r="156" spans="3:17" x14ac:dyDescent="0.25">
      <c r="C156" s="210"/>
      <c r="D156" s="115"/>
      <c r="E156" s="29"/>
      <c r="F156" s="92"/>
      <c r="H156" s="119"/>
      <c r="I156" s="26"/>
      <c r="J156" s="101"/>
      <c r="K156" s="37"/>
      <c r="L156" s="26"/>
      <c r="M156" s="26"/>
      <c r="N156" s="26"/>
      <c r="O156" s="95"/>
      <c r="P156" s="97"/>
      <c r="Q156" s="197"/>
    </row>
    <row r="157" spans="3:17" x14ac:dyDescent="0.25">
      <c r="C157" s="210"/>
      <c r="D157" s="115"/>
      <c r="E157" s="29"/>
      <c r="F157" s="92"/>
      <c r="H157" s="119"/>
      <c r="I157" s="26"/>
      <c r="J157" s="101"/>
      <c r="K157" s="37"/>
      <c r="L157" s="26"/>
      <c r="M157" s="26"/>
      <c r="N157" s="26"/>
      <c r="O157" s="95"/>
      <c r="P157" s="97"/>
      <c r="Q157" s="197"/>
    </row>
    <row r="158" spans="3:17" x14ac:dyDescent="0.25">
      <c r="C158" s="210"/>
      <c r="D158" s="115"/>
      <c r="E158" s="29"/>
      <c r="F158" s="92"/>
      <c r="H158" s="119"/>
      <c r="I158" s="26"/>
      <c r="J158" s="101"/>
      <c r="K158" s="37"/>
      <c r="L158" s="26"/>
      <c r="M158" s="26"/>
      <c r="N158" s="26"/>
      <c r="O158" s="95"/>
      <c r="P158" s="97"/>
      <c r="Q158" s="197"/>
    </row>
    <row r="159" spans="3:17" x14ac:dyDescent="0.25">
      <c r="C159" s="210"/>
      <c r="D159" s="115"/>
      <c r="E159" s="29"/>
      <c r="F159" s="92"/>
      <c r="H159" s="119"/>
      <c r="I159" s="26"/>
      <c r="J159" s="101"/>
      <c r="K159" s="37"/>
      <c r="L159" s="26"/>
      <c r="M159" s="26"/>
      <c r="N159" s="26"/>
      <c r="O159" s="95"/>
      <c r="P159" s="97"/>
      <c r="Q159" s="197"/>
    </row>
    <row r="160" spans="3:17" x14ac:dyDescent="0.25">
      <c r="C160" s="210"/>
      <c r="D160" s="115"/>
      <c r="E160" s="29"/>
      <c r="F160" s="92"/>
      <c r="H160" s="119"/>
      <c r="I160" s="26"/>
      <c r="J160" s="101"/>
      <c r="K160" s="37"/>
      <c r="L160" s="26"/>
      <c r="M160" s="26"/>
      <c r="N160" s="26"/>
      <c r="O160" s="95"/>
      <c r="P160" s="97"/>
      <c r="Q160" s="197"/>
    </row>
    <row r="161" spans="3:17" x14ac:dyDescent="0.25">
      <c r="C161" s="210"/>
      <c r="D161" s="115"/>
      <c r="E161" s="29"/>
      <c r="F161" s="92"/>
      <c r="H161" s="119"/>
      <c r="I161" s="26"/>
      <c r="J161" s="101"/>
      <c r="K161" s="37"/>
      <c r="L161" s="26"/>
      <c r="M161" s="26"/>
      <c r="N161" s="26"/>
      <c r="O161" s="95"/>
      <c r="P161" s="97"/>
      <c r="Q161" s="197"/>
    </row>
    <row r="162" spans="3:17" x14ac:dyDescent="0.25">
      <c r="C162" s="210"/>
      <c r="D162" s="115"/>
      <c r="E162" s="29"/>
      <c r="F162" s="92"/>
      <c r="H162" s="119"/>
      <c r="I162" s="26"/>
      <c r="J162" s="101"/>
      <c r="K162" s="37"/>
      <c r="L162" s="26"/>
      <c r="M162" s="26"/>
      <c r="N162" s="26"/>
      <c r="O162" s="95"/>
      <c r="P162" s="97"/>
      <c r="Q162" s="197"/>
    </row>
    <row r="163" spans="3:17" x14ac:dyDescent="0.25">
      <c r="C163" s="210"/>
      <c r="D163" s="115"/>
      <c r="E163" s="29"/>
      <c r="F163" s="92"/>
      <c r="H163" s="119"/>
      <c r="I163" s="26"/>
      <c r="J163" s="101"/>
      <c r="K163" s="37"/>
      <c r="L163" s="26"/>
      <c r="M163" s="26"/>
      <c r="N163" s="26"/>
      <c r="O163" s="95"/>
      <c r="P163" s="97"/>
      <c r="Q163" s="197"/>
    </row>
    <row r="164" spans="3:17" x14ac:dyDescent="0.25">
      <c r="C164" s="210"/>
      <c r="D164" s="115"/>
      <c r="E164" s="29"/>
      <c r="F164" s="92"/>
      <c r="H164" s="119"/>
      <c r="I164" s="26"/>
      <c r="J164" s="101"/>
      <c r="K164" s="37"/>
      <c r="L164" s="26"/>
      <c r="M164" s="26"/>
      <c r="N164" s="26"/>
      <c r="O164" s="95"/>
      <c r="P164" s="97"/>
      <c r="Q164" s="197"/>
    </row>
    <row r="165" spans="3:17" x14ac:dyDescent="0.25">
      <c r="C165" s="210"/>
      <c r="D165" s="115"/>
      <c r="E165" s="29"/>
      <c r="F165" s="92"/>
      <c r="H165" s="119"/>
      <c r="I165" s="26"/>
      <c r="J165" s="101"/>
      <c r="K165" s="37"/>
      <c r="L165" s="26"/>
      <c r="M165" s="26"/>
      <c r="N165" s="26"/>
      <c r="O165" s="95"/>
      <c r="P165" s="97"/>
      <c r="Q165" s="197"/>
    </row>
    <row r="166" spans="3:17" x14ac:dyDescent="0.25">
      <c r="C166" s="210"/>
      <c r="D166" s="115"/>
      <c r="E166" s="29"/>
      <c r="F166" s="92"/>
      <c r="H166" s="119"/>
      <c r="I166" s="26"/>
      <c r="J166" s="101"/>
      <c r="K166" s="37"/>
      <c r="L166" s="26"/>
      <c r="M166" s="26"/>
      <c r="N166" s="26"/>
      <c r="O166" s="95"/>
      <c r="P166" s="97"/>
      <c r="Q166" s="197"/>
    </row>
    <row r="167" spans="3:17" x14ac:dyDescent="0.25">
      <c r="C167" s="210"/>
      <c r="D167" s="115"/>
      <c r="E167" s="29"/>
      <c r="F167" s="92"/>
      <c r="H167" s="119"/>
      <c r="I167" s="26"/>
      <c r="J167" s="101"/>
      <c r="K167" s="37"/>
      <c r="L167" s="26"/>
      <c r="M167" s="26"/>
      <c r="N167" s="26"/>
      <c r="O167" s="95"/>
      <c r="P167" s="97"/>
      <c r="Q167" s="197"/>
    </row>
    <row r="168" spans="3:17" x14ac:dyDescent="0.25">
      <c r="C168" s="210"/>
      <c r="D168" s="115"/>
      <c r="E168" s="29"/>
      <c r="F168" s="92"/>
      <c r="H168" s="119"/>
      <c r="I168" s="26"/>
      <c r="J168" s="101"/>
      <c r="K168" s="37"/>
      <c r="L168" s="26"/>
      <c r="M168" s="26"/>
      <c r="N168" s="26"/>
      <c r="O168" s="95"/>
      <c r="P168" s="97"/>
      <c r="Q168" s="197"/>
    </row>
    <row r="169" spans="3:17" x14ac:dyDescent="0.25">
      <c r="C169" s="210"/>
      <c r="D169" s="115"/>
      <c r="E169" s="29"/>
      <c r="F169" s="92"/>
      <c r="H169" s="119"/>
      <c r="I169" s="26"/>
      <c r="J169" s="101"/>
      <c r="K169" s="37"/>
      <c r="L169" s="26"/>
      <c r="M169" s="26"/>
      <c r="N169" s="26"/>
      <c r="O169" s="95"/>
      <c r="P169" s="97"/>
      <c r="Q169" s="197"/>
    </row>
    <row r="170" spans="3:17" x14ac:dyDescent="0.25">
      <c r="C170" s="210"/>
      <c r="D170" s="115"/>
      <c r="E170" s="29"/>
      <c r="F170" s="92"/>
      <c r="H170" s="119"/>
      <c r="I170" s="26"/>
      <c r="J170" s="101"/>
      <c r="K170" s="37"/>
      <c r="L170" s="26"/>
      <c r="M170" s="26"/>
      <c r="N170" s="26"/>
      <c r="O170" s="95"/>
      <c r="P170" s="97"/>
      <c r="Q170" s="197"/>
    </row>
    <row r="171" spans="3:17" x14ac:dyDescent="0.25">
      <c r="C171" s="210"/>
      <c r="D171" s="115"/>
      <c r="E171" s="29"/>
      <c r="F171" s="92"/>
      <c r="H171" s="119"/>
      <c r="I171" s="26"/>
      <c r="J171" s="101"/>
      <c r="K171" s="37"/>
      <c r="L171" s="26"/>
      <c r="M171" s="26"/>
      <c r="N171" s="26"/>
      <c r="O171" s="95"/>
      <c r="P171" s="97"/>
      <c r="Q171" s="197"/>
    </row>
    <row r="172" spans="3:17" x14ac:dyDescent="0.25">
      <c r="C172" s="210"/>
      <c r="D172" s="115"/>
      <c r="E172" s="29"/>
      <c r="F172" s="92"/>
      <c r="H172" s="119"/>
      <c r="I172" s="26"/>
      <c r="J172" s="101"/>
      <c r="K172" s="37"/>
      <c r="L172" s="26"/>
      <c r="M172" s="26"/>
      <c r="N172" s="26"/>
      <c r="O172" s="95"/>
      <c r="P172" s="97"/>
      <c r="Q172" s="197"/>
    </row>
    <row r="173" spans="3:17" x14ac:dyDescent="0.25">
      <c r="C173" s="210"/>
      <c r="D173" s="115"/>
      <c r="E173" s="29"/>
      <c r="F173" s="92"/>
      <c r="H173" s="119"/>
      <c r="I173" s="26"/>
      <c r="J173" s="101"/>
      <c r="K173" s="37"/>
      <c r="L173" s="26"/>
      <c r="M173" s="26"/>
      <c r="N173" s="26"/>
      <c r="O173" s="95"/>
      <c r="P173" s="97"/>
      <c r="Q173" s="197"/>
    </row>
    <row r="174" spans="3:17" x14ac:dyDescent="0.25">
      <c r="C174" s="210"/>
      <c r="D174" s="115"/>
      <c r="E174" s="29"/>
      <c r="F174" s="92"/>
      <c r="H174" s="119"/>
      <c r="I174" s="26"/>
      <c r="J174" s="101"/>
      <c r="K174" s="37"/>
      <c r="L174" s="26"/>
      <c r="M174" s="26"/>
      <c r="N174" s="26"/>
      <c r="O174" s="95"/>
      <c r="P174" s="97"/>
      <c r="Q174" s="197"/>
    </row>
    <row r="175" spans="3:17" x14ac:dyDescent="0.25">
      <c r="C175" s="210"/>
      <c r="D175" s="115"/>
      <c r="E175" s="29"/>
      <c r="F175" s="92"/>
      <c r="H175" s="119"/>
      <c r="I175" s="26"/>
      <c r="J175" s="101"/>
      <c r="K175" s="37"/>
      <c r="L175" s="26"/>
      <c r="M175" s="26"/>
      <c r="N175" s="26"/>
      <c r="O175" s="95"/>
      <c r="P175" s="97"/>
      <c r="Q175" s="197"/>
    </row>
    <row r="176" spans="3:17" x14ac:dyDescent="0.25">
      <c r="C176" s="210"/>
      <c r="D176" s="115"/>
      <c r="E176" s="29"/>
      <c r="F176" s="92"/>
      <c r="H176" s="119"/>
      <c r="I176" s="26"/>
      <c r="J176" s="101"/>
      <c r="K176" s="37"/>
      <c r="L176" s="26"/>
      <c r="M176" s="26"/>
      <c r="N176" s="26"/>
      <c r="O176" s="95"/>
      <c r="P176" s="97"/>
      <c r="Q176" s="197"/>
    </row>
    <row r="177" spans="3:17" x14ac:dyDescent="0.25">
      <c r="C177" s="210"/>
      <c r="D177" s="115"/>
      <c r="E177" s="29"/>
      <c r="F177" s="92"/>
      <c r="H177" s="119"/>
      <c r="I177" s="26"/>
      <c r="J177" s="101"/>
      <c r="K177" s="37"/>
      <c r="L177" s="26"/>
      <c r="M177" s="26"/>
      <c r="N177" s="26"/>
      <c r="O177" s="95"/>
      <c r="P177" s="97"/>
      <c r="Q177" s="197"/>
    </row>
    <row r="178" spans="3:17" x14ac:dyDescent="0.25">
      <c r="C178" s="210"/>
      <c r="D178" s="115"/>
      <c r="E178" s="29"/>
      <c r="F178" s="92"/>
      <c r="H178" s="119"/>
      <c r="I178" s="26"/>
      <c r="J178" s="101"/>
      <c r="K178" s="37"/>
      <c r="L178" s="26"/>
      <c r="M178" s="26"/>
      <c r="N178" s="26"/>
      <c r="O178" s="95"/>
      <c r="P178" s="97"/>
      <c r="Q178" s="197"/>
    </row>
    <row r="179" spans="3:17" x14ac:dyDescent="0.25">
      <c r="C179" s="210"/>
      <c r="D179" s="115"/>
      <c r="E179" s="29"/>
      <c r="F179" s="92"/>
      <c r="H179" s="119"/>
      <c r="I179" s="26"/>
      <c r="J179" s="101"/>
      <c r="K179" s="37"/>
      <c r="L179" s="26"/>
      <c r="M179" s="26"/>
      <c r="N179" s="26"/>
      <c r="O179" s="95"/>
      <c r="P179" s="97"/>
      <c r="Q179" s="197"/>
    </row>
    <row r="180" spans="3:17" x14ac:dyDescent="0.25">
      <c r="C180" s="210"/>
      <c r="D180" s="115"/>
      <c r="E180" s="29"/>
      <c r="F180" s="92"/>
      <c r="H180" s="119"/>
      <c r="I180" s="26"/>
      <c r="J180" s="101"/>
      <c r="K180" s="37"/>
      <c r="L180" s="26"/>
      <c r="M180" s="26"/>
      <c r="N180" s="26"/>
      <c r="O180" s="95"/>
      <c r="P180" s="97"/>
      <c r="Q180" s="197"/>
    </row>
    <row r="181" spans="3:17" x14ac:dyDescent="0.25">
      <c r="C181" s="210"/>
      <c r="D181" s="115"/>
      <c r="E181" s="29"/>
      <c r="F181" s="92"/>
      <c r="H181" s="119"/>
      <c r="I181" s="26"/>
      <c r="J181" s="101"/>
      <c r="K181" s="37"/>
      <c r="L181" s="26"/>
      <c r="M181" s="26"/>
      <c r="N181" s="26"/>
      <c r="O181" s="95"/>
      <c r="P181" s="97"/>
      <c r="Q181" s="197"/>
    </row>
    <row r="182" spans="3:17" x14ac:dyDescent="0.25">
      <c r="C182" s="210"/>
      <c r="D182" s="115"/>
      <c r="E182" s="29"/>
      <c r="F182" s="92"/>
      <c r="H182" s="119"/>
      <c r="I182" s="26"/>
      <c r="J182" s="101"/>
      <c r="K182" s="37"/>
      <c r="L182" s="26"/>
      <c r="M182" s="26"/>
      <c r="N182" s="26"/>
      <c r="O182" s="95"/>
      <c r="P182" s="97"/>
      <c r="Q182" s="197"/>
    </row>
    <row r="183" spans="3:17" x14ac:dyDescent="0.25">
      <c r="C183" s="210"/>
      <c r="D183" s="115"/>
      <c r="E183" s="29"/>
      <c r="F183" s="92"/>
      <c r="H183" s="119"/>
      <c r="I183" s="26"/>
      <c r="J183" s="101"/>
      <c r="K183" s="37"/>
      <c r="L183" s="26"/>
      <c r="M183" s="26"/>
      <c r="N183" s="26"/>
      <c r="O183" s="95"/>
      <c r="P183" s="97"/>
      <c r="Q183" s="197"/>
    </row>
    <row r="184" spans="3:17" x14ac:dyDescent="0.25">
      <c r="C184" s="210"/>
      <c r="D184" s="115"/>
      <c r="E184" s="29"/>
      <c r="F184" s="92"/>
      <c r="H184" s="119"/>
      <c r="I184" s="26"/>
      <c r="J184" s="101"/>
      <c r="K184" s="37"/>
      <c r="L184" s="26"/>
      <c r="M184" s="26"/>
      <c r="N184" s="26"/>
      <c r="O184" s="95"/>
      <c r="P184" s="97"/>
      <c r="Q184" s="197"/>
    </row>
    <row r="185" spans="3:17" x14ac:dyDescent="0.25">
      <c r="C185" s="210"/>
      <c r="D185" s="115"/>
      <c r="E185" s="29"/>
      <c r="F185" s="92"/>
      <c r="H185" s="119"/>
      <c r="I185" s="26"/>
      <c r="J185" s="101"/>
      <c r="K185" s="37"/>
      <c r="L185" s="26"/>
      <c r="M185" s="26"/>
      <c r="N185" s="26"/>
      <c r="O185" s="95"/>
      <c r="P185" s="97"/>
      <c r="Q185" s="197"/>
    </row>
    <row r="186" spans="3:17" x14ac:dyDescent="0.25">
      <c r="C186" s="210"/>
      <c r="D186" s="115"/>
      <c r="E186" s="29"/>
      <c r="F186" s="92"/>
      <c r="H186" s="119"/>
      <c r="I186" s="26"/>
      <c r="J186" s="101"/>
      <c r="K186" s="37"/>
      <c r="L186" s="26"/>
      <c r="M186" s="26"/>
      <c r="N186" s="26"/>
      <c r="O186" s="95"/>
      <c r="P186" s="97"/>
      <c r="Q186" s="197"/>
    </row>
    <row r="187" spans="3:17" x14ac:dyDescent="0.25">
      <c r="C187" s="210"/>
      <c r="D187" s="115"/>
      <c r="E187" s="29"/>
      <c r="F187" s="92"/>
      <c r="H187" s="119"/>
      <c r="I187" s="26"/>
      <c r="J187" s="101"/>
      <c r="K187" s="37"/>
      <c r="L187" s="26"/>
      <c r="M187" s="26"/>
      <c r="N187" s="26"/>
      <c r="O187" s="95"/>
      <c r="P187" s="97"/>
      <c r="Q187" s="197"/>
    </row>
    <row r="188" spans="3:17" x14ac:dyDescent="0.25">
      <c r="C188" s="210"/>
      <c r="D188" s="115"/>
      <c r="E188" s="29"/>
      <c r="F188" s="92"/>
      <c r="H188" s="119"/>
      <c r="I188" s="26"/>
      <c r="J188" s="101"/>
      <c r="K188" s="37"/>
      <c r="L188" s="26"/>
      <c r="M188" s="26"/>
      <c r="N188" s="26"/>
      <c r="O188" s="95"/>
      <c r="P188" s="97"/>
      <c r="Q188" s="197"/>
    </row>
    <row r="189" spans="3:17" x14ac:dyDescent="0.25">
      <c r="C189" s="210"/>
      <c r="D189" s="115"/>
      <c r="E189" s="29"/>
      <c r="F189" s="92"/>
      <c r="H189" s="119"/>
      <c r="I189" s="26"/>
      <c r="J189" s="101"/>
      <c r="K189" s="37"/>
      <c r="L189" s="26"/>
      <c r="M189" s="26"/>
      <c r="N189" s="26"/>
      <c r="O189" s="95"/>
      <c r="P189" s="97"/>
      <c r="Q189" s="197"/>
    </row>
    <row r="190" spans="3:17" x14ac:dyDescent="0.25">
      <c r="C190" s="210"/>
      <c r="D190" s="115"/>
      <c r="E190" s="29"/>
      <c r="F190" s="92"/>
      <c r="H190" s="119"/>
      <c r="I190" s="26"/>
      <c r="J190" s="101"/>
      <c r="K190" s="37"/>
      <c r="L190" s="26"/>
      <c r="M190" s="26"/>
      <c r="N190" s="26"/>
      <c r="O190" s="95"/>
      <c r="P190" s="97"/>
      <c r="Q190" s="197"/>
    </row>
    <row r="191" spans="3:17" x14ac:dyDescent="0.25">
      <c r="C191" s="210"/>
      <c r="D191" s="115"/>
      <c r="E191" s="29"/>
      <c r="F191" s="92"/>
      <c r="H191" s="119"/>
      <c r="I191" s="26"/>
      <c r="J191" s="101"/>
      <c r="K191" s="37"/>
      <c r="L191" s="26"/>
      <c r="M191" s="26"/>
      <c r="N191" s="26"/>
      <c r="O191" s="95"/>
      <c r="P191" s="97"/>
      <c r="Q191" s="197"/>
    </row>
    <row r="192" spans="3:17" x14ac:dyDescent="0.25">
      <c r="C192" s="210"/>
      <c r="D192" s="115"/>
      <c r="E192" s="29"/>
      <c r="F192" s="92"/>
      <c r="H192" s="119"/>
      <c r="I192" s="26"/>
      <c r="J192" s="101"/>
      <c r="K192" s="37"/>
      <c r="L192" s="26"/>
      <c r="M192" s="26"/>
      <c r="N192" s="26"/>
      <c r="O192" s="95"/>
      <c r="P192" s="97"/>
      <c r="Q192" s="197"/>
    </row>
    <row r="193" spans="3:17" x14ac:dyDescent="0.25">
      <c r="C193" s="210"/>
      <c r="D193" s="115"/>
      <c r="E193" s="29"/>
      <c r="F193" s="92"/>
      <c r="H193" s="119"/>
      <c r="I193" s="26"/>
      <c r="J193" s="101"/>
      <c r="K193" s="37"/>
      <c r="L193" s="26"/>
      <c r="M193" s="26"/>
      <c r="N193" s="26"/>
      <c r="O193" s="95"/>
      <c r="P193" s="97"/>
      <c r="Q193" s="197"/>
    </row>
    <row r="194" spans="3:17" x14ac:dyDescent="0.25">
      <c r="C194" s="210"/>
      <c r="D194" s="115"/>
      <c r="E194" s="29"/>
      <c r="F194" s="92"/>
      <c r="H194" s="119"/>
      <c r="I194" s="26"/>
      <c r="J194" s="101"/>
      <c r="K194" s="37"/>
      <c r="L194" s="26"/>
      <c r="M194" s="26"/>
      <c r="N194" s="26"/>
      <c r="O194" s="95"/>
      <c r="P194" s="97"/>
      <c r="Q194" s="197"/>
    </row>
    <row r="195" spans="3:17" x14ac:dyDescent="0.25">
      <c r="C195" s="210"/>
      <c r="D195" s="115"/>
      <c r="E195" s="29"/>
      <c r="F195" s="92"/>
      <c r="H195" s="119"/>
      <c r="I195" s="26"/>
      <c r="J195" s="101"/>
      <c r="K195" s="37"/>
      <c r="L195" s="26"/>
      <c r="M195" s="26"/>
      <c r="N195" s="26"/>
      <c r="O195" s="95"/>
      <c r="P195" s="97"/>
      <c r="Q195" s="197"/>
    </row>
    <row r="196" spans="3:17" x14ac:dyDescent="0.25">
      <c r="C196" s="210"/>
      <c r="D196" s="115"/>
      <c r="E196" s="29"/>
      <c r="F196" s="92"/>
      <c r="H196" s="119"/>
      <c r="I196" s="26"/>
      <c r="J196" s="101"/>
      <c r="K196" s="37"/>
      <c r="L196" s="26"/>
      <c r="M196" s="26"/>
      <c r="N196" s="26"/>
      <c r="O196" s="95"/>
      <c r="P196" s="97"/>
      <c r="Q196" s="197"/>
    </row>
    <row r="197" spans="3:17" x14ac:dyDescent="0.25">
      <c r="C197" s="210"/>
      <c r="D197" s="115"/>
      <c r="E197" s="29"/>
      <c r="F197" s="92"/>
      <c r="H197" s="119"/>
      <c r="I197" s="26"/>
      <c r="J197" s="101"/>
      <c r="K197" s="37"/>
      <c r="L197" s="26"/>
      <c r="M197" s="26"/>
      <c r="N197" s="26"/>
      <c r="O197" s="95"/>
      <c r="P197" s="97"/>
      <c r="Q197" s="197"/>
    </row>
    <row r="198" spans="3:17" x14ac:dyDescent="0.25">
      <c r="C198" s="210"/>
      <c r="D198" s="115"/>
      <c r="E198" s="29"/>
      <c r="F198" s="92"/>
      <c r="H198" s="119"/>
      <c r="I198" s="26"/>
      <c r="J198" s="101"/>
      <c r="K198" s="37"/>
      <c r="L198" s="26"/>
      <c r="M198" s="26"/>
      <c r="N198" s="26"/>
      <c r="O198" s="95"/>
      <c r="P198" s="97"/>
      <c r="Q198" s="197"/>
    </row>
    <row r="199" spans="3:17" x14ac:dyDescent="0.25">
      <c r="C199" s="210"/>
      <c r="D199" s="115"/>
      <c r="E199" s="29"/>
      <c r="F199" s="92"/>
      <c r="H199" s="119"/>
      <c r="I199" s="26"/>
      <c r="J199" s="101"/>
      <c r="K199" s="37"/>
      <c r="L199" s="26"/>
      <c r="M199" s="26"/>
      <c r="N199" s="26"/>
      <c r="O199" s="95"/>
      <c r="P199" s="97"/>
      <c r="Q199" s="197"/>
    </row>
    <row r="200" spans="3:17" x14ac:dyDescent="0.25">
      <c r="C200" s="210"/>
      <c r="D200" s="115"/>
      <c r="E200" s="29"/>
      <c r="F200" s="92"/>
      <c r="H200" s="119"/>
      <c r="I200" s="26"/>
      <c r="J200" s="101"/>
      <c r="K200" s="37"/>
      <c r="L200" s="26"/>
      <c r="M200" s="26"/>
      <c r="N200" s="26"/>
      <c r="O200" s="95"/>
      <c r="P200" s="97"/>
      <c r="Q200" s="197"/>
    </row>
    <row r="201" spans="3:17" x14ac:dyDescent="0.25">
      <c r="C201" s="210"/>
      <c r="D201" s="115"/>
      <c r="E201" s="29"/>
      <c r="F201" s="92"/>
      <c r="H201" s="119"/>
      <c r="I201" s="26"/>
      <c r="J201" s="101"/>
      <c r="K201" s="37"/>
      <c r="L201" s="26"/>
      <c r="M201" s="26"/>
      <c r="N201" s="26"/>
      <c r="O201" s="95"/>
      <c r="P201" s="97"/>
      <c r="Q201" s="197"/>
    </row>
    <row r="202" spans="3:17" x14ac:dyDescent="0.25">
      <c r="C202" s="210"/>
      <c r="D202" s="115"/>
      <c r="E202" s="29"/>
      <c r="F202" s="92"/>
      <c r="H202" s="119"/>
      <c r="I202" s="26"/>
      <c r="J202" s="101"/>
      <c r="K202" s="37"/>
      <c r="L202" s="26"/>
      <c r="M202" s="26"/>
      <c r="N202" s="26"/>
      <c r="O202" s="95"/>
      <c r="P202" s="97"/>
      <c r="Q202" s="197"/>
    </row>
    <row r="203" spans="3:17" x14ac:dyDescent="0.25">
      <c r="C203" s="210"/>
      <c r="D203" s="115"/>
      <c r="E203" s="29"/>
      <c r="F203" s="92"/>
      <c r="H203" s="119"/>
      <c r="I203" s="26"/>
      <c r="J203" s="101"/>
      <c r="K203" s="37"/>
      <c r="L203" s="26"/>
      <c r="M203" s="26"/>
      <c r="N203" s="26"/>
      <c r="O203" s="95"/>
      <c r="P203" s="97"/>
      <c r="Q203" s="197"/>
    </row>
    <row r="204" spans="3:17" x14ac:dyDescent="0.25">
      <c r="C204" s="210"/>
      <c r="D204" s="115"/>
      <c r="E204" s="29"/>
      <c r="F204" s="92"/>
      <c r="H204" s="119"/>
      <c r="I204" s="26"/>
      <c r="J204" s="101"/>
      <c r="K204" s="37"/>
      <c r="L204" s="26"/>
      <c r="M204" s="26"/>
      <c r="N204" s="26"/>
      <c r="O204" s="95"/>
      <c r="P204" s="97"/>
      <c r="Q204" s="197"/>
    </row>
    <row r="205" spans="3:17" x14ac:dyDescent="0.25">
      <c r="C205" s="210"/>
      <c r="D205" s="115"/>
      <c r="E205" s="29"/>
      <c r="F205" s="92"/>
      <c r="H205" s="119"/>
      <c r="I205" s="26"/>
      <c r="J205" s="101"/>
      <c r="K205" s="37"/>
      <c r="L205" s="26"/>
      <c r="M205" s="26"/>
      <c r="N205" s="26"/>
      <c r="O205" s="95"/>
      <c r="P205" s="97"/>
      <c r="Q205" s="197"/>
    </row>
    <row r="206" spans="3:17" x14ac:dyDescent="0.25">
      <c r="C206" s="210"/>
      <c r="D206" s="115"/>
      <c r="E206" s="29"/>
      <c r="F206" s="92"/>
      <c r="H206" s="119"/>
      <c r="I206" s="26"/>
      <c r="J206" s="101"/>
      <c r="K206" s="37"/>
      <c r="L206" s="26"/>
      <c r="M206" s="26"/>
      <c r="N206" s="26"/>
      <c r="O206" s="95"/>
      <c r="P206" s="97"/>
      <c r="Q206" s="197"/>
    </row>
    <row r="207" spans="3:17" x14ac:dyDescent="0.25">
      <c r="C207" s="210"/>
      <c r="D207" s="115"/>
      <c r="E207" s="29"/>
      <c r="F207" s="92"/>
      <c r="H207" s="119"/>
      <c r="I207" s="26"/>
      <c r="J207" s="101"/>
      <c r="K207" s="37"/>
      <c r="L207" s="26"/>
      <c r="M207" s="26"/>
      <c r="N207" s="26"/>
      <c r="O207" s="95"/>
      <c r="P207" s="97"/>
      <c r="Q207" s="197"/>
    </row>
    <row r="208" spans="3:17" x14ac:dyDescent="0.25">
      <c r="C208" s="210"/>
      <c r="D208" s="115"/>
      <c r="E208" s="29"/>
      <c r="F208" s="92"/>
      <c r="H208" s="119"/>
      <c r="I208" s="26"/>
      <c r="J208" s="101"/>
      <c r="K208" s="37"/>
      <c r="L208" s="26"/>
      <c r="M208" s="26"/>
      <c r="N208" s="26"/>
      <c r="O208" s="95"/>
      <c r="P208" s="97"/>
      <c r="Q208" s="197"/>
    </row>
    <row r="209" spans="3:17" x14ac:dyDescent="0.25">
      <c r="C209" s="210"/>
      <c r="D209" s="115"/>
      <c r="E209" s="29"/>
      <c r="F209" s="92"/>
      <c r="H209" s="119"/>
      <c r="I209" s="26"/>
      <c r="J209" s="101"/>
      <c r="K209" s="37"/>
      <c r="L209" s="26"/>
      <c r="M209" s="26"/>
      <c r="N209" s="26"/>
      <c r="O209" s="95"/>
      <c r="P209" s="97"/>
      <c r="Q209" s="197"/>
    </row>
    <row r="210" spans="3:17" x14ac:dyDescent="0.25">
      <c r="C210" s="210"/>
      <c r="D210" s="115"/>
      <c r="E210" s="29"/>
      <c r="F210" s="92"/>
      <c r="H210" s="119"/>
      <c r="I210" s="26"/>
      <c r="J210" s="101"/>
      <c r="K210" s="37"/>
      <c r="L210" s="26"/>
      <c r="M210" s="26"/>
      <c r="N210" s="26"/>
      <c r="O210" s="95"/>
      <c r="P210" s="97"/>
      <c r="Q210" s="197"/>
    </row>
    <row r="211" spans="3:17" x14ac:dyDescent="0.25">
      <c r="C211" s="210"/>
      <c r="D211" s="115"/>
      <c r="E211" s="29"/>
      <c r="F211" s="92"/>
      <c r="H211" s="119"/>
      <c r="I211" s="26"/>
      <c r="J211" s="101"/>
      <c r="K211" s="37"/>
      <c r="L211" s="26"/>
      <c r="M211" s="26"/>
      <c r="N211" s="26"/>
      <c r="O211" s="95"/>
      <c r="P211" s="97"/>
      <c r="Q211" s="197"/>
    </row>
    <row r="212" spans="3:17" x14ac:dyDescent="0.25">
      <c r="C212" s="210"/>
      <c r="D212" s="115"/>
      <c r="E212" s="29"/>
      <c r="F212" s="92"/>
      <c r="H212" s="119"/>
      <c r="I212" s="26"/>
      <c r="J212" s="101"/>
      <c r="K212" s="37"/>
      <c r="L212" s="26"/>
      <c r="M212" s="26"/>
      <c r="N212" s="26"/>
      <c r="O212" s="95"/>
      <c r="P212" s="97"/>
      <c r="Q212" s="197"/>
    </row>
    <row r="213" spans="3:17" x14ac:dyDescent="0.25">
      <c r="C213" s="210"/>
      <c r="D213" s="115"/>
      <c r="E213" s="29"/>
      <c r="F213" s="92"/>
      <c r="H213" s="119"/>
      <c r="I213" s="26"/>
      <c r="J213" s="101"/>
      <c r="K213" s="37"/>
      <c r="L213" s="26"/>
      <c r="M213" s="26"/>
      <c r="N213" s="26"/>
      <c r="O213" s="95"/>
      <c r="P213" s="97"/>
      <c r="Q213" s="197"/>
    </row>
    <row r="214" spans="3:17" x14ac:dyDescent="0.25">
      <c r="C214" s="210"/>
      <c r="D214" s="115"/>
      <c r="E214" s="29"/>
      <c r="F214" s="92"/>
      <c r="H214" s="119"/>
      <c r="I214" s="26"/>
      <c r="J214" s="101"/>
      <c r="K214" s="37"/>
      <c r="L214" s="26"/>
      <c r="M214" s="26"/>
      <c r="N214" s="26"/>
      <c r="O214" s="95"/>
      <c r="P214" s="97"/>
      <c r="Q214" s="197"/>
    </row>
    <row r="215" spans="3:17" x14ac:dyDescent="0.25">
      <c r="C215" s="210"/>
      <c r="D215" s="115"/>
      <c r="E215" s="29"/>
      <c r="F215" s="92"/>
      <c r="H215" s="119"/>
      <c r="I215" s="26"/>
      <c r="J215" s="101"/>
      <c r="K215" s="37"/>
      <c r="L215" s="26"/>
      <c r="M215" s="26"/>
      <c r="N215" s="26"/>
      <c r="O215" s="95"/>
      <c r="P215" s="97"/>
      <c r="Q215" s="197"/>
    </row>
    <row r="216" spans="3:17" x14ac:dyDescent="0.25">
      <c r="C216" s="210"/>
      <c r="D216" s="115"/>
      <c r="E216" s="29"/>
      <c r="F216" s="92"/>
      <c r="H216" s="119"/>
      <c r="I216" s="26"/>
      <c r="J216" s="101"/>
      <c r="K216" s="37"/>
      <c r="L216" s="26"/>
      <c r="M216" s="26"/>
      <c r="N216" s="26"/>
      <c r="O216" s="95"/>
      <c r="P216" s="97"/>
      <c r="Q216" s="197"/>
    </row>
    <row r="217" spans="3:17" x14ac:dyDescent="0.25">
      <c r="C217" s="210"/>
      <c r="D217" s="115"/>
      <c r="E217" s="29"/>
      <c r="F217" s="92"/>
      <c r="H217" s="119"/>
      <c r="I217" s="26"/>
      <c r="J217" s="101"/>
      <c r="K217" s="37"/>
      <c r="L217" s="26"/>
      <c r="M217" s="26"/>
      <c r="N217" s="26"/>
      <c r="O217" s="95"/>
      <c r="P217" s="97"/>
      <c r="Q217" s="197"/>
    </row>
    <row r="218" spans="3:17" x14ac:dyDescent="0.25">
      <c r="C218" s="210"/>
      <c r="D218" s="115"/>
      <c r="E218" s="29"/>
      <c r="F218" s="92"/>
      <c r="H218" s="119"/>
      <c r="I218" s="26"/>
      <c r="J218" s="101"/>
      <c r="K218" s="37"/>
      <c r="L218" s="26"/>
      <c r="M218" s="26"/>
      <c r="N218" s="26"/>
      <c r="O218" s="95"/>
      <c r="P218" s="97"/>
      <c r="Q218" s="197"/>
    </row>
    <row r="219" spans="3:17" x14ac:dyDescent="0.25">
      <c r="C219" s="210"/>
      <c r="D219" s="115"/>
      <c r="E219" s="29"/>
      <c r="F219" s="92"/>
      <c r="H219" s="119"/>
      <c r="I219" s="26"/>
      <c r="J219" s="101"/>
      <c r="K219" s="37"/>
      <c r="L219" s="26"/>
      <c r="M219" s="26"/>
      <c r="N219" s="26"/>
      <c r="O219" s="95"/>
      <c r="P219" s="97"/>
      <c r="Q219" s="197"/>
    </row>
    <row r="220" spans="3:17" x14ac:dyDescent="0.25">
      <c r="C220" s="210"/>
      <c r="D220" s="115"/>
      <c r="E220" s="29"/>
      <c r="F220" s="92"/>
      <c r="H220" s="119"/>
      <c r="I220" s="26"/>
      <c r="J220" s="101"/>
      <c r="K220" s="37"/>
      <c r="L220" s="26"/>
      <c r="M220" s="26"/>
      <c r="N220" s="26"/>
      <c r="O220" s="95"/>
      <c r="P220" s="97"/>
      <c r="Q220" s="197"/>
    </row>
    <row r="221" spans="3:17" x14ac:dyDescent="0.25">
      <c r="C221" s="210"/>
      <c r="D221" s="115"/>
      <c r="E221" s="29"/>
      <c r="F221" s="92"/>
      <c r="H221" s="119"/>
      <c r="I221" s="26"/>
      <c r="J221" s="101"/>
      <c r="K221" s="37"/>
      <c r="L221" s="26"/>
      <c r="M221" s="26"/>
      <c r="N221" s="26"/>
      <c r="O221" s="95"/>
      <c r="P221" s="97"/>
      <c r="Q221" s="197"/>
    </row>
    <row r="222" spans="3:17" x14ac:dyDescent="0.25">
      <c r="C222" s="210"/>
      <c r="D222" s="115"/>
      <c r="E222" s="29"/>
      <c r="F222" s="92"/>
      <c r="H222" s="119"/>
      <c r="I222" s="26"/>
      <c r="J222" s="101"/>
      <c r="K222" s="37"/>
      <c r="L222" s="26"/>
      <c r="M222" s="26"/>
      <c r="N222" s="26"/>
      <c r="O222" s="95"/>
      <c r="P222" s="97"/>
      <c r="Q222" s="197"/>
    </row>
    <row r="223" spans="3:17" x14ac:dyDescent="0.25">
      <c r="C223" s="210"/>
      <c r="D223" s="115"/>
      <c r="E223" s="29"/>
      <c r="F223" s="92"/>
      <c r="H223" s="119"/>
      <c r="I223" s="26"/>
      <c r="J223" s="101"/>
      <c r="K223" s="37"/>
      <c r="L223" s="26"/>
      <c r="M223" s="26"/>
      <c r="N223" s="26"/>
      <c r="O223" s="95"/>
      <c r="P223" s="97"/>
      <c r="Q223" s="197"/>
    </row>
    <row r="224" spans="3:17" x14ac:dyDescent="0.25">
      <c r="C224" s="210"/>
      <c r="D224" s="115"/>
      <c r="E224" s="29"/>
      <c r="F224" s="92"/>
      <c r="H224" s="119"/>
      <c r="I224" s="26"/>
      <c r="J224" s="101"/>
      <c r="K224" s="37"/>
      <c r="L224" s="26"/>
      <c r="M224" s="26"/>
      <c r="N224" s="26"/>
      <c r="O224" s="95"/>
      <c r="P224" s="97"/>
      <c r="Q224" s="197"/>
    </row>
    <row r="225" spans="3:17" x14ac:dyDescent="0.25">
      <c r="C225" s="210"/>
      <c r="D225" s="115"/>
      <c r="E225" s="29"/>
      <c r="F225" s="92"/>
      <c r="H225" s="119"/>
      <c r="I225" s="26"/>
      <c r="J225" s="101"/>
      <c r="K225" s="37"/>
      <c r="L225" s="26"/>
      <c r="M225" s="26"/>
      <c r="N225" s="26"/>
      <c r="O225" s="95"/>
      <c r="P225" s="97"/>
      <c r="Q225" s="197"/>
    </row>
    <row r="226" spans="3:17" x14ac:dyDescent="0.25">
      <c r="C226" s="210"/>
      <c r="D226" s="115"/>
      <c r="E226" s="29"/>
      <c r="F226" s="92"/>
      <c r="H226" s="119"/>
      <c r="I226" s="26"/>
      <c r="J226" s="101"/>
      <c r="K226" s="37"/>
      <c r="L226" s="26"/>
      <c r="M226" s="26"/>
      <c r="N226" s="26"/>
      <c r="O226" s="95"/>
      <c r="P226" s="97"/>
      <c r="Q226" s="197"/>
    </row>
    <row r="227" spans="3:17" x14ac:dyDescent="0.25">
      <c r="C227" s="210"/>
      <c r="D227" s="115"/>
      <c r="E227" s="29"/>
      <c r="F227" s="92"/>
      <c r="H227" s="119"/>
      <c r="I227" s="26"/>
      <c r="J227" s="101"/>
      <c r="K227" s="37"/>
      <c r="L227" s="26"/>
      <c r="M227" s="26"/>
      <c r="N227" s="26"/>
      <c r="O227" s="95"/>
      <c r="P227" s="97"/>
      <c r="Q227" s="197"/>
    </row>
    <row r="228" spans="3:17" x14ac:dyDescent="0.25">
      <c r="C228" s="210"/>
      <c r="D228" s="115"/>
      <c r="E228" s="29"/>
      <c r="F228" s="92"/>
      <c r="H228" s="119"/>
      <c r="I228" s="26"/>
      <c r="J228" s="101"/>
      <c r="K228" s="37"/>
      <c r="L228" s="26"/>
      <c r="M228" s="26"/>
      <c r="N228" s="26"/>
      <c r="O228" s="95"/>
      <c r="P228" s="97"/>
      <c r="Q228" s="197"/>
    </row>
    <row r="229" spans="3:17" x14ac:dyDescent="0.25">
      <c r="C229" s="210"/>
      <c r="D229" s="115"/>
      <c r="E229" s="29"/>
      <c r="F229" s="92"/>
      <c r="H229" s="119"/>
      <c r="I229" s="26"/>
      <c r="J229" s="101"/>
      <c r="K229" s="37"/>
      <c r="L229" s="26"/>
      <c r="M229" s="26"/>
      <c r="N229" s="26"/>
      <c r="O229" s="95"/>
      <c r="P229" s="97"/>
      <c r="Q229" s="197"/>
    </row>
    <row r="230" spans="3:17" x14ac:dyDescent="0.25">
      <c r="C230" s="210"/>
      <c r="D230" s="115"/>
      <c r="E230" s="29"/>
      <c r="F230" s="92"/>
      <c r="H230" s="119"/>
      <c r="I230" s="26"/>
      <c r="J230" s="101"/>
      <c r="K230" s="37"/>
      <c r="L230" s="26"/>
      <c r="M230" s="26"/>
      <c r="N230" s="26"/>
      <c r="O230" s="95"/>
      <c r="P230" s="97"/>
      <c r="Q230" s="197"/>
    </row>
    <row r="231" spans="3:17" x14ac:dyDescent="0.25">
      <c r="C231" s="210"/>
      <c r="D231" s="115"/>
      <c r="E231" s="29"/>
      <c r="F231" s="92"/>
      <c r="H231" s="119"/>
      <c r="I231" s="26"/>
      <c r="J231" s="101"/>
      <c r="K231" s="37"/>
      <c r="L231" s="26"/>
      <c r="M231" s="26"/>
      <c r="N231" s="26"/>
      <c r="O231" s="95"/>
      <c r="P231" s="97"/>
      <c r="Q231" s="197"/>
    </row>
    <row r="232" spans="3:17" x14ac:dyDescent="0.25">
      <c r="C232" s="210"/>
      <c r="D232" s="115"/>
      <c r="E232" s="29"/>
      <c r="F232" s="92"/>
      <c r="H232" s="119"/>
      <c r="I232" s="26"/>
      <c r="J232" s="101"/>
      <c r="K232" s="37"/>
      <c r="L232" s="26"/>
      <c r="M232" s="26"/>
      <c r="N232" s="26"/>
      <c r="O232" s="95"/>
      <c r="P232" s="97"/>
      <c r="Q232" s="197"/>
    </row>
    <row r="233" spans="3:17" x14ac:dyDescent="0.25">
      <c r="C233" s="210"/>
      <c r="D233" s="115"/>
      <c r="E233" s="29"/>
      <c r="F233" s="92"/>
      <c r="H233" s="119"/>
      <c r="I233" s="26"/>
      <c r="J233" s="101"/>
      <c r="K233" s="37"/>
      <c r="L233" s="26"/>
      <c r="M233" s="26"/>
      <c r="N233" s="26"/>
      <c r="O233" s="95"/>
      <c r="P233" s="97"/>
      <c r="Q233" s="197"/>
    </row>
    <row r="234" spans="3:17" x14ac:dyDescent="0.25">
      <c r="C234" s="210"/>
      <c r="D234" s="115"/>
      <c r="E234" s="29"/>
      <c r="F234" s="92"/>
      <c r="H234" s="119"/>
      <c r="I234" s="26"/>
      <c r="J234" s="101"/>
      <c r="K234" s="37"/>
      <c r="L234" s="26"/>
      <c r="M234" s="26"/>
      <c r="N234" s="26"/>
      <c r="O234" s="95"/>
      <c r="P234" s="97"/>
      <c r="Q234" s="197"/>
    </row>
    <row r="235" spans="3:17" x14ac:dyDescent="0.25">
      <c r="C235" s="210"/>
      <c r="D235" s="115"/>
      <c r="E235" s="29"/>
      <c r="F235" s="92"/>
      <c r="H235" s="119"/>
      <c r="I235" s="26"/>
      <c r="J235" s="101"/>
      <c r="K235" s="37"/>
      <c r="L235" s="26"/>
      <c r="M235" s="26"/>
      <c r="N235" s="26"/>
      <c r="O235" s="95"/>
      <c r="P235" s="97"/>
      <c r="Q235" s="197"/>
    </row>
    <row r="236" spans="3:17" x14ac:dyDescent="0.25">
      <c r="C236" s="210"/>
      <c r="D236" s="115"/>
      <c r="E236" s="29"/>
      <c r="F236" s="92"/>
      <c r="H236" s="119"/>
      <c r="I236" s="26"/>
      <c r="J236" s="101"/>
      <c r="K236" s="37"/>
      <c r="L236" s="26"/>
      <c r="M236" s="26"/>
      <c r="N236" s="26"/>
      <c r="O236" s="95"/>
      <c r="P236" s="97"/>
      <c r="Q236" s="197"/>
    </row>
    <row r="237" spans="3:17" x14ac:dyDescent="0.25">
      <c r="C237" s="210"/>
      <c r="D237" s="115"/>
      <c r="E237" s="29"/>
      <c r="F237" s="92"/>
      <c r="H237" s="119"/>
      <c r="I237" s="26"/>
      <c r="J237" s="101"/>
      <c r="K237" s="37"/>
      <c r="L237" s="26"/>
      <c r="M237" s="26"/>
      <c r="N237" s="26"/>
      <c r="O237" s="95"/>
      <c r="P237" s="97"/>
      <c r="Q237" s="197"/>
    </row>
    <row r="238" spans="3:17" x14ac:dyDescent="0.25">
      <c r="C238" s="210"/>
      <c r="D238" s="115"/>
      <c r="E238" s="29"/>
      <c r="F238" s="92"/>
      <c r="H238" s="119"/>
      <c r="I238" s="26"/>
      <c r="J238" s="101"/>
      <c r="K238" s="37"/>
      <c r="L238" s="26"/>
      <c r="M238" s="26"/>
      <c r="N238" s="26"/>
      <c r="O238" s="95"/>
      <c r="P238" s="97"/>
      <c r="Q238" s="197"/>
    </row>
    <row r="239" spans="3:17" x14ac:dyDescent="0.25">
      <c r="C239" s="210"/>
      <c r="D239" s="115"/>
      <c r="E239" s="29"/>
      <c r="F239" s="92"/>
      <c r="H239" s="119"/>
      <c r="I239" s="26"/>
      <c r="J239" s="101"/>
      <c r="K239" s="37"/>
      <c r="L239" s="26"/>
      <c r="M239" s="26"/>
      <c r="N239" s="26"/>
      <c r="O239" s="95"/>
      <c r="P239" s="97"/>
      <c r="Q239" s="197"/>
    </row>
    <row r="240" spans="3:17" x14ac:dyDescent="0.25">
      <c r="C240" s="210"/>
      <c r="D240" s="115"/>
      <c r="E240" s="29"/>
      <c r="F240" s="92"/>
      <c r="H240" s="119"/>
      <c r="I240" s="26"/>
      <c r="J240" s="101"/>
      <c r="K240" s="37"/>
      <c r="L240" s="26"/>
      <c r="M240" s="26"/>
      <c r="N240" s="26"/>
      <c r="O240" s="95"/>
      <c r="P240" s="97"/>
      <c r="Q240" s="197"/>
    </row>
    <row r="241" spans="3:17" x14ac:dyDescent="0.25">
      <c r="C241" s="210"/>
      <c r="D241" s="115"/>
      <c r="E241" s="29"/>
      <c r="F241" s="92"/>
      <c r="H241" s="119"/>
      <c r="I241" s="26"/>
      <c r="J241" s="101"/>
      <c r="K241" s="37"/>
      <c r="L241" s="26"/>
      <c r="M241" s="26"/>
      <c r="N241" s="26"/>
      <c r="O241" s="95"/>
      <c r="P241" s="97"/>
      <c r="Q241" s="197"/>
    </row>
    <row r="242" spans="3:17" x14ac:dyDescent="0.25">
      <c r="C242" s="210"/>
      <c r="D242" s="115"/>
      <c r="E242" s="29"/>
      <c r="F242" s="92"/>
      <c r="H242" s="119"/>
      <c r="I242" s="26"/>
      <c r="J242" s="101"/>
      <c r="K242" s="37"/>
      <c r="L242" s="26"/>
      <c r="M242" s="26"/>
      <c r="N242" s="26"/>
      <c r="O242" s="95"/>
      <c r="P242" s="97"/>
      <c r="Q242" s="197"/>
    </row>
    <row r="243" spans="3:17" x14ac:dyDescent="0.25">
      <c r="C243" s="210"/>
      <c r="D243" s="115"/>
      <c r="E243" s="29"/>
      <c r="F243" s="92"/>
      <c r="H243" s="119"/>
      <c r="I243" s="26"/>
      <c r="J243" s="101"/>
      <c r="K243" s="37"/>
      <c r="L243" s="26"/>
      <c r="M243" s="26"/>
      <c r="N243" s="26"/>
      <c r="O243" s="95"/>
      <c r="P243" s="97"/>
      <c r="Q243" s="197"/>
    </row>
    <row r="244" spans="3:17" x14ac:dyDescent="0.25">
      <c r="C244" s="210"/>
      <c r="D244" s="115"/>
      <c r="E244" s="29"/>
      <c r="F244" s="92"/>
      <c r="H244" s="119"/>
      <c r="I244" s="26"/>
      <c r="J244" s="101"/>
      <c r="K244" s="37"/>
      <c r="L244" s="26"/>
      <c r="M244" s="26"/>
      <c r="N244" s="26"/>
      <c r="O244" s="95"/>
      <c r="P244" s="97"/>
      <c r="Q244" s="197"/>
    </row>
    <row r="245" spans="3:17" x14ac:dyDescent="0.25">
      <c r="C245" s="210"/>
      <c r="D245" s="115"/>
      <c r="E245" s="29"/>
      <c r="F245" s="92"/>
      <c r="H245" s="119"/>
      <c r="I245" s="26"/>
      <c r="J245" s="101"/>
      <c r="K245" s="37"/>
      <c r="L245" s="26"/>
      <c r="M245" s="26"/>
      <c r="N245" s="26"/>
      <c r="O245" s="95"/>
      <c r="P245" s="97"/>
      <c r="Q245" s="197"/>
    </row>
    <row r="246" spans="3:17" x14ac:dyDescent="0.25">
      <c r="C246" s="210"/>
      <c r="D246" s="115"/>
      <c r="E246" s="29"/>
      <c r="F246" s="92"/>
      <c r="H246" s="119"/>
      <c r="I246" s="26"/>
      <c r="J246" s="101"/>
      <c r="K246" s="37"/>
      <c r="L246" s="26"/>
      <c r="M246" s="26"/>
      <c r="N246" s="26"/>
      <c r="O246" s="95"/>
      <c r="P246" s="97"/>
      <c r="Q246" s="197"/>
    </row>
    <row r="247" spans="3:17" x14ac:dyDescent="0.25">
      <c r="C247" s="210"/>
      <c r="D247" s="115"/>
      <c r="E247" s="29"/>
      <c r="F247" s="92"/>
      <c r="H247" s="119"/>
      <c r="I247" s="26"/>
      <c r="J247" s="101"/>
      <c r="K247" s="37"/>
      <c r="L247" s="26"/>
      <c r="M247" s="26"/>
      <c r="N247" s="26"/>
      <c r="O247" s="95"/>
      <c r="P247" s="97"/>
      <c r="Q247" s="197"/>
    </row>
    <row r="248" spans="3:17" x14ac:dyDescent="0.25">
      <c r="C248" s="210"/>
      <c r="D248" s="115"/>
      <c r="E248" s="29"/>
      <c r="F248" s="92"/>
      <c r="H248" s="119"/>
      <c r="I248" s="26"/>
      <c r="J248" s="101"/>
      <c r="K248" s="37"/>
      <c r="L248" s="26"/>
      <c r="M248" s="26"/>
      <c r="N248" s="26"/>
      <c r="O248" s="95"/>
      <c r="P248" s="97"/>
      <c r="Q248" s="197"/>
    </row>
    <row r="249" spans="3:17" x14ac:dyDescent="0.25">
      <c r="C249" s="210"/>
      <c r="D249" s="115"/>
      <c r="E249" s="29"/>
      <c r="F249" s="92"/>
      <c r="H249" s="119"/>
      <c r="I249" s="26"/>
      <c r="J249" s="101"/>
      <c r="K249" s="37"/>
      <c r="L249" s="26"/>
      <c r="M249" s="26"/>
      <c r="N249" s="26"/>
      <c r="O249" s="95"/>
      <c r="P249" s="97"/>
      <c r="Q249" s="197"/>
    </row>
    <row r="250" spans="3:17" x14ac:dyDescent="0.25">
      <c r="C250" s="210"/>
      <c r="D250" s="115"/>
      <c r="E250" s="29"/>
      <c r="F250" s="92"/>
      <c r="H250" s="119"/>
      <c r="I250" s="26"/>
      <c r="J250" s="101"/>
      <c r="K250" s="37"/>
      <c r="L250" s="26"/>
      <c r="M250" s="26"/>
      <c r="N250" s="26"/>
      <c r="O250" s="95"/>
      <c r="P250" s="97"/>
      <c r="Q250" s="197"/>
    </row>
    <row r="251" spans="3:17" x14ac:dyDescent="0.25">
      <c r="C251" s="210"/>
      <c r="D251" s="115"/>
      <c r="E251" s="29"/>
      <c r="F251" s="92"/>
      <c r="H251" s="119"/>
      <c r="I251" s="26"/>
      <c r="J251" s="101"/>
      <c r="K251" s="37"/>
      <c r="L251" s="26"/>
      <c r="M251" s="26"/>
      <c r="N251" s="26"/>
      <c r="O251" s="95"/>
      <c r="P251" s="97"/>
      <c r="Q251" s="197"/>
    </row>
    <row r="252" spans="3:17" x14ac:dyDescent="0.25">
      <c r="C252" s="210"/>
      <c r="D252" s="115"/>
      <c r="E252" s="29"/>
      <c r="F252" s="92"/>
      <c r="H252" s="119"/>
      <c r="I252" s="26"/>
      <c r="J252" s="101"/>
      <c r="K252" s="37"/>
      <c r="L252" s="26"/>
      <c r="M252" s="26"/>
      <c r="N252" s="26"/>
      <c r="O252" s="95"/>
      <c r="P252" s="97"/>
      <c r="Q252" s="197"/>
    </row>
    <row r="253" spans="3:17" x14ac:dyDescent="0.25">
      <c r="C253" s="210"/>
      <c r="D253" s="115"/>
      <c r="E253" s="29"/>
      <c r="F253" s="92"/>
      <c r="H253" s="119"/>
      <c r="I253" s="26"/>
      <c r="J253" s="101"/>
      <c r="K253" s="37"/>
      <c r="L253" s="26"/>
      <c r="M253" s="26"/>
      <c r="N253" s="26"/>
      <c r="O253" s="95"/>
      <c r="P253" s="97"/>
      <c r="Q253" s="197"/>
    </row>
    <row r="254" spans="3:17" x14ac:dyDescent="0.25">
      <c r="C254" s="210"/>
      <c r="D254" s="115"/>
      <c r="E254" s="29"/>
      <c r="F254" s="92"/>
      <c r="H254" s="119"/>
      <c r="I254" s="26"/>
      <c r="J254" s="101"/>
      <c r="K254" s="37"/>
      <c r="L254" s="26"/>
      <c r="M254" s="26"/>
      <c r="N254" s="26"/>
      <c r="O254" s="95"/>
      <c r="P254" s="97"/>
      <c r="Q254" s="197"/>
    </row>
    <row r="255" spans="3:17" x14ac:dyDescent="0.25">
      <c r="C255" s="210"/>
      <c r="D255" s="115"/>
      <c r="E255" s="29"/>
      <c r="F255" s="92"/>
      <c r="H255" s="119"/>
      <c r="I255" s="26"/>
      <c r="J255" s="101"/>
      <c r="K255" s="37"/>
      <c r="L255" s="26"/>
      <c r="M255" s="26"/>
      <c r="N255" s="26"/>
      <c r="O255" s="95"/>
      <c r="P255" s="97"/>
      <c r="Q255" s="197"/>
    </row>
    <row r="256" spans="3:17" x14ac:dyDescent="0.25">
      <c r="C256" s="210"/>
      <c r="D256" s="115"/>
      <c r="E256" s="29"/>
      <c r="F256" s="92"/>
      <c r="H256" s="119"/>
      <c r="I256" s="26"/>
      <c r="J256" s="101"/>
      <c r="K256" s="37"/>
      <c r="L256" s="26"/>
      <c r="M256" s="26"/>
      <c r="N256" s="26"/>
      <c r="O256" s="95"/>
      <c r="P256" s="97"/>
      <c r="Q256" s="197"/>
    </row>
    <row r="257" spans="3:17" x14ac:dyDescent="0.25">
      <c r="C257" s="210"/>
      <c r="D257" s="115"/>
      <c r="E257" s="29"/>
      <c r="F257" s="92"/>
      <c r="H257" s="119"/>
      <c r="I257" s="26"/>
      <c r="J257" s="101"/>
      <c r="K257" s="37"/>
      <c r="L257" s="26"/>
      <c r="M257" s="26"/>
      <c r="N257" s="26"/>
      <c r="O257" s="95"/>
      <c r="P257" s="97"/>
      <c r="Q257" s="197"/>
    </row>
    <row r="258" spans="3:17" x14ac:dyDescent="0.25">
      <c r="C258" s="210"/>
      <c r="D258" s="115"/>
      <c r="E258" s="29"/>
      <c r="F258" s="92"/>
      <c r="H258" s="119"/>
      <c r="I258" s="26"/>
      <c r="J258" s="101"/>
      <c r="K258" s="37"/>
      <c r="L258" s="26"/>
      <c r="M258" s="26"/>
      <c r="N258" s="26"/>
      <c r="O258" s="95"/>
      <c r="P258" s="97"/>
      <c r="Q258" s="197"/>
    </row>
    <row r="259" spans="3:17" x14ac:dyDescent="0.25">
      <c r="C259" s="210"/>
      <c r="D259" s="115"/>
      <c r="E259" s="29"/>
      <c r="F259" s="92"/>
      <c r="H259" s="119"/>
      <c r="I259" s="26"/>
      <c r="J259" s="101"/>
      <c r="K259" s="37"/>
      <c r="L259" s="26"/>
      <c r="M259" s="26"/>
      <c r="N259" s="26"/>
      <c r="O259" s="95"/>
      <c r="P259" s="97"/>
      <c r="Q259" s="197"/>
    </row>
    <row r="260" spans="3:17" x14ac:dyDescent="0.25">
      <c r="C260" s="210"/>
      <c r="D260" s="115"/>
      <c r="E260" s="29"/>
      <c r="F260" s="92"/>
      <c r="H260" s="119"/>
      <c r="I260" s="26"/>
      <c r="J260" s="101"/>
      <c r="K260" s="37"/>
      <c r="L260" s="26"/>
      <c r="M260" s="26"/>
      <c r="N260" s="26"/>
      <c r="O260" s="95"/>
      <c r="P260" s="97"/>
      <c r="Q260" s="197"/>
    </row>
    <row r="261" spans="3:17" x14ac:dyDescent="0.25">
      <c r="C261" s="210"/>
      <c r="D261" s="115"/>
      <c r="E261" s="29"/>
      <c r="F261" s="92"/>
      <c r="H261" s="119"/>
      <c r="I261" s="26"/>
      <c r="J261" s="101"/>
      <c r="K261" s="37"/>
      <c r="L261" s="26"/>
      <c r="M261" s="26"/>
      <c r="N261" s="26"/>
      <c r="O261" s="95"/>
      <c r="P261" s="97"/>
      <c r="Q261" s="197"/>
    </row>
    <row r="262" spans="3:17" x14ac:dyDescent="0.25">
      <c r="C262" s="210"/>
      <c r="D262" s="115"/>
      <c r="E262" s="29"/>
      <c r="F262" s="92"/>
      <c r="H262" s="119"/>
      <c r="I262" s="26"/>
      <c r="J262" s="101"/>
      <c r="K262" s="37"/>
      <c r="L262" s="26"/>
      <c r="M262" s="26"/>
      <c r="N262" s="26"/>
      <c r="O262" s="95"/>
      <c r="P262" s="97"/>
      <c r="Q262" s="197"/>
    </row>
    <row r="263" spans="3:17" x14ac:dyDescent="0.25">
      <c r="C263" s="210"/>
      <c r="D263" s="115"/>
      <c r="E263" s="29"/>
      <c r="F263" s="92"/>
      <c r="H263" s="119"/>
      <c r="I263" s="26"/>
      <c r="J263" s="101"/>
      <c r="K263" s="37"/>
      <c r="L263" s="26"/>
      <c r="M263" s="26"/>
      <c r="N263" s="26"/>
      <c r="O263" s="95"/>
      <c r="P263" s="97"/>
      <c r="Q263" s="197"/>
    </row>
    <row r="264" spans="3:17" x14ac:dyDescent="0.25">
      <c r="C264" s="210"/>
      <c r="D264" s="115"/>
      <c r="E264" s="29"/>
      <c r="F264" s="92"/>
      <c r="H264" s="119"/>
      <c r="I264" s="26"/>
      <c r="J264" s="101"/>
      <c r="K264" s="37"/>
      <c r="L264" s="26"/>
      <c r="M264" s="26"/>
      <c r="N264" s="26"/>
      <c r="O264" s="95"/>
      <c r="P264" s="97"/>
      <c r="Q264" s="197"/>
    </row>
    <row r="265" spans="3:17" x14ac:dyDescent="0.25">
      <c r="C265" s="210"/>
      <c r="D265" s="115"/>
      <c r="E265" s="29"/>
      <c r="F265" s="92"/>
      <c r="H265" s="119"/>
      <c r="I265" s="26"/>
      <c r="J265" s="101"/>
      <c r="K265" s="37"/>
      <c r="L265" s="26"/>
      <c r="M265" s="26"/>
      <c r="N265" s="26"/>
      <c r="O265" s="95"/>
      <c r="P265" s="97"/>
      <c r="Q265" s="197"/>
    </row>
    <row r="266" spans="3:17" x14ac:dyDescent="0.25">
      <c r="C266" s="210"/>
      <c r="D266" s="115"/>
      <c r="E266" s="29"/>
      <c r="F266" s="92"/>
      <c r="H266" s="119"/>
      <c r="I266" s="26"/>
      <c r="J266" s="101"/>
      <c r="K266" s="37"/>
      <c r="L266" s="26"/>
      <c r="M266" s="26"/>
      <c r="N266" s="26"/>
      <c r="O266" s="95"/>
      <c r="P266" s="97"/>
      <c r="Q266" s="197"/>
    </row>
    <row r="267" spans="3:17" x14ac:dyDescent="0.25">
      <c r="C267" s="210"/>
      <c r="D267" s="115"/>
      <c r="E267" s="29"/>
      <c r="F267" s="92"/>
      <c r="H267" s="119"/>
      <c r="I267" s="26"/>
      <c r="J267" s="101"/>
      <c r="K267" s="37"/>
      <c r="L267" s="26"/>
      <c r="M267" s="26"/>
      <c r="N267" s="26"/>
      <c r="O267" s="95"/>
      <c r="P267" s="97"/>
      <c r="Q267" s="197"/>
    </row>
    <row r="268" spans="3:17" x14ac:dyDescent="0.25">
      <c r="C268" s="210"/>
      <c r="D268" s="115"/>
      <c r="E268" s="29"/>
      <c r="F268" s="92"/>
      <c r="H268" s="119"/>
      <c r="I268" s="26"/>
      <c r="J268" s="101"/>
      <c r="K268" s="37"/>
      <c r="L268" s="26"/>
      <c r="M268" s="26"/>
      <c r="N268" s="26"/>
      <c r="O268" s="95"/>
      <c r="P268" s="97"/>
      <c r="Q268" s="197"/>
    </row>
    <row r="269" spans="3:17" x14ac:dyDescent="0.25">
      <c r="C269" s="210"/>
      <c r="D269" s="115"/>
      <c r="E269" s="29"/>
      <c r="F269" s="92"/>
      <c r="H269" s="119"/>
      <c r="I269" s="26"/>
      <c r="J269" s="101"/>
      <c r="K269" s="37"/>
      <c r="L269" s="26"/>
      <c r="M269" s="26"/>
      <c r="N269" s="26"/>
      <c r="O269" s="95"/>
      <c r="P269" s="97"/>
      <c r="Q269" s="197"/>
    </row>
    <row r="270" spans="3:17" x14ac:dyDescent="0.25">
      <c r="C270" s="210"/>
      <c r="D270" s="115"/>
      <c r="E270" s="29"/>
      <c r="F270" s="92"/>
      <c r="H270" s="119"/>
      <c r="I270" s="26"/>
      <c r="J270" s="101"/>
      <c r="K270" s="37"/>
      <c r="L270" s="26"/>
      <c r="M270" s="26"/>
      <c r="N270" s="26"/>
      <c r="O270" s="95"/>
      <c r="P270" s="97"/>
      <c r="Q270" s="197"/>
    </row>
    <row r="271" spans="3:17" x14ac:dyDescent="0.25">
      <c r="C271" s="210"/>
      <c r="D271" s="115"/>
      <c r="E271" s="29"/>
      <c r="F271" s="92"/>
      <c r="H271" s="119"/>
      <c r="I271" s="26"/>
      <c r="J271" s="101"/>
      <c r="K271" s="37"/>
      <c r="L271" s="26"/>
      <c r="M271" s="26"/>
      <c r="N271" s="26"/>
      <c r="O271" s="95"/>
      <c r="P271" s="97"/>
      <c r="Q271" s="197"/>
    </row>
    <row r="272" spans="3:17" x14ac:dyDescent="0.25">
      <c r="C272" s="210"/>
      <c r="D272" s="115"/>
      <c r="E272" s="29"/>
      <c r="F272" s="92"/>
      <c r="H272" s="119"/>
      <c r="I272" s="26"/>
      <c r="J272" s="101"/>
      <c r="K272" s="37"/>
      <c r="L272" s="26"/>
      <c r="M272" s="26"/>
      <c r="N272" s="26"/>
      <c r="O272" s="95"/>
      <c r="P272" s="97"/>
      <c r="Q272" s="197"/>
    </row>
    <row r="273" spans="3:17" x14ac:dyDescent="0.25">
      <c r="C273" s="210"/>
      <c r="D273" s="115"/>
      <c r="E273" s="29"/>
      <c r="F273" s="92"/>
      <c r="H273" s="119"/>
      <c r="I273" s="26"/>
      <c r="J273" s="101"/>
      <c r="K273" s="37"/>
      <c r="L273" s="26"/>
      <c r="M273" s="26"/>
      <c r="N273" s="26"/>
      <c r="O273" s="95"/>
      <c r="P273" s="97"/>
      <c r="Q273" s="197"/>
    </row>
    <row r="274" spans="3:17" x14ac:dyDescent="0.25">
      <c r="C274" s="210"/>
      <c r="D274" s="115"/>
      <c r="E274" s="29"/>
      <c r="F274" s="92"/>
      <c r="H274" s="119"/>
      <c r="I274" s="26"/>
      <c r="J274" s="101"/>
      <c r="K274" s="37"/>
      <c r="L274" s="26"/>
      <c r="M274" s="26"/>
      <c r="N274" s="26"/>
      <c r="O274" s="95"/>
      <c r="P274" s="97"/>
      <c r="Q274" s="197"/>
    </row>
    <row r="275" spans="3:17" x14ac:dyDescent="0.25">
      <c r="C275" s="210"/>
      <c r="D275" s="115"/>
      <c r="E275" s="29"/>
      <c r="F275" s="92"/>
      <c r="H275" s="119"/>
      <c r="I275" s="26"/>
      <c r="J275" s="101"/>
      <c r="K275" s="37"/>
      <c r="L275" s="26"/>
      <c r="M275" s="26"/>
      <c r="N275" s="26"/>
      <c r="O275" s="95"/>
      <c r="P275" s="97"/>
      <c r="Q275" s="197"/>
    </row>
    <row r="276" spans="3:17" x14ac:dyDescent="0.25">
      <c r="C276" s="210"/>
      <c r="D276" s="115"/>
      <c r="E276" s="29"/>
      <c r="F276" s="92"/>
      <c r="H276" s="119"/>
      <c r="I276" s="26"/>
      <c r="J276" s="101"/>
      <c r="K276" s="37"/>
      <c r="L276" s="26"/>
      <c r="M276" s="26"/>
      <c r="N276" s="26"/>
      <c r="O276" s="95"/>
      <c r="P276" s="97"/>
      <c r="Q276" s="197"/>
    </row>
    <row r="277" spans="3:17" x14ac:dyDescent="0.25">
      <c r="C277" s="210"/>
      <c r="D277" s="115"/>
      <c r="E277" s="29"/>
      <c r="F277" s="92"/>
      <c r="H277" s="119"/>
      <c r="I277" s="26"/>
      <c r="J277" s="101"/>
      <c r="K277" s="37"/>
      <c r="L277" s="26"/>
      <c r="M277" s="26"/>
      <c r="N277" s="26"/>
      <c r="O277" s="95"/>
      <c r="P277" s="97"/>
      <c r="Q277" s="197"/>
    </row>
    <row r="278" spans="3:17" x14ac:dyDescent="0.25">
      <c r="C278" s="210"/>
      <c r="D278" s="115"/>
      <c r="E278" s="29"/>
      <c r="F278" s="92"/>
      <c r="H278" s="119"/>
      <c r="I278" s="26"/>
      <c r="J278" s="101"/>
      <c r="K278" s="37"/>
      <c r="L278" s="26"/>
      <c r="M278" s="26"/>
      <c r="N278" s="26"/>
      <c r="O278" s="95"/>
      <c r="P278" s="97"/>
      <c r="Q278" s="197"/>
    </row>
    <row r="279" spans="3:17" x14ac:dyDescent="0.25">
      <c r="C279" s="210"/>
      <c r="D279" s="115"/>
      <c r="E279" s="29"/>
      <c r="F279" s="92"/>
      <c r="H279" s="119"/>
      <c r="I279" s="26"/>
      <c r="J279" s="101"/>
      <c r="K279" s="37"/>
      <c r="L279" s="26"/>
      <c r="M279" s="26"/>
      <c r="N279" s="26"/>
      <c r="O279" s="95"/>
      <c r="P279" s="97"/>
      <c r="Q279" s="197"/>
    </row>
    <row r="280" spans="3:17" x14ac:dyDescent="0.25">
      <c r="C280" s="210"/>
      <c r="D280" s="115"/>
      <c r="E280" s="29"/>
      <c r="F280" s="92"/>
      <c r="H280" s="119"/>
      <c r="I280" s="26"/>
      <c r="J280" s="101"/>
      <c r="K280" s="37"/>
      <c r="L280" s="26"/>
      <c r="M280" s="26"/>
      <c r="N280" s="26"/>
      <c r="O280" s="95"/>
      <c r="P280" s="97"/>
      <c r="Q280" s="197"/>
    </row>
    <row r="281" spans="3:17" x14ac:dyDescent="0.25">
      <c r="C281" s="210"/>
      <c r="D281" s="115"/>
      <c r="E281" s="29"/>
      <c r="F281" s="92"/>
      <c r="H281" s="119"/>
      <c r="I281" s="26"/>
      <c r="J281" s="101"/>
      <c r="K281" s="37"/>
      <c r="L281" s="26"/>
      <c r="M281" s="26"/>
      <c r="N281" s="26"/>
      <c r="O281" s="95"/>
      <c r="P281" s="97"/>
      <c r="Q281" s="197"/>
    </row>
    <row r="282" spans="3:17" x14ac:dyDescent="0.25">
      <c r="C282" s="210"/>
      <c r="D282" s="115"/>
      <c r="E282" s="29"/>
      <c r="F282" s="92"/>
      <c r="H282" s="119"/>
      <c r="I282" s="26"/>
      <c r="J282" s="101"/>
      <c r="K282" s="37"/>
      <c r="L282" s="26"/>
      <c r="M282" s="26"/>
      <c r="N282" s="26"/>
      <c r="O282" s="95"/>
      <c r="P282" s="97"/>
      <c r="Q282" s="197"/>
    </row>
    <row r="283" spans="3:17" x14ac:dyDescent="0.25">
      <c r="C283" s="210"/>
      <c r="D283" s="115"/>
      <c r="E283" s="29"/>
      <c r="F283" s="92"/>
      <c r="H283" s="119"/>
      <c r="I283" s="26"/>
      <c r="J283" s="101"/>
      <c r="K283" s="37"/>
      <c r="L283" s="26"/>
      <c r="M283" s="26"/>
      <c r="N283" s="26"/>
      <c r="O283" s="95"/>
      <c r="P283" s="97"/>
      <c r="Q283" s="197"/>
    </row>
    <row r="284" spans="3:17" x14ac:dyDescent="0.25">
      <c r="C284" s="210"/>
      <c r="D284" s="115"/>
      <c r="E284" s="29"/>
      <c r="F284" s="92"/>
      <c r="H284" s="119"/>
      <c r="I284" s="26"/>
      <c r="J284" s="101"/>
      <c r="K284" s="37"/>
      <c r="L284" s="26"/>
      <c r="M284" s="26"/>
      <c r="N284" s="26"/>
      <c r="O284" s="95"/>
      <c r="P284" s="97"/>
      <c r="Q284" s="197"/>
    </row>
    <row r="285" spans="3:17" x14ac:dyDescent="0.25">
      <c r="C285" s="210"/>
      <c r="D285" s="115"/>
      <c r="E285" s="29"/>
      <c r="F285" s="92"/>
      <c r="H285" s="119"/>
      <c r="I285" s="26"/>
      <c r="J285" s="101"/>
      <c r="K285" s="37"/>
      <c r="L285" s="26"/>
      <c r="M285" s="26"/>
      <c r="N285" s="26"/>
      <c r="O285" s="95"/>
      <c r="P285" s="97"/>
      <c r="Q285" s="197"/>
    </row>
    <row r="286" spans="3:17" x14ac:dyDescent="0.25">
      <c r="C286" s="210"/>
      <c r="D286" s="115"/>
      <c r="E286" s="29"/>
      <c r="F286" s="92"/>
      <c r="H286" s="119"/>
      <c r="I286" s="26"/>
      <c r="J286" s="101"/>
      <c r="K286" s="37"/>
      <c r="L286" s="26"/>
      <c r="M286" s="26"/>
      <c r="N286" s="26"/>
      <c r="O286" s="95"/>
      <c r="P286" s="97"/>
      <c r="Q286" s="197"/>
    </row>
    <row r="287" spans="3:17" x14ac:dyDescent="0.25">
      <c r="C287" s="210"/>
      <c r="D287" s="115"/>
      <c r="E287" s="29"/>
      <c r="F287" s="92"/>
      <c r="H287" s="119"/>
      <c r="I287" s="26"/>
      <c r="J287" s="101"/>
      <c r="K287" s="37"/>
      <c r="L287" s="26"/>
      <c r="M287" s="26"/>
      <c r="N287" s="26"/>
      <c r="O287" s="95"/>
      <c r="P287" s="97"/>
      <c r="Q287" s="197"/>
    </row>
    <row r="288" spans="3:17" x14ac:dyDescent="0.25">
      <c r="C288" s="210"/>
      <c r="D288" s="115"/>
      <c r="E288" s="29"/>
      <c r="F288" s="92"/>
      <c r="H288" s="119"/>
      <c r="I288" s="26"/>
      <c r="J288" s="101"/>
      <c r="K288" s="37"/>
      <c r="L288" s="26"/>
      <c r="M288" s="26"/>
      <c r="N288" s="26"/>
      <c r="O288" s="95"/>
      <c r="P288" s="97"/>
      <c r="Q288" s="197"/>
    </row>
    <row r="289" spans="3:17" x14ac:dyDescent="0.25">
      <c r="C289" s="210"/>
      <c r="D289" s="115"/>
      <c r="E289" s="29"/>
      <c r="F289" s="92"/>
      <c r="H289" s="119"/>
      <c r="I289" s="26"/>
      <c r="J289" s="101"/>
      <c r="K289" s="37"/>
      <c r="L289" s="26"/>
      <c r="M289" s="26"/>
      <c r="N289" s="26"/>
      <c r="O289" s="95"/>
      <c r="P289" s="97"/>
      <c r="Q289" s="197"/>
    </row>
    <row r="290" spans="3:17" x14ac:dyDescent="0.25">
      <c r="C290" s="210"/>
      <c r="D290" s="115"/>
      <c r="E290" s="29"/>
      <c r="F290" s="92"/>
      <c r="H290" s="119"/>
      <c r="I290" s="26"/>
      <c r="J290" s="101"/>
      <c r="K290" s="37"/>
      <c r="L290" s="26"/>
      <c r="M290" s="26"/>
      <c r="N290" s="26"/>
      <c r="O290" s="95"/>
      <c r="P290" s="97"/>
      <c r="Q290" s="197"/>
    </row>
    <row r="291" spans="3:17" x14ac:dyDescent="0.25">
      <c r="C291" s="210"/>
      <c r="D291" s="115"/>
      <c r="E291" s="29"/>
      <c r="F291" s="92"/>
      <c r="H291" s="119"/>
      <c r="I291" s="26"/>
      <c r="J291" s="101"/>
      <c r="K291" s="37"/>
      <c r="L291" s="26"/>
      <c r="M291" s="26"/>
      <c r="N291" s="26"/>
      <c r="O291" s="95"/>
      <c r="P291" s="97"/>
      <c r="Q291" s="197"/>
    </row>
    <row r="292" spans="3:17" x14ac:dyDescent="0.25">
      <c r="C292" s="210"/>
      <c r="D292" s="115"/>
      <c r="E292" s="29"/>
      <c r="F292" s="92"/>
      <c r="H292" s="119"/>
      <c r="I292" s="26"/>
      <c r="J292" s="101"/>
      <c r="K292" s="37"/>
      <c r="L292" s="26"/>
      <c r="M292" s="26"/>
      <c r="N292" s="26"/>
      <c r="O292" s="95"/>
      <c r="P292" s="97"/>
      <c r="Q292" s="197"/>
    </row>
    <row r="293" spans="3:17" x14ac:dyDescent="0.25">
      <c r="C293" s="210"/>
      <c r="D293" s="115"/>
      <c r="E293" s="29"/>
      <c r="F293" s="92"/>
      <c r="H293" s="119"/>
      <c r="I293" s="26"/>
      <c r="J293" s="101"/>
      <c r="K293" s="37"/>
      <c r="L293" s="26"/>
      <c r="M293" s="26"/>
      <c r="N293" s="26"/>
      <c r="O293" s="95"/>
      <c r="P293" s="97"/>
      <c r="Q293" s="197"/>
    </row>
    <row r="294" spans="3:17" x14ac:dyDescent="0.25">
      <c r="C294" s="210"/>
      <c r="D294" s="115"/>
      <c r="E294" s="29"/>
      <c r="F294" s="92"/>
      <c r="H294" s="119"/>
      <c r="I294" s="26"/>
      <c r="J294" s="101"/>
      <c r="K294" s="37"/>
      <c r="L294" s="26"/>
      <c r="M294" s="26"/>
      <c r="N294" s="26"/>
      <c r="O294" s="95"/>
      <c r="P294" s="97"/>
      <c r="Q294" s="197"/>
    </row>
    <row r="295" spans="3:17" x14ac:dyDescent="0.25">
      <c r="C295" s="210"/>
      <c r="D295" s="115"/>
      <c r="E295" s="29"/>
      <c r="F295" s="92"/>
      <c r="H295" s="119"/>
      <c r="I295" s="26"/>
      <c r="J295" s="101"/>
      <c r="K295" s="37"/>
      <c r="L295" s="26"/>
      <c r="M295" s="26"/>
      <c r="N295" s="26"/>
      <c r="O295" s="95"/>
      <c r="P295" s="97"/>
      <c r="Q295" s="197"/>
    </row>
    <row r="296" spans="3:17" x14ac:dyDescent="0.25">
      <c r="C296" s="210"/>
      <c r="D296" s="115"/>
      <c r="E296" s="29"/>
      <c r="F296" s="92"/>
      <c r="H296" s="119"/>
      <c r="I296" s="26"/>
      <c r="J296" s="101"/>
      <c r="K296" s="37"/>
      <c r="L296" s="26"/>
      <c r="M296" s="26"/>
      <c r="N296" s="26"/>
      <c r="O296" s="95"/>
      <c r="P296" s="97"/>
      <c r="Q296" s="197"/>
    </row>
    <row r="297" spans="3:17" x14ac:dyDescent="0.25">
      <c r="C297" s="210"/>
      <c r="D297" s="115"/>
      <c r="E297" s="29"/>
      <c r="F297" s="92"/>
      <c r="H297" s="119"/>
      <c r="I297" s="26"/>
      <c r="J297" s="101"/>
      <c r="K297" s="37"/>
      <c r="L297" s="26"/>
      <c r="M297" s="26"/>
      <c r="N297" s="26"/>
      <c r="O297" s="95"/>
      <c r="P297" s="97"/>
      <c r="Q297" s="197"/>
    </row>
    <row r="298" spans="3:17" x14ac:dyDescent="0.25">
      <c r="C298" s="210"/>
      <c r="D298" s="115"/>
      <c r="E298" s="29"/>
      <c r="F298" s="92"/>
      <c r="H298" s="119"/>
      <c r="I298" s="26"/>
      <c r="J298" s="101"/>
      <c r="K298" s="37"/>
      <c r="L298" s="26"/>
      <c r="M298" s="26"/>
      <c r="N298" s="26"/>
      <c r="O298" s="95"/>
      <c r="P298" s="97"/>
      <c r="Q298" s="197"/>
    </row>
    <row r="299" spans="3:17" x14ac:dyDescent="0.25">
      <c r="C299" s="210"/>
      <c r="D299" s="115"/>
      <c r="E299" s="29"/>
      <c r="F299" s="92"/>
      <c r="H299" s="119"/>
      <c r="I299" s="26"/>
      <c r="J299" s="101"/>
      <c r="K299" s="37"/>
      <c r="L299" s="26"/>
      <c r="M299" s="26"/>
      <c r="N299" s="26"/>
      <c r="O299" s="95"/>
      <c r="P299" s="97"/>
      <c r="Q299" s="197"/>
    </row>
    <row r="300" spans="3:17" x14ac:dyDescent="0.25">
      <c r="C300" s="210"/>
      <c r="D300" s="115"/>
      <c r="E300" s="29"/>
      <c r="F300" s="92"/>
      <c r="H300" s="119"/>
      <c r="I300" s="26"/>
      <c r="J300" s="101"/>
      <c r="K300" s="37"/>
      <c r="L300" s="26"/>
      <c r="M300" s="26"/>
      <c r="N300" s="26"/>
      <c r="O300" s="95"/>
      <c r="P300" s="97"/>
      <c r="Q300" s="197"/>
    </row>
    <row r="301" spans="3:17" x14ac:dyDescent="0.25">
      <c r="C301" s="210"/>
      <c r="D301" s="115"/>
      <c r="E301" s="29"/>
      <c r="F301" s="92"/>
      <c r="H301" s="119"/>
      <c r="I301" s="26"/>
      <c r="J301" s="101"/>
      <c r="K301" s="37"/>
      <c r="L301" s="26"/>
      <c r="M301" s="26"/>
      <c r="N301" s="26"/>
      <c r="O301" s="95"/>
      <c r="P301" s="97"/>
      <c r="Q301" s="197"/>
    </row>
    <row r="302" spans="3:17" x14ac:dyDescent="0.25">
      <c r="C302" s="210"/>
      <c r="D302" s="115"/>
      <c r="E302" s="29"/>
      <c r="F302" s="92"/>
      <c r="H302" s="119"/>
      <c r="I302" s="26"/>
      <c r="J302" s="101"/>
      <c r="K302" s="37"/>
      <c r="L302" s="26"/>
      <c r="M302" s="26"/>
      <c r="N302" s="26"/>
      <c r="O302" s="95"/>
      <c r="P302" s="97"/>
      <c r="Q302" s="197"/>
    </row>
    <row r="303" spans="3:17" x14ac:dyDescent="0.25">
      <c r="C303" s="210"/>
      <c r="D303" s="115"/>
      <c r="E303" s="29"/>
      <c r="F303" s="92"/>
      <c r="H303" s="119"/>
      <c r="I303" s="26"/>
      <c r="J303" s="101"/>
      <c r="K303" s="37"/>
      <c r="L303" s="26"/>
      <c r="M303" s="26"/>
      <c r="N303" s="26"/>
      <c r="O303" s="95"/>
      <c r="P303" s="97"/>
      <c r="Q303" s="197"/>
    </row>
    <row r="304" spans="3:17" x14ac:dyDescent="0.25">
      <c r="C304" s="210"/>
      <c r="D304" s="115"/>
      <c r="E304" s="29"/>
      <c r="F304" s="92"/>
      <c r="H304" s="119"/>
      <c r="I304" s="26"/>
      <c r="J304" s="101"/>
      <c r="K304" s="37"/>
      <c r="L304" s="26"/>
      <c r="M304" s="26"/>
      <c r="N304" s="26"/>
      <c r="O304" s="95"/>
      <c r="P304" s="97"/>
      <c r="Q304" s="197"/>
    </row>
    <row r="305" spans="3:17" x14ac:dyDescent="0.25">
      <c r="C305" s="210"/>
      <c r="D305" s="115"/>
      <c r="E305" s="29"/>
      <c r="F305" s="92"/>
      <c r="H305" s="119"/>
      <c r="I305" s="26"/>
      <c r="J305" s="101"/>
      <c r="K305" s="37"/>
      <c r="L305" s="26"/>
      <c r="M305" s="26"/>
      <c r="N305" s="26"/>
      <c r="O305" s="95"/>
      <c r="P305" s="97"/>
      <c r="Q305" s="197"/>
    </row>
    <row r="306" spans="3:17" x14ac:dyDescent="0.25">
      <c r="C306" s="210"/>
      <c r="D306" s="115"/>
      <c r="E306" s="29"/>
      <c r="F306" s="92"/>
      <c r="H306" s="119"/>
      <c r="I306" s="26"/>
      <c r="J306" s="101"/>
      <c r="K306" s="37"/>
      <c r="L306" s="26"/>
      <c r="M306" s="26"/>
      <c r="N306" s="26"/>
      <c r="O306" s="95"/>
      <c r="P306" s="97"/>
      <c r="Q306" s="197"/>
    </row>
    <row r="307" spans="3:17" x14ac:dyDescent="0.25">
      <c r="C307" s="210"/>
      <c r="D307" s="115"/>
      <c r="E307" s="29"/>
      <c r="F307" s="92"/>
      <c r="H307" s="119"/>
      <c r="I307" s="26"/>
      <c r="J307" s="101"/>
      <c r="K307" s="37"/>
      <c r="L307" s="26"/>
      <c r="M307" s="26"/>
      <c r="N307" s="26"/>
      <c r="O307" s="95"/>
      <c r="P307" s="97"/>
      <c r="Q307" s="197"/>
    </row>
    <row r="308" spans="3:17" x14ac:dyDescent="0.25">
      <c r="C308" s="210"/>
      <c r="D308" s="115"/>
      <c r="E308" s="29"/>
      <c r="F308" s="92"/>
      <c r="H308" s="119"/>
      <c r="I308" s="26"/>
      <c r="J308" s="101"/>
      <c r="K308" s="37"/>
      <c r="L308" s="26"/>
      <c r="M308" s="26"/>
      <c r="N308" s="26"/>
      <c r="O308" s="95"/>
      <c r="P308" s="97"/>
      <c r="Q308" s="197"/>
    </row>
    <row r="309" spans="3:17" x14ac:dyDescent="0.25">
      <c r="C309" s="210"/>
      <c r="D309" s="115"/>
      <c r="E309" s="29"/>
      <c r="F309" s="92"/>
      <c r="H309" s="119"/>
      <c r="I309" s="26"/>
      <c r="J309" s="101"/>
      <c r="K309" s="37"/>
      <c r="L309" s="26"/>
      <c r="M309" s="26"/>
      <c r="N309" s="26"/>
      <c r="O309" s="95"/>
      <c r="P309" s="97"/>
      <c r="Q309" s="197"/>
    </row>
    <row r="310" spans="3:17" x14ac:dyDescent="0.25">
      <c r="C310" s="210"/>
      <c r="D310" s="115"/>
      <c r="E310" s="29"/>
      <c r="F310" s="92"/>
      <c r="H310" s="119"/>
      <c r="I310" s="26"/>
      <c r="J310" s="101"/>
      <c r="K310" s="37"/>
      <c r="L310" s="26"/>
      <c r="M310" s="26"/>
      <c r="N310" s="26"/>
      <c r="O310" s="95"/>
      <c r="P310" s="97"/>
      <c r="Q310" s="197"/>
    </row>
    <row r="311" spans="3:17" x14ac:dyDescent="0.25">
      <c r="C311" s="210"/>
      <c r="D311" s="115"/>
      <c r="E311" s="29"/>
      <c r="F311" s="92"/>
      <c r="H311" s="119"/>
      <c r="I311" s="26"/>
      <c r="J311" s="101"/>
      <c r="K311" s="37"/>
      <c r="L311" s="26"/>
      <c r="M311" s="26"/>
      <c r="N311" s="26"/>
      <c r="O311" s="95"/>
      <c r="P311" s="97"/>
      <c r="Q311" s="197"/>
    </row>
    <row r="312" spans="3:17" x14ac:dyDescent="0.25">
      <c r="C312" s="210"/>
      <c r="D312" s="115"/>
      <c r="E312" s="29"/>
      <c r="F312" s="92"/>
      <c r="H312" s="119"/>
      <c r="I312" s="26"/>
      <c r="J312" s="101"/>
      <c r="K312" s="37"/>
      <c r="L312" s="26"/>
      <c r="M312" s="26"/>
      <c r="N312" s="26"/>
      <c r="O312" s="95"/>
      <c r="P312" s="97"/>
      <c r="Q312" s="197"/>
    </row>
    <row r="313" spans="3:17" x14ac:dyDescent="0.25">
      <c r="C313" s="210"/>
      <c r="D313" s="115"/>
      <c r="E313" s="29"/>
      <c r="F313" s="92"/>
      <c r="H313" s="119"/>
      <c r="I313" s="26"/>
      <c r="J313" s="101"/>
      <c r="K313" s="37"/>
      <c r="L313" s="26"/>
      <c r="M313" s="26"/>
      <c r="N313" s="26"/>
      <c r="O313" s="95"/>
      <c r="P313" s="97"/>
      <c r="Q313" s="197"/>
    </row>
    <row r="314" spans="3:17" x14ac:dyDescent="0.25">
      <c r="C314" s="210"/>
      <c r="D314" s="115"/>
      <c r="E314" s="29"/>
      <c r="F314" s="92"/>
      <c r="H314" s="119"/>
      <c r="I314" s="26"/>
      <c r="J314" s="101"/>
      <c r="K314" s="37"/>
      <c r="L314" s="26"/>
      <c r="M314" s="26"/>
      <c r="N314" s="26"/>
      <c r="O314" s="95"/>
      <c r="P314" s="97"/>
      <c r="Q314" s="197"/>
    </row>
    <row r="315" spans="3:17" x14ac:dyDescent="0.25">
      <c r="C315" s="210"/>
      <c r="D315" s="115"/>
      <c r="E315" s="29"/>
      <c r="F315" s="92"/>
      <c r="H315" s="119"/>
      <c r="I315" s="26"/>
      <c r="J315" s="101"/>
      <c r="K315" s="37"/>
      <c r="L315" s="26"/>
      <c r="M315" s="26"/>
      <c r="N315" s="26"/>
      <c r="O315" s="95"/>
      <c r="P315" s="97"/>
      <c r="Q315" s="197"/>
    </row>
    <row r="316" spans="3:17" x14ac:dyDescent="0.25">
      <c r="C316" s="210"/>
      <c r="D316" s="115"/>
      <c r="E316" s="29"/>
      <c r="F316" s="92"/>
      <c r="H316" s="119"/>
      <c r="I316" s="26"/>
      <c r="J316" s="101"/>
      <c r="K316" s="37"/>
      <c r="L316" s="26"/>
      <c r="M316" s="26"/>
      <c r="N316" s="26"/>
      <c r="O316" s="95"/>
      <c r="P316" s="97"/>
      <c r="Q316" s="197"/>
    </row>
    <row r="317" spans="3:17" x14ac:dyDescent="0.25">
      <c r="C317" s="210"/>
      <c r="D317" s="115"/>
      <c r="E317" s="29"/>
      <c r="F317" s="92"/>
      <c r="H317" s="119"/>
      <c r="I317" s="26"/>
      <c r="J317" s="101"/>
      <c r="K317" s="37"/>
      <c r="L317" s="26"/>
      <c r="M317" s="26"/>
      <c r="N317" s="26"/>
      <c r="O317" s="95"/>
      <c r="P317" s="97"/>
      <c r="Q317" s="197"/>
    </row>
    <row r="318" spans="3:17" x14ac:dyDescent="0.25">
      <c r="C318" s="210"/>
      <c r="D318" s="115"/>
      <c r="E318" s="29"/>
      <c r="F318" s="92"/>
      <c r="H318" s="119"/>
      <c r="I318" s="26"/>
      <c r="J318" s="101"/>
      <c r="K318" s="37"/>
      <c r="L318" s="26"/>
      <c r="M318" s="26"/>
      <c r="N318" s="26"/>
      <c r="O318" s="95"/>
      <c r="P318" s="97"/>
      <c r="Q318" s="197"/>
    </row>
    <row r="319" spans="3:17" x14ac:dyDescent="0.25">
      <c r="C319" s="210"/>
      <c r="D319" s="115"/>
      <c r="E319" s="29"/>
      <c r="F319" s="92"/>
      <c r="H319" s="119"/>
      <c r="I319" s="26"/>
      <c r="J319" s="101"/>
      <c r="K319" s="37"/>
      <c r="L319" s="26"/>
      <c r="M319" s="26"/>
      <c r="N319" s="26"/>
      <c r="O319" s="95"/>
      <c r="P319" s="97"/>
      <c r="Q319" s="197"/>
    </row>
    <row r="320" spans="3:17" x14ac:dyDescent="0.25">
      <c r="C320" s="210"/>
      <c r="D320" s="115"/>
      <c r="E320" s="29"/>
      <c r="F320" s="92"/>
      <c r="H320" s="119"/>
      <c r="I320" s="26"/>
      <c r="J320" s="101"/>
      <c r="K320" s="37"/>
      <c r="L320" s="26"/>
      <c r="M320" s="26"/>
      <c r="N320" s="26"/>
      <c r="O320" s="95"/>
      <c r="P320" s="97"/>
      <c r="Q320" s="197"/>
    </row>
    <row r="321" spans="3:17" x14ac:dyDescent="0.25">
      <c r="C321" s="210"/>
      <c r="D321" s="115"/>
      <c r="E321" s="29"/>
      <c r="F321" s="92"/>
      <c r="H321" s="119"/>
      <c r="I321" s="26"/>
      <c r="J321" s="101"/>
      <c r="K321" s="37"/>
      <c r="L321" s="26"/>
      <c r="M321" s="26"/>
      <c r="N321" s="26"/>
      <c r="O321" s="95"/>
      <c r="P321" s="97"/>
      <c r="Q321" s="197"/>
    </row>
    <row r="322" spans="3:17" x14ac:dyDescent="0.25">
      <c r="C322" s="210"/>
      <c r="D322" s="115"/>
      <c r="E322" s="29"/>
      <c r="F322" s="92"/>
      <c r="H322" s="119"/>
      <c r="I322" s="26"/>
      <c r="J322" s="101"/>
      <c r="K322" s="37"/>
      <c r="L322" s="26"/>
      <c r="M322" s="26"/>
      <c r="N322" s="26"/>
      <c r="O322" s="95"/>
      <c r="P322" s="97"/>
      <c r="Q322" s="197"/>
    </row>
    <row r="323" spans="3:17" x14ac:dyDescent="0.25">
      <c r="C323" s="210"/>
      <c r="D323" s="115"/>
      <c r="E323" s="29"/>
      <c r="F323" s="92"/>
      <c r="H323" s="119"/>
      <c r="I323" s="26"/>
      <c r="J323" s="101"/>
      <c r="K323" s="37"/>
      <c r="L323" s="26"/>
      <c r="M323" s="26"/>
      <c r="N323" s="26"/>
      <c r="O323" s="95"/>
      <c r="P323" s="97"/>
      <c r="Q323" s="197"/>
    </row>
    <row r="324" spans="3:17" x14ac:dyDescent="0.25">
      <c r="C324" s="210"/>
      <c r="D324" s="115"/>
      <c r="E324" s="29"/>
      <c r="F324" s="92"/>
      <c r="H324" s="119"/>
      <c r="I324" s="26"/>
      <c r="J324" s="101"/>
      <c r="K324" s="37"/>
      <c r="L324" s="26"/>
      <c r="M324" s="26"/>
      <c r="N324" s="26"/>
      <c r="O324" s="95"/>
      <c r="P324" s="97"/>
      <c r="Q324" s="197"/>
    </row>
    <row r="325" spans="3:17" x14ac:dyDescent="0.25">
      <c r="C325" s="210"/>
      <c r="D325" s="115"/>
      <c r="E325" s="29"/>
      <c r="F325" s="92"/>
      <c r="H325" s="119"/>
      <c r="I325" s="26"/>
      <c r="J325" s="101"/>
      <c r="K325" s="37"/>
      <c r="L325" s="26"/>
      <c r="M325" s="26"/>
      <c r="N325" s="26"/>
      <c r="O325" s="95"/>
      <c r="P325" s="97"/>
      <c r="Q325" s="197"/>
    </row>
    <row r="326" spans="3:17" x14ac:dyDescent="0.25">
      <c r="C326" s="210"/>
      <c r="D326" s="115"/>
      <c r="E326" s="29"/>
      <c r="F326" s="92"/>
      <c r="H326" s="119"/>
      <c r="I326" s="26"/>
      <c r="J326" s="101"/>
      <c r="K326" s="37"/>
      <c r="L326" s="26"/>
      <c r="M326" s="26"/>
      <c r="N326" s="26"/>
      <c r="O326" s="95"/>
      <c r="P326" s="97"/>
      <c r="Q326" s="197"/>
    </row>
    <row r="327" spans="3:17" x14ac:dyDescent="0.25">
      <c r="C327" s="210"/>
      <c r="D327" s="115"/>
      <c r="E327" s="29"/>
      <c r="F327" s="92"/>
      <c r="H327" s="119"/>
      <c r="I327" s="26"/>
      <c r="J327" s="101"/>
      <c r="K327" s="37"/>
      <c r="L327" s="26"/>
      <c r="M327" s="26"/>
      <c r="N327" s="26"/>
      <c r="O327" s="95"/>
      <c r="P327" s="97"/>
      <c r="Q327" s="197"/>
    </row>
    <row r="328" spans="3:17" x14ac:dyDescent="0.25">
      <c r="C328" s="210"/>
      <c r="D328" s="115"/>
      <c r="E328" s="29"/>
      <c r="F328" s="92"/>
      <c r="H328" s="119"/>
      <c r="I328" s="26"/>
      <c r="J328" s="101"/>
      <c r="K328" s="37"/>
      <c r="L328" s="26"/>
      <c r="M328" s="26"/>
      <c r="N328" s="26"/>
      <c r="O328" s="95"/>
      <c r="P328" s="97"/>
      <c r="Q328" s="197"/>
    </row>
    <row r="329" spans="3:17" x14ac:dyDescent="0.25">
      <c r="C329" s="210"/>
      <c r="D329" s="115"/>
      <c r="E329" s="29"/>
      <c r="F329" s="92"/>
      <c r="H329" s="119"/>
      <c r="I329" s="26"/>
      <c r="J329" s="101"/>
      <c r="K329" s="37"/>
      <c r="L329" s="26"/>
      <c r="M329" s="26"/>
      <c r="N329" s="26"/>
      <c r="O329" s="95"/>
      <c r="P329" s="97"/>
      <c r="Q329" s="197"/>
    </row>
    <row r="330" spans="3:17" x14ac:dyDescent="0.25">
      <c r="C330" s="210"/>
      <c r="D330" s="115"/>
      <c r="E330" s="29"/>
      <c r="F330" s="92"/>
      <c r="H330" s="119"/>
      <c r="I330" s="26"/>
      <c r="J330" s="101"/>
      <c r="K330" s="37"/>
      <c r="L330" s="26"/>
      <c r="M330" s="26"/>
      <c r="N330" s="26"/>
      <c r="O330" s="95"/>
      <c r="P330" s="97"/>
      <c r="Q330" s="197"/>
    </row>
    <row r="331" spans="3:17" x14ac:dyDescent="0.25">
      <c r="C331" s="210"/>
      <c r="D331" s="115"/>
      <c r="E331" s="29"/>
      <c r="F331" s="92"/>
      <c r="H331" s="119"/>
      <c r="I331" s="26"/>
      <c r="J331" s="101"/>
      <c r="K331" s="37"/>
      <c r="L331" s="26"/>
      <c r="M331" s="26"/>
      <c r="N331" s="26"/>
      <c r="O331" s="95"/>
      <c r="P331" s="97"/>
      <c r="Q331" s="197"/>
    </row>
    <row r="332" spans="3:17" x14ac:dyDescent="0.25">
      <c r="C332" s="210"/>
      <c r="D332" s="115"/>
      <c r="E332" s="29"/>
      <c r="F332" s="92"/>
      <c r="H332" s="119"/>
      <c r="I332" s="26"/>
      <c r="J332" s="101"/>
      <c r="K332" s="37"/>
      <c r="L332" s="26"/>
      <c r="M332" s="26"/>
      <c r="N332" s="26"/>
      <c r="O332" s="95"/>
      <c r="P332" s="97"/>
      <c r="Q332" s="197"/>
    </row>
    <row r="333" spans="3:17" x14ac:dyDescent="0.25">
      <c r="C333" s="210"/>
      <c r="D333" s="115"/>
      <c r="E333" s="29"/>
      <c r="F333" s="92"/>
      <c r="H333" s="119"/>
      <c r="I333" s="26"/>
      <c r="J333" s="101"/>
      <c r="K333" s="37"/>
      <c r="L333" s="26"/>
      <c r="M333" s="26"/>
      <c r="N333" s="26"/>
      <c r="O333" s="95"/>
      <c r="P333" s="97"/>
      <c r="Q333" s="197"/>
    </row>
    <row r="334" spans="3:17" x14ac:dyDescent="0.25">
      <c r="C334" s="210"/>
      <c r="D334" s="115"/>
      <c r="E334" s="29"/>
      <c r="F334" s="92"/>
      <c r="H334" s="119"/>
      <c r="I334" s="26"/>
      <c r="J334" s="101"/>
      <c r="K334" s="37"/>
      <c r="L334" s="26"/>
      <c r="M334" s="26"/>
      <c r="N334" s="26"/>
      <c r="O334" s="95"/>
      <c r="P334" s="97"/>
      <c r="Q334" s="197"/>
    </row>
    <row r="335" spans="3:17" x14ac:dyDescent="0.25">
      <c r="C335" s="210"/>
      <c r="D335" s="115"/>
      <c r="E335" s="29"/>
      <c r="F335" s="92"/>
      <c r="H335" s="119"/>
      <c r="I335" s="26"/>
      <c r="J335" s="101"/>
      <c r="K335" s="37"/>
      <c r="L335" s="26"/>
      <c r="M335" s="26"/>
      <c r="N335" s="26"/>
      <c r="O335" s="95"/>
      <c r="P335" s="97"/>
      <c r="Q335" s="197"/>
    </row>
    <row r="336" spans="3:17" x14ac:dyDescent="0.25">
      <c r="C336" s="210"/>
      <c r="D336" s="115"/>
      <c r="E336" s="29"/>
      <c r="F336" s="92"/>
      <c r="H336" s="119"/>
      <c r="I336" s="26"/>
      <c r="J336" s="101"/>
      <c r="K336" s="37"/>
      <c r="L336" s="26"/>
      <c r="M336" s="26"/>
      <c r="N336" s="26"/>
      <c r="O336" s="95"/>
      <c r="P336" s="97"/>
      <c r="Q336" s="197"/>
    </row>
    <row r="337" spans="3:17" x14ac:dyDescent="0.25">
      <c r="C337" s="210"/>
      <c r="D337" s="115"/>
      <c r="E337" s="29"/>
      <c r="F337" s="92"/>
      <c r="H337" s="119"/>
      <c r="I337" s="26"/>
      <c r="J337" s="101"/>
      <c r="K337" s="37"/>
      <c r="L337" s="26"/>
      <c r="M337" s="26"/>
      <c r="N337" s="26"/>
      <c r="O337" s="95"/>
      <c r="P337" s="97"/>
      <c r="Q337" s="197"/>
    </row>
    <row r="338" spans="3:17" x14ac:dyDescent="0.25">
      <c r="C338" s="210"/>
      <c r="D338" s="115"/>
      <c r="E338" s="29"/>
      <c r="F338" s="92"/>
      <c r="H338" s="119"/>
      <c r="I338" s="26"/>
      <c r="J338" s="101"/>
      <c r="K338" s="37"/>
      <c r="L338" s="26"/>
      <c r="M338" s="26"/>
      <c r="N338" s="26"/>
      <c r="O338" s="95"/>
      <c r="P338" s="97"/>
      <c r="Q338" s="197"/>
    </row>
    <row r="339" spans="3:17" x14ac:dyDescent="0.25">
      <c r="C339" s="210"/>
      <c r="D339" s="115"/>
      <c r="E339" s="29"/>
      <c r="F339" s="92"/>
      <c r="H339" s="119"/>
      <c r="I339" s="26"/>
      <c r="J339" s="101"/>
      <c r="K339" s="37"/>
      <c r="L339" s="26"/>
      <c r="M339" s="26"/>
      <c r="N339" s="26"/>
      <c r="O339" s="95"/>
      <c r="P339" s="97"/>
      <c r="Q339" s="197"/>
    </row>
    <row r="340" spans="3:17" x14ac:dyDescent="0.25">
      <c r="C340" s="210"/>
      <c r="D340" s="115"/>
      <c r="E340" s="29"/>
      <c r="F340" s="92"/>
      <c r="H340" s="119"/>
      <c r="I340" s="26"/>
      <c r="J340" s="101"/>
      <c r="K340" s="37"/>
      <c r="L340" s="26"/>
      <c r="M340" s="26"/>
      <c r="N340" s="26"/>
      <c r="O340" s="95"/>
      <c r="P340" s="97"/>
      <c r="Q340" s="197"/>
    </row>
    <row r="341" spans="3:17" x14ac:dyDescent="0.25">
      <c r="C341" s="210"/>
      <c r="D341" s="115"/>
      <c r="E341" s="29"/>
      <c r="F341" s="92"/>
      <c r="H341" s="119"/>
      <c r="I341" s="26"/>
      <c r="J341" s="101"/>
      <c r="K341" s="37"/>
      <c r="L341" s="26"/>
      <c r="M341" s="26"/>
      <c r="N341" s="26"/>
      <c r="O341" s="95"/>
      <c r="P341" s="97"/>
      <c r="Q341" s="197"/>
    </row>
    <row r="342" spans="3:17" x14ac:dyDescent="0.25">
      <c r="C342" s="210"/>
      <c r="D342" s="115"/>
      <c r="E342" s="29"/>
      <c r="F342" s="92"/>
      <c r="H342" s="119"/>
      <c r="I342" s="26"/>
      <c r="J342" s="101"/>
      <c r="K342" s="37"/>
      <c r="L342" s="26"/>
      <c r="M342" s="26"/>
      <c r="N342" s="26"/>
      <c r="O342" s="95"/>
      <c r="P342" s="97"/>
      <c r="Q342" s="197"/>
    </row>
    <row r="343" spans="3:17" x14ac:dyDescent="0.25">
      <c r="C343" s="210"/>
      <c r="D343" s="115"/>
      <c r="E343" s="29"/>
      <c r="F343" s="92"/>
      <c r="H343" s="119"/>
      <c r="I343" s="26"/>
      <c r="J343" s="101"/>
      <c r="K343" s="37"/>
      <c r="L343" s="26"/>
      <c r="M343" s="26"/>
      <c r="N343" s="26"/>
      <c r="O343" s="95"/>
      <c r="P343" s="97"/>
      <c r="Q343" s="197"/>
    </row>
    <row r="344" spans="3:17" x14ac:dyDescent="0.25">
      <c r="C344" s="210"/>
      <c r="D344" s="115"/>
      <c r="E344" s="29"/>
      <c r="F344" s="92"/>
      <c r="H344" s="119"/>
      <c r="I344" s="26"/>
      <c r="J344" s="101"/>
      <c r="K344" s="37"/>
      <c r="L344" s="26"/>
      <c r="M344" s="26"/>
      <c r="N344" s="26"/>
      <c r="O344" s="95"/>
      <c r="P344" s="97"/>
      <c r="Q344" s="197"/>
    </row>
    <row r="345" spans="3:17" x14ac:dyDescent="0.25">
      <c r="C345" s="210"/>
      <c r="D345" s="115"/>
      <c r="E345" s="29"/>
      <c r="F345" s="92"/>
      <c r="H345" s="119"/>
      <c r="I345" s="26"/>
      <c r="J345" s="101"/>
      <c r="K345" s="37"/>
      <c r="L345" s="26"/>
      <c r="M345" s="26"/>
      <c r="N345" s="26"/>
      <c r="O345" s="95"/>
      <c r="P345" s="97"/>
      <c r="Q345" s="197"/>
    </row>
    <row r="346" spans="3:17" x14ac:dyDescent="0.25">
      <c r="C346" s="210"/>
      <c r="D346" s="115"/>
      <c r="E346" s="29"/>
      <c r="F346" s="92"/>
      <c r="H346" s="119"/>
      <c r="I346" s="26"/>
      <c r="J346" s="101"/>
      <c r="K346" s="37"/>
      <c r="L346" s="26"/>
      <c r="M346" s="26"/>
      <c r="N346" s="26"/>
      <c r="O346" s="95"/>
      <c r="P346" s="97"/>
      <c r="Q346" s="197"/>
    </row>
    <row r="347" spans="3:17" x14ac:dyDescent="0.25">
      <c r="C347" s="210"/>
      <c r="D347" s="115"/>
      <c r="E347" s="29"/>
      <c r="F347" s="92"/>
      <c r="H347" s="119"/>
      <c r="I347" s="26"/>
      <c r="J347" s="101"/>
      <c r="K347" s="37"/>
      <c r="L347" s="26"/>
      <c r="M347" s="26"/>
      <c r="N347" s="26"/>
      <c r="O347" s="95"/>
      <c r="P347" s="97"/>
      <c r="Q347" s="197"/>
    </row>
    <row r="348" spans="3:17" x14ac:dyDescent="0.25">
      <c r="C348" s="210"/>
      <c r="D348" s="115"/>
      <c r="E348" s="29"/>
      <c r="F348" s="92"/>
      <c r="H348" s="119"/>
      <c r="I348" s="26"/>
      <c r="J348" s="101"/>
      <c r="K348" s="37"/>
      <c r="L348" s="26"/>
      <c r="M348" s="26"/>
      <c r="N348" s="26"/>
      <c r="O348" s="95"/>
      <c r="P348" s="97"/>
      <c r="Q348" s="197"/>
    </row>
    <row r="349" spans="3:17" x14ac:dyDescent="0.25">
      <c r="C349" s="210"/>
      <c r="D349" s="115"/>
      <c r="E349" s="29"/>
      <c r="F349" s="92"/>
      <c r="H349" s="119"/>
      <c r="I349" s="26"/>
      <c r="J349" s="101"/>
      <c r="K349" s="37"/>
      <c r="L349" s="26"/>
      <c r="M349" s="26"/>
      <c r="N349" s="26"/>
      <c r="O349" s="95"/>
      <c r="P349" s="97"/>
      <c r="Q349" s="197"/>
    </row>
    <row r="350" spans="3:17" x14ac:dyDescent="0.25">
      <c r="C350" s="210"/>
      <c r="D350" s="115"/>
      <c r="E350" s="29"/>
      <c r="F350" s="92"/>
      <c r="H350" s="119"/>
      <c r="I350" s="26"/>
      <c r="J350" s="101"/>
      <c r="K350" s="37"/>
      <c r="L350" s="26"/>
      <c r="M350" s="26"/>
      <c r="N350" s="26"/>
      <c r="O350" s="95"/>
      <c r="P350" s="97"/>
      <c r="Q350" s="197"/>
    </row>
    <row r="351" spans="3:17" x14ac:dyDescent="0.25">
      <c r="C351" s="210"/>
      <c r="D351" s="115"/>
      <c r="E351" s="29"/>
      <c r="F351" s="92"/>
      <c r="H351" s="119"/>
      <c r="I351" s="26"/>
      <c r="J351" s="101"/>
      <c r="K351" s="37"/>
      <c r="L351" s="26"/>
      <c r="M351" s="26"/>
      <c r="N351" s="26"/>
      <c r="O351" s="95"/>
      <c r="P351" s="97"/>
      <c r="Q351" s="197"/>
    </row>
    <row r="352" spans="3:17" x14ac:dyDescent="0.25">
      <c r="C352" s="210"/>
      <c r="D352" s="115"/>
      <c r="E352" s="29"/>
      <c r="F352" s="92"/>
      <c r="H352" s="119"/>
      <c r="I352" s="26"/>
      <c r="J352" s="101"/>
      <c r="K352" s="37"/>
      <c r="L352" s="26"/>
      <c r="M352" s="26"/>
      <c r="N352" s="26"/>
      <c r="O352" s="95"/>
      <c r="P352" s="97"/>
      <c r="Q352" s="197"/>
    </row>
    <row r="353" spans="3:17" x14ac:dyDescent="0.25">
      <c r="C353" s="210"/>
      <c r="D353" s="115"/>
      <c r="E353" s="29"/>
      <c r="F353" s="92"/>
      <c r="H353" s="119"/>
      <c r="I353" s="26"/>
      <c r="J353" s="101"/>
      <c r="K353" s="37"/>
      <c r="L353" s="26"/>
      <c r="M353" s="26"/>
      <c r="N353" s="26"/>
      <c r="O353" s="95"/>
      <c r="P353" s="97"/>
      <c r="Q353" s="197"/>
    </row>
    <row r="354" spans="3:17" x14ac:dyDescent="0.25">
      <c r="C354" s="210"/>
      <c r="D354" s="115"/>
      <c r="E354" s="29"/>
      <c r="F354" s="92"/>
      <c r="H354" s="119"/>
      <c r="I354" s="26"/>
      <c r="J354" s="101"/>
      <c r="K354" s="37"/>
      <c r="L354" s="26"/>
      <c r="M354" s="26"/>
      <c r="N354" s="26"/>
      <c r="O354" s="95"/>
      <c r="P354" s="97"/>
      <c r="Q354" s="197"/>
    </row>
    <row r="355" spans="3:17" x14ac:dyDescent="0.25">
      <c r="C355" s="210"/>
      <c r="D355" s="115"/>
      <c r="E355" s="29"/>
      <c r="F355" s="92"/>
      <c r="H355" s="119"/>
      <c r="I355" s="26"/>
      <c r="J355" s="101"/>
      <c r="K355" s="37"/>
      <c r="L355" s="26"/>
      <c r="M355" s="26"/>
      <c r="N355" s="26"/>
      <c r="O355" s="95"/>
      <c r="P355" s="97"/>
      <c r="Q355" s="197"/>
    </row>
    <row r="356" spans="3:17" x14ac:dyDescent="0.25">
      <c r="C356" s="210"/>
      <c r="D356" s="115"/>
      <c r="E356" s="29"/>
      <c r="F356" s="92"/>
      <c r="H356" s="119"/>
      <c r="I356" s="26"/>
      <c r="J356" s="101"/>
      <c r="K356" s="37"/>
      <c r="L356" s="26"/>
      <c r="M356" s="26"/>
      <c r="N356" s="26"/>
      <c r="O356" s="95"/>
      <c r="P356" s="97"/>
      <c r="Q356" s="197"/>
    </row>
    <row r="357" spans="3:17" x14ac:dyDescent="0.25">
      <c r="C357" s="210"/>
      <c r="D357" s="115"/>
      <c r="E357" s="29"/>
      <c r="F357" s="92"/>
      <c r="H357" s="119"/>
      <c r="I357" s="26"/>
      <c r="J357" s="101"/>
      <c r="K357" s="37"/>
      <c r="L357" s="26"/>
      <c r="M357" s="26"/>
      <c r="N357" s="26"/>
      <c r="O357" s="95"/>
      <c r="P357" s="97"/>
      <c r="Q357" s="197"/>
    </row>
    <row r="358" spans="3:17" x14ac:dyDescent="0.25">
      <c r="C358" s="210"/>
      <c r="D358" s="115"/>
      <c r="E358" s="29"/>
      <c r="F358" s="92"/>
      <c r="H358" s="119"/>
      <c r="I358" s="26"/>
      <c r="J358" s="101"/>
      <c r="K358" s="37"/>
      <c r="L358" s="26"/>
      <c r="M358" s="26"/>
      <c r="N358" s="26"/>
      <c r="O358" s="95"/>
      <c r="P358" s="97"/>
      <c r="Q358" s="197"/>
    </row>
    <row r="359" spans="3:17" x14ac:dyDescent="0.25">
      <c r="C359" s="210"/>
      <c r="D359" s="115"/>
      <c r="E359" s="29"/>
      <c r="F359" s="92"/>
      <c r="H359" s="119"/>
      <c r="I359" s="26"/>
      <c r="J359" s="101"/>
      <c r="K359" s="37"/>
      <c r="L359" s="26"/>
      <c r="M359" s="26"/>
      <c r="N359" s="26"/>
      <c r="O359" s="95"/>
      <c r="P359" s="97"/>
      <c r="Q359" s="197"/>
    </row>
    <row r="360" spans="3:17" x14ac:dyDescent="0.25">
      <c r="C360" s="210"/>
      <c r="D360" s="115"/>
      <c r="E360" s="29"/>
      <c r="F360" s="92"/>
      <c r="H360" s="119"/>
      <c r="I360" s="26"/>
      <c r="J360" s="101"/>
      <c r="K360" s="37"/>
      <c r="L360" s="26"/>
      <c r="M360" s="26"/>
      <c r="N360" s="26"/>
      <c r="O360" s="95"/>
      <c r="P360" s="97"/>
      <c r="Q360" s="197"/>
    </row>
    <row r="361" spans="3:17" x14ac:dyDescent="0.25">
      <c r="C361" s="210"/>
      <c r="D361" s="115"/>
      <c r="E361" s="29"/>
      <c r="F361" s="92"/>
      <c r="H361" s="119"/>
      <c r="I361" s="26"/>
      <c r="J361" s="101"/>
      <c r="K361" s="37"/>
      <c r="L361" s="26"/>
      <c r="M361" s="26"/>
      <c r="N361" s="26"/>
      <c r="O361" s="95"/>
      <c r="P361" s="97"/>
      <c r="Q361" s="197"/>
    </row>
    <row r="362" spans="3:17" x14ac:dyDescent="0.25">
      <c r="C362" s="210"/>
      <c r="D362" s="115"/>
      <c r="E362" s="29"/>
      <c r="F362" s="92"/>
      <c r="H362" s="119"/>
      <c r="I362" s="26"/>
      <c r="J362" s="101"/>
      <c r="K362" s="37"/>
      <c r="L362" s="26"/>
      <c r="M362" s="26"/>
      <c r="N362" s="26"/>
      <c r="O362" s="95"/>
      <c r="P362" s="97"/>
      <c r="Q362" s="197"/>
    </row>
    <row r="363" spans="3:17" x14ac:dyDescent="0.25">
      <c r="C363" s="210"/>
      <c r="D363" s="115"/>
      <c r="E363" s="29"/>
      <c r="F363" s="92"/>
      <c r="H363" s="119"/>
      <c r="I363" s="26"/>
      <c r="J363" s="101"/>
      <c r="K363" s="37"/>
      <c r="L363" s="26"/>
      <c r="M363" s="26"/>
      <c r="N363" s="26"/>
      <c r="O363" s="95"/>
      <c r="P363" s="97"/>
      <c r="Q363" s="197"/>
    </row>
    <row r="364" spans="3:17" x14ac:dyDescent="0.25">
      <c r="C364" s="210"/>
      <c r="D364" s="115"/>
      <c r="E364" s="29"/>
      <c r="F364" s="92"/>
      <c r="H364" s="119"/>
      <c r="I364" s="26"/>
      <c r="J364" s="101"/>
      <c r="K364" s="37"/>
      <c r="L364" s="26"/>
      <c r="M364" s="26"/>
      <c r="N364" s="26"/>
      <c r="O364" s="95"/>
      <c r="P364" s="97"/>
      <c r="Q364" s="197"/>
    </row>
    <row r="365" spans="3:17" x14ac:dyDescent="0.25">
      <c r="C365" s="210"/>
      <c r="D365" s="115"/>
      <c r="E365" s="29"/>
      <c r="F365" s="92"/>
      <c r="H365" s="119"/>
      <c r="I365" s="26"/>
      <c r="J365" s="101"/>
      <c r="K365" s="37"/>
      <c r="L365" s="26"/>
      <c r="M365" s="26"/>
      <c r="N365" s="26"/>
      <c r="O365" s="95"/>
      <c r="P365" s="97"/>
      <c r="Q365" s="197"/>
    </row>
    <row r="366" spans="3:17" x14ac:dyDescent="0.25">
      <c r="C366" s="210"/>
      <c r="D366" s="115"/>
      <c r="E366" s="29"/>
      <c r="F366" s="92"/>
      <c r="H366" s="119"/>
      <c r="I366" s="26"/>
      <c r="J366" s="101"/>
      <c r="K366" s="37"/>
      <c r="L366" s="26"/>
      <c r="M366" s="26"/>
      <c r="N366" s="26"/>
      <c r="O366" s="95"/>
      <c r="P366" s="97"/>
      <c r="Q366" s="197"/>
    </row>
    <row r="367" spans="3:17" x14ac:dyDescent="0.25">
      <c r="C367" s="210"/>
      <c r="D367" s="115"/>
      <c r="E367" s="29"/>
      <c r="F367" s="92"/>
      <c r="H367" s="119"/>
      <c r="I367" s="26"/>
      <c r="J367" s="101"/>
      <c r="K367" s="37"/>
      <c r="L367" s="26"/>
      <c r="M367" s="26"/>
      <c r="N367" s="26"/>
      <c r="O367" s="95"/>
      <c r="P367" s="97"/>
      <c r="Q367" s="197"/>
    </row>
    <row r="368" spans="3:17" x14ac:dyDescent="0.25">
      <c r="C368" s="210"/>
      <c r="D368" s="115"/>
      <c r="E368" s="29"/>
      <c r="F368" s="92"/>
      <c r="H368" s="119"/>
      <c r="I368" s="26"/>
      <c r="J368" s="101"/>
      <c r="K368" s="37"/>
      <c r="L368" s="26"/>
      <c r="M368" s="26"/>
      <c r="N368" s="26"/>
      <c r="O368" s="95"/>
      <c r="P368" s="97"/>
      <c r="Q368" s="197"/>
    </row>
    <row r="369" spans="3:17" x14ac:dyDescent="0.25">
      <c r="C369" s="210"/>
      <c r="D369" s="115"/>
      <c r="E369" s="29"/>
      <c r="F369" s="92"/>
      <c r="H369" s="119"/>
      <c r="I369" s="26"/>
      <c r="J369" s="101"/>
      <c r="K369" s="37"/>
      <c r="L369" s="26"/>
      <c r="M369" s="26"/>
      <c r="N369" s="26"/>
      <c r="O369" s="95"/>
      <c r="P369" s="97"/>
      <c r="Q369" s="197"/>
    </row>
    <row r="370" spans="3:17" x14ac:dyDescent="0.25">
      <c r="C370" s="210"/>
      <c r="D370" s="115"/>
      <c r="E370" s="29"/>
      <c r="F370" s="92"/>
      <c r="H370" s="119"/>
      <c r="I370" s="26"/>
      <c r="J370" s="101"/>
      <c r="K370" s="37"/>
      <c r="L370" s="26"/>
      <c r="M370" s="26"/>
      <c r="N370" s="26"/>
      <c r="O370" s="95"/>
      <c r="P370" s="97"/>
      <c r="Q370" s="197"/>
    </row>
    <row r="371" spans="3:17" x14ac:dyDescent="0.25">
      <c r="C371" s="210"/>
      <c r="D371" s="115"/>
      <c r="E371" s="29"/>
      <c r="F371" s="92"/>
      <c r="H371" s="119"/>
      <c r="I371" s="26"/>
      <c r="J371" s="101"/>
      <c r="K371" s="37"/>
      <c r="L371" s="26"/>
      <c r="M371" s="26"/>
      <c r="N371" s="26"/>
      <c r="O371" s="95"/>
      <c r="P371" s="97"/>
      <c r="Q371" s="197"/>
    </row>
    <row r="372" spans="3:17" x14ac:dyDescent="0.25">
      <c r="C372" s="210"/>
      <c r="D372" s="115"/>
      <c r="E372" s="29"/>
      <c r="F372" s="92"/>
      <c r="H372" s="119"/>
      <c r="I372" s="26"/>
      <c r="J372" s="101"/>
      <c r="K372" s="37"/>
      <c r="L372" s="26"/>
      <c r="M372" s="26"/>
      <c r="N372" s="26"/>
      <c r="O372" s="95"/>
      <c r="P372" s="97"/>
      <c r="Q372" s="197"/>
    </row>
    <row r="373" spans="3:17" x14ac:dyDescent="0.25">
      <c r="C373" s="210"/>
      <c r="D373" s="115"/>
      <c r="E373" s="29"/>
      <c r="F373" s="92"/>
      <c r="H373" s="119"/>
      <c r="I373" s="26"/>
      <c r="J373" s="101"/>
      <c r="K373" s="37"/>
      <c r="L373" s="26"/>
      <c r="M373" s="26"/>
      <c r="N373" s="26"/>
      <c r="O373" s="95"/>
      <c r="P373" s="97"/>
      <c r="Q373" s="197"/>
    </row>
    <row r="374" spans="3:17" x14ac:dyDescent="0.25">
      <c r="C374" s="210"/>
      <c r="D374" s="115"/>
      <c r="E374" s="29"/>
      <c r="F374" s="92"/>
      <c r="H374" s="119"/>
      <c r="I374" s="26"/>
      <c r="J374" s="101"/>
      <c r="K374" s="37"/>
      <c r="L374" s="26"/>
      <c r="M374" s="26"/>
      <c r="N374" s="26"/>
      <c r="O374" s="95"/>
      <c r="P374" s="97"/>
      <c r="Q374" s="197"/>
    </row>
    <row r="375" spans="3:17" x14ac:dyDescent="0.25">
      <c r="C375" s="210"/>
      <c r="D375" s="115"/>
      <c r="E375" s="29"/>
      <c r="F375" s="92"/>
      <c r="H375" s="119"/>
      <c r="I375" s="26"/>
      <c r="J375" s="101"/>
      <c r="K375" s="37"/>
      <c r="L375" s="26"/>
      <c r="M375" s="26"/>
      <c r="N375" s="26"/>
      <c r="O375" s="95"/>
      <c r="P375" s="97"/>
      <c r="Q375" s="197"/>
    </row>
    <row r="376" spans="3:17" x14ac:dyDescent="0.25">
      <c r="C376" s="210"/>
      <c r="D376" s="115"/>
      <c r="E376" s="29"/>
      <c r="F376" s="92"/>
      <c r="H376" s="119"/>
      <c r="I376" s="26"/>
      <c r="J376" s="101"/>
      <c r="K376" s="37"/>
      <c r="L376" s="26"/>
      <c r="M376" s="26"/>
      <c r="N376" s="26"/>
      <c r="O376" s="95"/>
      <c r="P376" s="97"/>
      <c r="Q376" s="197"/>
    </row>
    <row r="377" spans="3:17" x14ac:dyDescent="0.25">
      <c r="C377" s="210"/>
      <c r="D377" s="115"/>
      <c r="E377" s="29"/>
      <c r="F377" s="92"/>
      <c r="H377" s="119"/>
      <c r="I377" s="26"/>
      <c r="J377" s="101"/>
      <c r="K377" s="37"/>
      <c r="L377" s="26"/>
      <c r="M377" s="26"/>
      <c r="N377" s="26"/>
      <c r="O377" s="95"/>
      <c r="P377" s="97"/>
      <c r="Q377" s="197"/>
    </row>
    <row r="378" spans="3:17" x14ac:dyDescent="0.25">
      <c r="C378" s="210"/>
      <c r="D378" s="115"/>
      <c r="E378" s="29"/>
      <c r="F378" s="92"/>
      <c r="H378" s="119"/>
      <c r="I378" s="26"/>
      <c r="J378" s="101"/>
      <c r="K378" s="37"/>
      <c r="L378" s="26"/>
      <c r="M378" s="26"/>
      <c r="N378" s="26"/>
      <c r="O378" s="95"/>
      <c r="P378" s="97"/>
      <c r="Q378" s="197"/>
    </row>
    <row r="379" spans="3:17" x14ac:dyDescent="0.25">
      <c r="C379" s="210"/>
      <c r="D379" s="115"/>
      <c r="E379" s="29"/>
      <c r="F379" s="92"/>
      <c r="H379" s="119"/>
      <c r="I379" s="26"/>
      <c r="J379" s="101"/>
      <c r="K379" s="37"/>
      <c r="L379" s="26"/>
      <c r="M379" s="26"/>
      <c r="N379" s="26"/>
      <c r="O379" s="95"/>
      <c r="P379" s="97"/>
      <c r="Q379" s="197"/>
    </row>
    <row r="380" spans="3:17" x14ac:dyDescent="0.25">
      <c r="C380" s="210"/>
      <c r="D380" s="115"/>
      <c r="E380" s="29"/>
      <c r="F380" s="92"/>
      <c r="H380" s="119"/>
      <c r="I380" s="26"/>
      <c r="J380" s="101"/>
      <c r="K380" s="37"/>
      <c r="L380" s="26"/>
      <c r="M380" s="26"/>
      <c r="N380" s="26"/>
      <c r="O380" s="95"/>
      <c r="P380" s="97"/>
      <c r="Q380" s="197"/>
    </row>
    <row r="381" spans="3:17" x14ac:dyDescent="0.25">
      <c r="C381" s="210"/>
      <c r="D381" s="115"/>
      <c r="E381" s="29"/>
      <c r="F381" s="92"/>
      <c r="H381" s="119"/>
      <c r="I381" s="26"/>
      <c r="J381" s="101"/>
      <c r="K381" s="37"/>
      <c r="L381" s="26"/>
      <c r="M381" s="26"/>
      <c r="N381" s="26"/>
      <c r="O381" s="95"/>
      <c r="P381" s="97"/>
      <c r="Q381" s="197"/>
    </row>
    <row r="382" spans="3:17" x14ac:dyDescent="0.25">
      <c r="C382" s="210"/>
      <c r="D382" s="115"/>
      <c r="E382" s="29"/>
      <c r="F382" s="92"/>
      <c r="H382" s="119"/>
      <c r="I382" s="26"/>
      <c r="J382" s="101"/>
      <c r="K382" s="37"/>
      <c r="L382" s="26"/>
      <c r="M382" s="26"/>
      <c r="N382" s="26"/>
      <c r="O382" s="95"/>
      <c r="P382" s="97"/>
      <c r="Q382" s="197"/>
    </row>
    <row r="383" spans="3:17" x14ac:dyDescent="0.25">
      <c r="C383" s="210"/>
      <c r="D383" s="115"/>
      <c r="E383" s="29"/>
      <c r="F383" s="92"/>
      <c r="H383" s="119"/>
      <c r="I383" s="26"/>
      <c r="J383" s="101"/>
      <c r="K383" s="37"/>
      <c r="L383" s="26"/>
      <c r="M383" s="26"/>
      <c r="N383" s="26"/>
      <c r="O383" s="95"/>
      <c r="P383" s="97"/>
      <c r="Q383" s="197"/>
    </row>
    <row r="384" spans="3:17" x14ac:dyDescent="0.25">
      <c r="C384" s="210"/>
      <c r="D384" s="115"/>
      <c r="E384" s="29"/>
      <c r="F384" s="92"/>
      <c r="H384" s="119"/>
      <c r="I384" s="26"/>
      <c r="J384" s="101"/>
      <c r="K384" s="37"/>
      <c r="L384" s="26"/>
      <c r="M384" s="26"/>
      <c r="N384" s="26"/>
      <c r="O384" s="95"/>
      <c r="P384" s="97"/>
      <c r="Q384" s="197"/>
    </row>
    <row r="385" spans="3:17" x14ac:dyDescent="0.25">
      <c r="C385" s="210"/>
      <c r="D385" s="115"/>
      <c r="E385" s="29"/>
      <c r="F385" s="92"/>
      <c r="H385" s="119"/>
      <c r="I385" s="26"/>
      <c r="J385" s="101"/>
      <c r="K385" s="37"/>
      <c r="L385" s="26"/>
      <c r="M385" s="26"/>
      <c r="N385" s="26"/>
      <c r="O385" s="95"/>
      <c r="P385" s="97"/>
      <c r="Q385" s="197"/>
    </row>
    <row r="386" spans="3:17" x14ac:dyDescent="0.25">
      <c r="C386" s="210"/>
      <c r="D386" s="115"/>
      <c r="E386" s="29"/>
      <c r="F386" s="92"/>
      <c r="H386" s="119"/>
      <c r="I386" s="26"/>
      <c r="J386" s="101"/>
      <c r="K386" s="37"/>
      <c r="L386" s="26"/>
      <c r="M386" s="26"/>
      <c r="N386" s="26"/>
      <c r="O386" s="95"/>
      <c r="P386" s="97"/>
      <c r="Q386" s="197"/>
    </row>
    <row r="387" spans="3:17" x14ac:dyDescent="0.25">
      <c r="C387" s="210"/>
      <c r="D387" s="115"/>
      <c r="E387" s="29"/>
      <c r="F387" s="92"/>
      <c r="H387" s="119"/>
      <c r="I387" s="26"/>
      <c r="J387" s="101"/>
      <c r="K387" s="37"/>
      <c r="L387" s="26"/>
      <c r="M387" s="26"/>
      <c r="N387" s="26"/>
      <c r="O387" s="95"/>
      <c r="P387" s="97"/>
      <c r="Q387" s="197"/>
    </row>
    <row r="388" spans="3:17" x14ac:dyDescent="0.25">
      <c r="C388" s="210"/>
      <c r="D388" s="115"/>
      <c r="E388" s="29"/>
      <c r="F388" s="92"/>
      <c r="H388" s="119"/>
      <c r="I388" s="26"/>
      <c r="J388" s="101"/>
      <c r="K388" s="37"/>
      <c r="L388" s="26"/>
      <c r="M388" s="26"/>
      <c r="N388" s="26"/>
      <c r="O388" s="95"/>
      <c r="P388" s="97"/>
      <c r="Q388" s="197"/>
    </row>
    <row r="389" spans="3:17" x14ac:dyDescent="0.25">
      <c r="C389" s="210"/>
      <c r="D389" s="115"/>
      <c r="E389" s="29"/>
      <c r="F389" s="92"/>
      <c r="H389" s="119"/>
      <c r="I389" s="26"/>
      <c r="J389" s="101"/>
      <c r="K389" s="37"/>
      <c r="L389" s="26"/>
      <c r="M389" s="26"/>
      <c r="N389" s="26"/>
      <c r="O389" s="95"/>
      <c r="P389" s="97"/>
      <c r="Q389" s="197"/>
    </row>
    <row r="390" spans="3:17" x14ac:dyDescent="0.25">
      <c r="C390" s="210"/>
      <c r="D390" s="115"/>
      <c r="E390" s="29"/>
      <c r="F390" s="92"/>
      <c r="H390" s="119"/>
      <c r="I390" s="26"/>
      <c r="J390" s="101"/>
      <c r="K390" s="37"/>
      <c r="L390" s="26"/>
      <c r="M390" s="26"/>
      <c r="N390" s="26"/>
      <c r="O390" s="95"/>
      <c r="P390" s="97"/>
      <c r="Q390" s="197"/>
    </row>
    <row r="391" spans="3:17" x14ac:dyDescent="0.25">
      <c r="C391" s="210"/>
      <c r="D391" s="115"/>
      <c r="E391" s="29"/>
      <c r="F391" s="92"/>
      <c r="H391" s="119"/>
      <c r="I391" s="26"/>
      <c r="J391" s="101"/>
      <c r="K391" s="37"/>
      <c r="L391" s="26"/>
      <c r="M391" s="26"/>
      <c r="N391" s="26"/>
      <c r="O391" s="95"/>
      <c r="P391" s="97"/>
      <c r="Q391" s="197"/>
    </row>
    <row r="392" spans="3:17" x14ac:dyDescent="0.25">
      <c r="C392" s="210"/>
      <c r="D392" s="115"/>
      <c r="E392" s="29"/>
      <c r="F392" s="92"/>
      <c r="H392" s="119"/>
      <c r="I392" s="26"/>
      <c r="J392" s="101"/>
      <c r="K392" s="37"/>
      <c r="L392" s="26"/>
      <c r="M392" s="26"/>
      <c r="N392" s="26"/>
      <c r="O392" s="95"/>
      <c r="P392" s="97"/>
      <c r="Q392" s="197"/>
    </row>
    <row r="393" spans="3:17" x14ac:dyDescent="0.25">
      <c r="C393" s="210"/>
      <c r="D393" s="115"/>
      <c r="E393" s="29"/>
      <c r="F393" s="92"/>
      <c r="H393" s="119"/>
      <c r="I393" s="26"/>
      <c r="J393" s="101"/>
      <c r="K393" s="37"/>
      <c r="L393" s="26"/>
      <c r="M393" s="26"/>
      <c r="N393" s="26"/>
      <c r="O393" s="95"/>
      <c r="P393" s="97"/>
      <c r="Q393" s="197"/>
    </row>
    <row r="394" spans="3:17" x14ac:dyDescent="0.25">
      <c r="C394" s="210"/>
      <c r="D394" s="115"/>
      <c r="E394" s="29"/>
      <c r="F394" s="92"/>
      <c r="H394" s="119"/>
      <c r="I394" s="26"/>
      <c r="J394" s="101"/>
      <c r="K394" s="37"/>
      <c r="L394" s="26"/>
      <c r="M394" s="26"/>
      <c r="N394" s="26"/>
      <c r="O394" s="95"/>
      <c r="P394" s="97"/>
      <c r="Q394" s="197"/>
    </row>
    <row r="395" spans="3:17" x14ac:dyDescent="0.25">
      <c r="C395" s="210"/>
      <c r="D395" s="115"/>
      <c r="E395" s="29"/>
      <c r="F395" s="92"/>
      <c r="H395" s="119"/>
      <c r="I395" s="26"/>
      <c r="J395" s="101"/>
      <c r="K395" s="37"/>
      <c r="L395" s="26"/>
      <c r="M395" s="26"/>
      <c r="N395" s="26"/>
      <c r="O395" s="95"/>
      <c r="P395" s="97"/>
      <c r="Q395" s="197"/>
    </row>
    <row r="396" spans="3:17" x14ac:dyDescent="0.25">
      <c r="C396" s="210"/>
      <c r="D396" s="115"/>
      <c r="E396" s="29"/>
      <c r="F396" s="92"/>
      <c r="H396" s="119"/>
      <c r="I396" s="26"/>
      <c r="J396" s="101"/>
      <c r="K396" s="37"/>
      <c r="L396" s="26"/>
      <c r="M396" s="26"/>
      <c r="N396" s="26"/>
      <c r="O396" s="95"/>
      <c r="P396" s="97"/>
      <c r="Q396" s="197"/>
    </row>
    <row r="397" spans="3:17" x14ac:dyDescent="0.25">
      <c r="C397" s="210"/>
      <c r="D397" s="115"/>
      <c r="E397" s="29"/>
      <c r="F397" s="92"/>
      <c r="H397" s="119"/>
      <c r="I397" s="26"/>
      <c r="J397" s="101"/>
      <c r="K397" s="37"/>
      <c r="L397" s="26"/>
      <c r="M397" s="26"/>
      <c r="N397" s="26"/>
      <c r="O397" s="95"/>
      <c r="P397" s="97"/>
      <c r="Q397" s="197"/>
    </row>
    <row r="398" spans="3:17" x14ac:dyDescent="0.25">
      <c r="C398" s="210"/>
      <c r="D398" s="115"/>
      <c r="E398" s="29"/>
      <c r="F398" s="92"/>
      <c r="H398" s="119"/>
      <c r="I398" s="26"/>
      <c r="J398" s="101"/>
      <c r="K398" s="37"/>
      <c r="L398" s="26"/>
      <c r="M398" s="26"/>
      <c r="N398" s="26"/>
      <c r="O398" s="95"/>
      <c r="P398" s="97"/>
      <c r="Q398" s="197"/>
    </row>
    <row r="399" spans="3:17" x14ac:dyDescent="0.25">
      <c r="C399" s="210"/>
      <c r="D399" s="115"/>
      <c r="E399" s="29"/>
      <c r="F399" s="92"/>
      <c r="H399" s="119"/>
      <c r="I399" s="26"/>
      <c r="J399" s="101"/>
      <c r="K399" s="37"/>
      <c r="L399" s="26"/>
      <c r="M399" s="26"/>
      <c r="N399" s="26"/>
      <c r="O399" s="95"/>
      <c r="P399" s="97"/>
      <c r="Q399" s="197"/>
    </row>
    <row r="400" spans="3:17" x14ac:dyDescent="0.25">
      <c r="C400" s="210"/>
      <c r="D400" s="115"/>
      <c r="E400" s="29"/>
      <c r="F400" s="92"/>
      <c r="H400" s="119"/>
      <c r="I400" s="26"/>
      <c r="J400" s="101"/>
      <c r="K400" s="37"/>
      <c r="L400" s="26"/>
      <c r="M400" s="26"/>
      <c r="N400" s="26"/>
      <c r="O400" s="95"/>
      <c r="P400" s="97"/>
      <c r="Q400" s="197"/>
    </row>
    <row r="401" spans="3:17" x14ac:dyDescent="0.25">
      <c r="C401" s="210"/>
      <c r="D401" s="115"/>
      <c r="E401" s="29"/>
      <c r="F401" s="92"/>
      <c r="H401" s="119"/>
      <c r="I401" s="26"/>
      <c r="J401" s="101"/>
      <c r="K401" s="37"/>
      <c r="L401" s="26"/>
      <c r="M401" s="26"/>
      <c r="N401" s="26"/>
      <c r="O401" s="95"/>
      <c r="P401" s="97"/>
      <c r="Q401" s="197"/>
    </row>
    <row r="402" spans="3:17" x14ac:dyDescent="0.25">
      <c r="C402" s="210"/>
      <c r="D402" s="115"/>
      <c r="E402" s="29"/>
      <c r="F402" s="92"/>
      <c r="H402" s="119"/>
      <c r="I402" s="26"/>
      <c r="J402" s="101"/>
      <c r="K402" s="37"/>
      <c r="L402" s="26"/>
      <c r="M402" s="26"/>
      <c r="N402" s="26"/>
      <c r="O402" s="95"/>
      <c r="P402" s="97"/>
      <c r="Q402" s="197"/>
    </row>
    <row r="403" spans="3:17" x14ac:dyDescent="0.25">
      <c r="C403" s="210"/>
      <c r="D403" s="115"/>
      <c r="E403" s="29"/>
      <c r="F403" s="92"/>
      <c r="H403" s="119"/>
      <c r="I403" s="26"/>
      <c r="J403" s="101"/>
      <c r="K403" s="37"/>
      <c r="L403" s="26"/>
      <c r="M403" s="26"/>
      <c r="N403" s="26"/>
      <c r="O403" s="95"/>
      <c r="P403" s="97"/>
      <c r="Q403" s="197"/>
    </row>
    <row r="404" spans="3:17" x14ac:dyDescent="0.25">
      <c r="C404" s="210"/>
      <c r="D404" s="115"/>
      <c r="E404" s="29"/>
      <c r="F404" s="92"/>
      <c r="H404" s="119"/>
      <c r="I404" s="26"/>
      <c r="J404" s="101"/>
      <c r="K404" s="37"/>
      <c r="L404" s="26"/>
      <c r="M404" s="26"/>
      <c r="N404" s="26"/>
      <c r="O404" s="95"/>
      <c r="P404" s="97"/>
      <c r="Q404" s="197"/>
    </row>
    <row r="405" spans="3:17" x14ac:dyDescent="0.25">
      <c r="C405" s="210"/>
      <c r="D405" s="115"/>
      <c r="E405" s="29"/>
      <c r="F405" s="92"/>
      <c r="H405" s="119"/>
      <c r="I405" s="26"/>
      <c r="J405" s="101"/>
      <c r="K405" s="37"/>
      <c r="L405" s="26"/>
      <c r="M405" s="26"/>
      <c r="N405" s="26"/>
      <c r="O405" s="95"/>
      <c r="P405" s="97"/>
      <c r="Q405" s="197"/>
    </row>
    <row r="406" spans="3:17" x14ac:dyDescent="0.25">
      <c r="C406" s="210"/>
      <c r="D406" s="115"/>
      <c r="E406" s="29"/>
      <c r="F406" s="92"/>
      <c r="H406" s="119"/>
      <c r="I406" s="26"/>
      <c r="J406" s="101"/>
      <c r="K406" s="37"/>
      <c r="L406" s="26"/>
      <c r="M406" s="26"/>
      <c r="N406" s="26"/>
      <c r="O406" s="95"/>
      <c r="P406" s="97"/>
      <c r="Q406" s="197"/>
    </row>
    <row r="407" spans="3:17" x14ac:dyDescent="0.25">
      <c r="C407" s="210"/>
      <c r="D407" s="115"/>
      <c r="E407" s="29"/>
      <c r="F407" s="92"/>
      <c r="H407" s="119"/>
      <c r="I407" s="26"/>
      <c r="J407" s="101"/>
      <c r="K407" s="37"/>
      <c r="L407" s="26"/>
      <c r="M407" s="26"/>
      <c r="N407" s="26"/>
      <c r="O407" s="95"/>
      <c r="P407" s="97"/>
      <c r="Q407" s="197"/>
    </row>
    <row r="408" spans="3:17" x14ac:dyDescent="0.25">
      <c r="C408" s="210"/>
      <c r="D408" s="115"/>
      <c r="E408" s="29"/>
      <c r="F408" s="92"/>
      <c r="H408" s="119"/>
      <c r="I408" s="26"/>
      <c r="J408" s="101"/>
      <c r="K408" s="37"/>
      <c r="L408" s="26"/>
      <c r="M408" s="26"/>
      <c r="N408" s="26"/>
      <c r="O408" s="95"/>
      <c r="P408" s="97"/>
      <c r="Q408" s="197"/>
    </row>
    <row r="409" spans="3:17" x14ac:dyDescent="0.25">
      <c r="C409" s="210"/>
      <c r="D409" s="115"/>
      <c r="E409" s="29"/>
      <c r="F409" s="92"/>
      <c r="H409" s="119"/>
      <c r="I409" s="26"/>
      <c r="J409" s="101"/>
      <c r="K409" s="37"/>
      <c r="L409" s="26"/>
      <c r="M409" s="26"/>
      <c r="N409" s="26"/>
      <c r="O409" s="95"/>
      <c r="P409" s="97"/>
      <c r="Q409" s="197"/>
    </row>
    <row r="410" spans="3:17" x14ac:dyDescent="0.25">
      <c r="C410" s="210"/>
      <c r="D410" s="115"/>
      <c r="E410" s="29"/>
      <c r="F410" s="92"/>
      <c r="H410" s="119"/>
      <c r="I410" s="26"/>
      <c r="J410" s="101"/>
      <c r="K410" s="37"/>
      <c r="L410" s="26"/>
      <c r="M410" s="26"/>
      <c r="N410" s="26"/>
      <c r="O410" s="95"/>
      <c r="P410" s="97"/>
      <c r="Q410" s="197"/>
    </row>
    <row r="411" spans="3:17" x14ac:dyDescent="0.25">
      <c r="C411" s="210"/>
      <c r="D411" s="115"/>
      <c r="E411" s="29"/>
      <c r="F411" s="92"/>
      <c r="H411" s="119"/>
      <c r="I411" s="26"/>
      <c r="J411" s="101"/>
      <c r="K411" s="37"/>
      <c r="L411" s="26"/>
      <c r="M411" s="26"/>
      <c r="N411" s="26"/>
      <c r="O411" s="95"/>
      <c r="P411" s="97"/>
      <c r="Q411" s="197"/>
    </row>
    <row r="412" spans="3:17" x14ac:dyDescent="0.25">
      <c r="C412" s="210"/>
      <c r="D412" s="115"/>
      <c r="E412" s="29"/>
      <c r="F412" s="92"/>
      <c r="H412" s="119"/>
      <c r="I412" s="26"/>
      <c r="J412" s="101"/>
      <c r="K412" s="37"/>
      <c r="L412" s="26"/>
      <c r="M412" s="26"/>
      <c r="N412" s="26"/>
      <c r="O412" s="95"/>
      <c r="P412" s="97"/>
      <c r="Q412" s="197"/>
    </row>
    <row r="413" spans="3:17" x14ac:dyDescent="0.25">
      <c r="C413" s="210"/>
      <c r="D413" s="115"/>
      <c r="E413" s="29"/>
      <c r="F413" s="92"/>
      <c r="H413" s="119"/>
      <c r="I413" s="26"/>
      <c r="J413" s="101"/>
      <c r="K413" s="37"/>
      <c r="L413" s="26"/>
      <c r="M413" s="26"/>
      <c r="N413" s="26"/>
      <c r="O413" s="95"/>
      <c r="P413" s="97"/>
      <c r="Q413" s="197"/>
    </row>
    <row r="414" spans="3:17" x14ac:dyDescent="0.25">
      <c r="C414" s="210"/>
      <c r="D414" s="115"/>
      <c r="E414" s="29"/>
      <c r="F414" s="92"/>
      <c r="H414" s="119"/>
      <c r="I414" s="26"/>
      <c r="J414" s="101"/>
      <c r="K414" s="37"/>
      <c r="L414" s="26"/>
      <c r="M414" s="26"/>
      <c r="N414" s="26"/>
      <c r="O414" s="95"/>
      <c r="P414" s="97"/>
      <c r="Q414" s="197"/>
    </row>
    <row r="415" spans="3:17" x14ac:dyDescent="0.25">
      <c r="C415" s="210"/>
      <c r="D415" s="115"/>
      <c r="E415" s="29"/>
      <c r="F415" s="92"/>
      <c r="H415" s="119"/>
      <c r="I415" s="26"/>
      <c r="J415" s="101"/>
      <c r="K415" s="37"/>
      <c r="L415" s="26"/>
      <c r="M415" s="26"/>
      <c r="N415" s="26"/>
      <c r="O415" s="95"/>
      <c r="P415" s="97"/>
      <c r="Q415" s="197"/>
    </row>
    <row r="416" spans="3:17" x14ac:dyDescent="0.25">
      <c r="C416" s="210"/>
      <c r="D416" s="115"/>
      <c r="E416" s="29"/>
      <c r="F416" s="92"/>
      <c r="H416" s="119"/>
      <c r="I416" s="26"/>
      <c r="J416" s="101"/>
      <c r="K416" s="37"/>
      <c r="L416" s="26"/>
      <c r="M416" s="26"/>
      <c r="N416" s="26"/>
      <c r="O416" s="95"/>
      <c r="P416" s="97"/>
      <c r="Q416" s="197"/>
    </row>
    <row r="417" spans="3:17" x14ac:dyDescent="0.25">
      <c r="C417" s="210"/>
      <c r="D417" s="115"/>
      <c r="E417" s="29"/>
      <c r="F417" s="92"/>
      <c r="H417" s="119"/>
      <c r="I417" s="26"/>
      <c r="J417" s="101"/>
      <c r="K417" s="37"/>
      <c r="L417" s="26"/>
      <c r="M417" s="26"/>
      <c r="N417" s="26"/>
      <c r="O417" s="95"/>
      <c r="P417" s="97"/>
      <c r="Q417" s="197"/>
    </row>
    <row r="418" spans="3:17" x14ac:dyDescent="0.25">
      <c r="C418" s="210"/>
      <c r="D418" s="115"/>
      <c r="E418" s="29"/>
      <c r="F418" s="92"/>
      <c r="H418" s="119"/>
      <c r="I418" s="26"/>
      <c r="J418" s="101"/>
      <c r="K418" s="37"/>
      <c r="L418" s="26"/>
      <c r="M418" s="26"/>
      <c r="N418" s="26"/>
      <c r="O418" s="95"/>
      <c r="P418" s="97"/>
      <c r="Q418" s="197"/>
    </row>
    <row r="419" spans="3:17" x14ac:dyDescent="0.25">
      <c r="C419" s="210"/>
      <c r="D419" s="115"/>
      <c r="E419" s="29"/>
      <c r="F419" s="92"/>
      <c r="H419" s="119"/>
      <c r="I419" s="26"/>
      <c r="J419" s="101"/>
      <c r="K419" s="37"/>
      <c r="L419" s="26"/>
      <c r="M419" s="26"/>
      <c r="N419" s="26"/>
      <c r="O419" s="95"/>
      <c r="P419" s="97"/>
      <c r="Q419" s="197"/>
    </row>
    <row r="420" spans="3:17" x14ac:dyDescent="0.25">
      <c r="C420" s="210"/>
      <c r="D420" s="115"/>
      <c r="E420" s="29"/>
      <c r="F420" s="92"/>
      <c r="H420" s="119"/>
      <c r="I420" s="26"/>
      <c r="J420" s="101"/>
      <c r="K420" s="37"/>
      <c r="L420" s="26"/>
      <c r="M420" s="26"/>
      <c r="N420" s="26"/>
      <c r="O420" s="95"/>
      <c r="P420" s="97"/>
      <c r="Q420" s="197"/>
    </row>
    <row r="421" spans="3:17" x14ac:dyDescent="0.25">
      <c r="C421" s="210"/>
      <c r="D421" s="115"/>
      <c r="E421" s="29"/>
      <c r="F421" s="92"/>
      <c r="H421" s="119"/>
      <c r="I421" s="26"/>
      <c r="J421" s="101"/>
      <c r="K421" s="37"/>
      <c r="L421" s="26"/>
      <c r="M421" s="26"/>
      <c r="N421" s="26"/>
      <c r="O421" s="95"/>
      <c r="P421" s="97"/>
      <c r="Q421" s="197"/>
    </row>
    <row r="422" spans="3:17" x14ac:dyDescent="0.25">
      <c r="C422" s="210"/>
      <c r="D422" s="115"/>
      <c r="E422" s="29"/>
      <c r="F422" s="92"/>
      <c r="H422" s="119"/>
      <c r="I422" s="26"/>
      <c r="J422" s="101"/>
      <c r="K422" s="37"/>
      <c r="L422" s="26"/>
      <c r="M422" s="26"/>
      <c r="N422" s="26"/>
      <c r="O422" s="95"/>
      <c r="P422" s="97"/>
      <c r="Q422" s="197"/>
    </row>
    <row r="423" spans="3:17" x14ac:dyDescent="0.25">
      <c r="C423" s="210"/>
      <c r="D423" s="115"/>
      <c r="E423" s="29"/>
      <c r="F423" s="92"/>
      <c r="H423" s="119"/>
      <c r="I423" s="26"/>
      <c r="J423" s="101"/>
      <c r="K423" s="37"/>
      <c r="L423" s="26"/>
      <c r="M423" s="26"/>
      <c r="N423" s="26"/>
      <c r="O423" s="95"/>
      <c r="P423" s="97"/>
      <c r="Q423" s="197"/>
    </row>
    <row r="424" spans="3:17" x14ac:dyDescent="0.25">
      <c r="C424" s="210"/>
      <c r="D424" s="115"/>
      <c r="E424" s="29"/>
      <c r="F424" s="92"/>
      <c r="H424" s="119"/>
      <c r="I424" s="26"/>
      <c r="J424" s="101"/>
      <c r="K424" s="37"/>
      <c r="L424" s="26"/>
      <c r="M424" s="26"/>
      <c r="N424" s="26"/>
      <c r="O424" s="95"/>
      <c r="P424" s="97"/>
      <c r="Q424" s="197"/>
    </row>
    <row r="425" spans="3:17" x14ac:dyDescent="0.25">
      <c r="C425" s="210"/>
      <c r="D425" s="115"/>
      <c r="E425" s="29"/>
      <c r="F425" s="92"/>
      <c r="H425" s="119"/>
      <c r="I425" s="26"/>
      <c r="J425" s="101"/>
      <c r="K425" s="37"/>
      <c r="L425" s="26"/>
      <c r="M425" s="26"/>
      <c r="N425" s="26"/>
      <c r="O425" s="95"/>
      <c r="P425" s="97"/>
      <c r="Q425" s="197"/>
    </row>
    <row r="426" spans="3:17" x14ac:dyDescent="0.25">
      <c r="C426" s="210"/>
      <c r="D426" s="115"/>
      <c r="E426" s="29"/>
      <c r="F426" s="92"/>
      <c r="H426" s="119"/>
      <c r="I426" s="26"/>
      <c r="J426" s="101"/>
      <c r="K426" s="37"/>
      <c r="L426" s="26"/>
      <c r="M426" s="26"/>
      <c r="N426" s="26"/>
      <c r="O426" s="95"/>
      <c r="P426" s="97"/>
      <c r="Q426" s="197"/>
    </row>
    <row r="427" spans="3:17" x14ac:dyDescent="0.25">
      <c r="C427" s="210"/>
      <c r="D427" s="115"/>
      <c r="E427" s="29"/>
      <c r="F427" s="92"/>
      <c r="H427" s="119"/>
      <c r="I427" s="26"/>
      <c r="J427" s="101"/>
      <c r="K427" s="37"/>
      <c r="L427" s="26"/>
      <c r="M427" s="26"/>
      <c r="N427" s="26"/>
      <c r="O427" s="95"/>
      <c r="P427" s="97"/>
      <c r="Q427" s="197"/>
    </row>
    <row r="428" spans="3:17" x14ac:dyDescent="0.25">
      <c r="C428" s="210"/>
      <c r="D428" s="115"/>
      <c r="E428" s="29"/>
      <c r="F428" s="92"/>
      <c r="H428" s="119"/>
      <c r="I428" s="26"/>
      <c r="J428" s="101"/>
      <c r="K428" s="37"/>
      <c r="L428" s="26"/>
      <c r="M428" s="26"/>
      <c r="N428" s="26"/>
      <c r="O428" s="95"/>
      <c r="P428" s="97"/>
      <c r="Q428" s="197"/>
    </row>
    <row r="429" spans="3:17" x14ac:dyDescent="0.25">
      <c r="C429" s="210"/>
      <c r="D429" s="115"/>
      <c r="E429" s="29"/>
      <c r="F429" s="92"/>
      <c r="H429" s="119"/>
      <c r="I429" s="26"/>
      <c r="J429" s="101"/>
      <c r="K429" s="37"/>
      <c r="L429" s="26"/>
      <c r="M429" s="26"/>
      <c r="N429" s="26"/>
      <c r="O429" s="95"/>
      <c r="P429" s="97"/>
      <c r="Q429" s="197"/>
    </row>
    <row r="430" spans="3:17" x14ac:dyDescent="0.25">
      <c r="C430" s="210"/>
      <c r="D430" s="115"/>
      <c r="E430" s="29"/>
      <c r="F430" s="92"/>
      <c r="H430" s="119"/>
      <c r="I430" s="26"/>
      <c r="J430" s="101"/>
      <c r="K430" s="37"/>
      <c r="L430" s="26"/>
      <c r="M430" s="26"/>
      <c r="N430" s="26"/>
      <c r="O430" s="95"/>
      <c r="P430" s="97"/>
      <c r="Q430" s="197"/>
    </row>
    <row r="431" spans="3:17" x14ac:dyDescent="0.25">
      <c r="C431" s="210"/>
      <c r="D431" s="115"/>
      <c r="E431" s="29"/>
      <c r="F431" s="92"/>
      <c r="H431" s="119"/>
      <c r="I431" s="26"/>
      <c r="J431" s="101"/>
      <c r="K431" s="37"/>
      <c r="L431" s="26"/>
      <c r="M431" s="26"/>
      <c r="N431" s="26"/>
      <c r="O431" s="95"/>
      <c r="P431" s="97"/>
      <c r="Q431" s="197"/>
    </row>
    <row r="432" spans="3:17" x14ac:dyDescent="0.25">
      <c r="C432" s="210"/>
      <c r="D432" s="115"/>
      <c r="E432" s="29"/>
      <c r="F432" s="92"/>
      <c r="H432" s="119"/>
      <c r="I432" s="26"/>
      <c r="J432" s="101"/>
      <c r="K432" s="37"/>
      <c r="L432" s="26"/>
      <c r="M432" s="26"/>
      <c r="N432" s="26"/>
      <c r="O432" s="95"/>
      <c r="P432" s="97"/>
      <c r="Q432" s="197"/>
    </row>
    <row r="433" spans="3:17" x14ac:dyDescent="0.25">
      <c r="C433" s="210"/>
      <c r="D433" s="115"/>
      <c r="E433" s="29"/>
      <c r="F433" s="92"/>
      <c r="H433" s="119"/>
      <c r="I433" s="26"/>
      <c r="J433" s="101"/>
      <c r="K433" s="37"/>
      <c r="L433" s="26"/>
      <c r="M433" s="26"/>
      <c r="N433" s="26"/>
      <c r="O433" s="95"/>
      <c r="P433" s="97"/>
      <c r="Q433" s="197"/>
    </row>
    <row r="434" spans="3:17" x14ac:dyDescent="0.25">
      <c r="C434" s="210"/>
      <c r="D434" s="115"/>
      <c r="E434" s="29"/>
      <c r="F434" s="92"/>
      <c r="H434" s="119"/>
      <c r="I434" s="26"/>
      <c r="J434" s="101"/>
      <c r="K434" s="37"/>
      <c r="L434" s="26"/>
      <c r="M434" s="26"/>
      <c r="N434" s="26"/>
      <c r="O434" s="95"/>
      <c r="P434" s="97"/>
      <c r="Q434" s="197"/>
    </row>
    <row r="435" spans="3:17" x14ac:dyDescent="0.25">
      <c r="C435" s="210"/>
      <c r="D435" s="115"/>
      <c r="E435" s="29"/>
      <c r="F435" s="92"/>
      <c r="H435" s="119"/>
      <c r="I435" s="26"/>
      <c r="J435" s="101"/>
      <c r="K435" s="37"/>
      <c r="L435" s="26"/>
      <c r="M435" s="26"/>
      <c r="N435" s="26"/>
      <c r="O435" s="95"/>
      <c r="P435" s="97"/>
      <c r="Q435" s="197"/>
    </row>
    <row r="436" spans="3:17" x14ac:dyDescent="0.25">
      <c r="C436" s="210"/>
      <c r="D436" s="115"/>
      <c r="E436" s="29"/>
      <c r="F436" s="92"/>
      <c r="H436" s="119"/>
      <c r="I436" s="26"/>
      <c r="J436" s="101"/>
      <c r="K436" s="37"/>
      <c r="L436" s="26"/>
      <c r="M436" s="26"/>
      <c r="N436" s="26"/>
      <c r="O436" s="95"/>
      <c r="P436" s="97"/>
      <c r="Q436" s="197"/>
    </row>
    <row r="437" spans="3:17" x14ac:dyDescent="0.25">
      <c r="C437" s="210"/>
      <c r="D437" s="115"/>
      <c r="E437" s="29"/>
      <c r="F437" s="92"/>
      <c r="H437" s="119"/>
      <c r="I437" s="26"/>
      <c r="J437" s="101"/>
      <c r="K437" s="37"/>
      <c r="L437" s="26"/>
      <c r="M437" s="26"/>
      <c r="N437" s="26"/>
      <c r="O437" s="95"/>
      <c r="P437" s="97"/>
      <c r="Q437" s="197"/>
    </row>
    <row r="438" spans="3:17" x14ac:dyDescent="0.25">
      <c r="C438" s="210"/>
      <c r="D438" s="115"/>
      <c r="E438" s="29"/>
      <c r="F438" s="92"/>
      <c r="H438" s="119"/>
      <c r="I438" s="26"/>
      <c r="J438" s="101"/>
      <c r="K438" s="37"/>
      <c r="L438" s="26"/>
      <c r="M438" s="26"/>
      <c r="N438" s="26"/>
      <c r="O438" s="95"/>
      <c r="P438" s="97"/>
      <c r="Q438" s="197"/>
    </row>
    <row r="439" spans="3:17" x14ac:dyDescent="0.25">
      <c r="C439" s="210"/>
      <c r="D439" s="115"/>
      <c r="E439" s="29"/>
      <c r="F439" s="92"/>
      <c r="H439" s="119"/>
      <c r="I439" s="26"/>
      <c r="J439" s="101"/>
      <c r="K439" s="37"/>
      <c r="L439" s="26"/>
      <c r="M439" s="26"/>
      <c r="N439" s="26"/>
      <c r="O439" s="95"/>
      <c r="P439" s="97"/>
      <c r="Q439" s="197"/>
    </row>
    <row r="440" spans="3:17" x14ac:dyDescent="0.25">
      <c r="C440" s="210"/>
      <c r="D440" s="115"/>
      <c r="E440" s="29"/>
      <c r="F440" s="92"/>
      <c r="H440" s="119"/>
      <c r="I440" s="26"/>
      <c r="J440" s="101"/>
      <c r="K440" s="37"/>
      <c r="L440" s="26"/>
      <c r="M440" s="26"/>
      <c r="N440" s="26"/>
      <c r="O440" s="95"/>
      <c r="P440" s="97"/>
      <c r="Q440" s="197"/>
    </row>
    <row r="441" spans="3:17" x14ac:dyDescent="0.25">
      <c r="C441" s="210"/>
      <c r="D441" s="115"/>
      <c r="E441" s="29"/>
      <c r="F441" s="92"/>
      <c r="H441" s="119"/>
      <c r="I441" s="26"/>
      <c r="J441" s="101"/>
      <c r="K441" s="37"/>
      <c r="L441" s="26"/>
      <c r="M441" s="26"/>
      <c r="N441" s="26"/>
      <c r="O441" s="95"/>
      <c r="P441" s="97"/>
      <c r="Q441" s="197"/>
    </row>
    <row r="442" spans="3:17" x14ac:dyDescent="0.25">
      <c r="C442" s="210"/>
      <c r="D442" s="115"/>
      <c r="E442" s="29"/>
      <c r="F442" s="92"/>
      <c r="H442" s="119"/>
      <c r="I442" s="26"/>
      <c r="J442" s="101"/>
      <c r="K442" s="37"/>
      <c r="L442" s="26"/>
      <c r="M442" s="26"/>
      <c r="N442" s="26"/>
      <c r="O442" s="95"/>
      <c r="P442" s="97"/>
      <c r="Q442" s="197"/>
    </row>
    <row r="443" spans="3:17" x14ac:dyDescent="0.25">
      <c r="C443" s="210"/>
      <c r="D443" s="115"/>
      <c r="E443" s="29"/>
      <c r="F443" s="92"/>
      <c r="H443" s="119"/>
      <c r="I443" s="26"/>
      <c r="J443" s="101"/>
      <c r="K443" s="37"/>
      <c r="L443" s="26"/>
      <c r="M443" s="26"/>
      <c r="N443" s="26"/>
      <c r="O443" s="95"/>
      <c r="P443" s="97"/>
      <c r="Q443" s="197"/>
    </row>
    <row r="444" spans="3:17" x14ac:dyDescent="0.25">
      <c r="C444" s="210"/>
      <c r="D444" s="115"/>
      <c r="E444" s="29"/>
      <c r="F444" s="92"/>
      <c r="H444" s="119"/>
      <c r="I444" s="26"/>
      <c r="J444" s="101"/>
      <c r="K444" s="37"/>
      <c r="L444" s="26"/>
      <c r="M444" s="26"/>
      <c r="N444" s="26"/>
      <c r="O444" s="95"/>
      <c r="P444" s="97"/>
      <c r="Q444" s="197"/>
    </row>
    <row r="445" spans="3:17" x14ac:dyDescent="0.25">
      <c r="C445" s="210"/>
      <c r="D445" s="115"/>
      <c r="E445" s="29"/>
      <c r="F445" s="92"/>
      <c r="H445" s="119"/>
      <c r="I445" s="26"/>
      <c r="J445" s="101"/>
      <c r="K445" s="37"/>
      <c r="L445" s="26"/>
      <c r="M445" s="26"/>
      <c r="N445" s="26"/>
      <c r="O445" s="95"/>
      <c r="P445" s="97"/>
      <c r="Q445" s="197"/>
    </row>
    <row r="446" spans="3:17" x14ac:dyDescent="0.25">
      <c r="C446" s="210"/>
      <c r="D446" s="115"/>
      <c r="E446" s="29"/>
      <c r="F446" s="92"/>
      <c r="H446" s="119"/>
      <c r="I446" s="26"/>
      <c r="J446" s="101"/>
      <c r="K446" s="37"/>
      <c r="L446" s="26"/>
      <c r="M446" s="26"/>
      <c r="N446" s="26"/>
      <c r="O446" s="95"/>
      <c r="P446" s="97"/>
      <c r="Q446" s="197"/>
    </row>
    <row r="447" spans="3:17" x14ac:dyDescent="0.25">
      <c r="C447" s="210"/>
      <c r="D447" s="115"/>
      <c r="E447" s="29"/>
      <c r="F447" s="92"/>
      <c r="H447" s="119"/>
      <c r="I447" s="26"/>
      <c r="J447" s="101"/>
      <c r="K447" s="37"/>
      <c r="L447" s="26"/>
      <c r="M447" s="26"/>
      <c r="N447" s="26"/>
      <c r="O447" s="95"/>
      <c r="P447" s="97"/>
      <c r="Q447" s="197"/>
    </row>
    <row r="448" spans="3:17" x14ac:dyDescent="0.25">
      <c r="C448" s="210"/>
      <c r="D448" s="115"/>
      <c r="E448" s="29"/>
      <c r="F448" s="92"/>
      <c r="H448" s="119"/>
      <c r="I448" s="26"/>
      <c r="J448" s="101"/>
      <c r="K448" s="37"/>
      <c r="L448" s="26"/>
      <c r="M448" s="26"/>
      <c r="N448" s="26"/>
      <c r="O448" s="95"/>
      <c r="P448" s="97"/>
      <c r="Q448" s="197"/>
    </row>
    <row r="449" spans="3:17" x14ac:dyDescent="0.25">
      <c r="C449" s="210"/>
      <c r="D449" s="115"/>
      <c r="E449" s="29"/>
      <c r="F449" s="92"/>
      <c r="H449" s="119"/>
      <c r="I449" s="26"/>
      <c r="J449" s="101"/>
      <c r="K449" s="37"/>
      <c r="L449" s="26"/>
      <c r="M449" s="26"/>
      <c r="N449" s="26"/>
      <c r="O449" s="95"/>
      <c r="P449" s="97"/>
      <c r="Q449" s="197"/>
    </row>
    <row r="450" spans="3:17" x14ac:dyDescent="0.25">
      <c r="C450" s="210"/>
      <c r="D450" s="115"/>
      <c r="E450" s="29"/>
      <c r="F450" s="92"/>
      <c r="H450" s="119"/>
      <c r="I450" s="26"/>
      <c r="J450" s="101"/>
      <c r="K450" s="37"/>
      <c r="L450" s="26"/>
      <c r="M450" s="26"/>
      <c r="N450" s="26"/>
      <c r="O450" s="95"/>
      <c r="P450" s="97"/>
      <c r="Q450" s="197"/>
    </row>
    <row r="451" spans="3:17" x14ac:dyDescent="0.25">
      <c r="C451" s="210"/>
      <c r="D451" s="115"/>
      <c r="E451" s="29"/>
      <c r="F451" s="92"/>
      <c r="H451" s="119"/>
      <c r="I451" s="26"/>
      <c r="J451" s="101"/>
      <c r="K451" s="37"/>
      <c r="L451" s="26"/>
      <c r="M451" s="26"/>
      <c r="N451" s="26"/>
      <c r="O451" s="95"/>
      <c r="P451" s="97"/>
      <c r="Q451" s="197"/>
    </row>
    <row r="452" spans="3:17" x14ac:dyDescent="0.25">
      <c r="C452" s="210"/>
      <c r="D452" s="115"/>
      <c r="E452" s="29"/>
      <c r="F452" s="92"/>
      <c r="H452" s="119"/>
      <c r="I452" s="26"/>
      <c r="J452" s="101"/>
      <c r="K452" s="37"/>
      <c r="L452" s="26"/>
      <c r="M452" s="26"/>
      <c r="N452" s="26"/>
      <c r="O452" s="95"/>
      <c r="P452" s="97"/>
      <c r="Q452" s="197"/>
    </row>
    <row r="453" spans="3:17" x14ac:dyDescent="0.25">
      <c r="C453" s="210"/>
      <c r="D453" s="115"/>
      <c r="E453" s="29"/>
      <c r="F453" s="92"/>
      <c r="H453" s="119"/>
      <c r="I453" s="26"/>
      <c r="J453" s="101"/>
      <c r="K453" s="37"/>
      <c r="L453" s="26"/>
      <c r="M453" s="26"/>
      <c r="N453" s="26"/>
      <c r="O453" s="95"/>
      <c r="P453" s="97"/>
      <c r="Q453" s="197"/>
    </row>
    <row r="454" spans="3:17" x14ac:dyDescent="0.25">
      <c r="C454" s="210"/>
      <c r="D454" s="115"/>
      <c r="E454" s="29"/>
      <c r="F454" s="92"/>
      <c r="H454" s="119"/>
      <c r="I454" s="26"/>
      <c r="J454" s="101"/>
      <c r="K454" s="37"/>
      <c r="L454" s="26"/>
      <c r="M454" s="26"/>
      <c r="N454" s="26"/>
      <c r="O454" s="95"/>
      <c r="P454" s="97"/>
      <c r="Q454" s="197"/>
    </row>
    <row r="455" spans="3:17" x14ac:dyDescent="0.25">
      <c r="C455" s="210"/>
      <c r="D455" s="115"/>
      <c r="E455" s="29"/>
      <c r="F455" s="92"/>
      <c r="H455" s="119"/>
      <c r="I455" s="26"/>
      <c r="J455" s="101"/>
      <c r="K455" s="37"/>
      <c r="L455" s="26"/>
      <c r="M455" s="26"/>
      <c r="N455" s="26"/>
      <c r="O455" s="95"/>
      <c r="P455" s="97"/>
      <c r="Q455" s="197"/>
    </row>
    <row r="456" spans="3:17" x14ac:dyDescent="0.25">
      <c r="C456" s="210"/>
      <c r="D456" s="115"/>
      <c r="E456" s="29"/>
      <c r="F456" s="92"/>
      <c r="H456" s="119"/>
      <c r="I456" s="26"/>
      <c r="J456" s="101"/>
      <c r="K456" s="37"/>
      <c r="L456" s="26"/>
      <c r="M456" s="26"/>
      <c r="N456" s="26"/>
      <c r="O456" s="95"/>
      <c r="P456" s="97"/>
      <c r="Q456" s="197"/>
    </row>
    <row r="457" spans="3:17" x14ac:dyDescent="0.25">
      <c r="C457" s="210"/>
      <c r="D457" s="115"/>
      <c r="E457" s="29"/>
      <c r="F457" s="92"/>
      <c r="H457" s="119"/>
      <c r="I457" s="26"/>
      <c r="J457" s="101"/>
      <c r="K457" s="37"/>
      <c r="L457" s="26"/>
      <c r="M457" s="26"/>
      <c r="N457" s="26"/>
      <c r="O457" s="95"/>
      <c r="P457" s="97"/>
      <c r="Q457" s="197"/>
    </row>
    <row r="458" spans="3:17" x14ac:dyDescent="0.25">
      <c r="C458" s="210"/>
      <c r="D458" s="115"/>
      <c r="E458" s="29"/>
      <c r="F458" s="92"/>
      <c r="H458" s="119"/>
      <c r="I458" s="26"/>
      <c r="J458" s="101"/>
      <c r="K458" s="37"/>
      <c r="L458" s="26"/>
      <c r="M458" s="26"/>
      <c r="N458" s="26"/>
      <c r="O458" s="95"/>
      <c r="P458" s="97"/>
      <c r="Q458" s="197"/>
    </row>
    <row r="459" spans="3:17" x14ac:dyDescent="0.25">
      <c r="C459" s="210"/>
      <c r="D459" s="115"/>
      <c r="E459" s="29"/>
      <c r="F459" s="92"/>
      <c r="H459" s="119"/>
      <c r="I459" s="26"/>
      <c r="J459" s="101"/>
      <c r="K459" s="37"/>
      <c r="L459" s="26"/>
      <c r="M459" s="26"/>
      <c r="N459" s="26"/>
      <c r="O459" s="95"/>
      <c r="P459" s="97"/>
      <c r="Q459" s="197"/>
    </row>
    <row r="460" spans="3:17" x14ac:dyDescent="0.25">
      <c r="C460" s="210"/>
      <c r="D460" s="115"/>
      <c r="E460" s="29"/>
      <c r="F460" s="92"/>
      <c r="H460" s="119"/>
      <c r="I460" s="26"/>
      <c r="J460" s="101"/>
      <c r="K460" s="37"/>
      <c r="L460" s="26"/>
      <c r="M460" s="26"/>
      <c r="N460" s="26"/>
      <c r="O460" s="95"/>
      <c r="P460" s="97"/>
      <c r="Q460" s="197"/>
    </row>
    <row r="461" spans="3:17" x14ac:dyDescent="0.25">
      <c r="C461" s="210"/>
      <c r="D461" s="115"/>
      <c r="E461" s="29"/>
      <c r="F461" s="92"/>
      <c r="H461" s="119"/>
      <c r="I461" s="26"/>
      <c r="J461" s="101"/>
      <c r="K461" s="37"/>
      <c r="L461" s="26"/>
      <c r="M461" s="26"/>
      <c r="N461" s="26"/>
      <c r="O461" s="95"/>
      <c r="P461" s="97"/>
      <c r="Q461" s="197"/>
    </row>
    <row r="462" spans="3:17" x14ac:dyDescent="0.25">
      <c r="C462" s="210"/>
      <c r="D462" s="115"/>
      <c r="E462" s="29"/>
      <c r="F462" s="92"/>
      <c r="H462" s="119"/>
      <c r="I462" s="26"/>
      <c r="J462" s="101"/>
      <c r="K462" s="37"/>
      <c r="L462" s="26"/>
      <c r="M462" s="26"/>
      <c r="N462" s="26"/>
      <c r="O462" s="95"/>
      <c r="P462" s="97"/>
      <c r="Q462" s="197"/>
    </row>
    <row r="463" spans="3:17" x14ac:dyDescent="0.25">
      <c r="C463" s="210"/>
      <c r="D463" s="115"/>
      <c r="E463" s="29"/>
      <c r="F463" s="92"/>
      <c r="H463" s="119"/>
      <c r="I463" s="26"/>
      <c r="J463" s="101"/>
      <c r="K463" s="37"/>
      <c r="L463" s="26"/>
      <c r="M463" s="26"/>
      <c r="N463" s="26"/>
      <c r="O463" s="95"/>
      <c r="P463" s="97"/>
      <c r="Q463" s="197"/>
    </row>
    <row r="464" spans="3:17" x14ac:dyDescent="0.25">
      <c r="C464" s="210"/>
      <c r="D464" s="115"/>
      <c r="E464" s="29"/>
      <c r="F464" s="92"/>
      <c r="H464" s="119"/>
      <c r="I464" s="26"/>
      <c r="J464" s="101"/>
      <c r="K464" s="37"/>
      <c r="L464" s="26"/>
      <c r="M464" s="26"/>
      <c r="N464" s="26"/>
      <c r="O464" s="95"/>
      <c r="P464" s="97"/>
      <c r="Q464" s="197"/>
    </row>
    <row r="465" spans="3:17" x14ac:dyDescent="0.25">
      <c r="C465" s="210"/>
      <c r="D465" s="115"/>
      <c r="E465" s="29"/>
      <c r="F465" s="92"/>
      <c r="H465" s="119"/>
      <c r="I465" s="26"/>
      <c r="J465" s="101"/>
      <c r="K465" s="37"/>
      <c r="L465" s="26"/>
      <c r="M465" s="26"/>
      <c r="N465" s="26"/>
      <c r="O465" s="95"/>
      <c r="P465" s="97"/>
      <c r="Q465" s="197"/>
    </row>
    <row r="466" spans="3:17" x14ac:dyDescent="0.25">
      <c r="C466" s="210"/>
      <c r="D466" s="115"/>
      <c r="E466" s="29"/>
      <c r="F466" s="92"/>
      <c r="H466" s="119"/>
      <c r="I466" s="26"/>
      <c r="J466" s="101"/>
      <c r="K466" s="37"/>
      <c r="L466" s="26"/>
      <c r="M466" s="26"/>
      <c r="N466" s="26"/>
      <c r="O466" s="95"/>
      <c r="P466" s="97"/>
      <c r="Q466" s="197"/>
    </row>
    <row r="467" spans="3:17" x14ac:dyDescent="0.25">
      <c r="C467" s="210"/>
      <c r="D467" s="115"/>
      <c r="E467" s="29"/>
      <c r="F467" s="92"/>
      <c r="H467" s="119"/>
      <c r="I467" s="26"/>
      <c r="J467" s="101"/>
      <c r="K467" s="37"/>
      <c r="L467" s="26"/>
      <c r="M467" s="26"/>
      <c r="N467" s="26"/>
      <c r="O467" s="95"/>
      <c r="P467" s="97"/>
      <c r="Q467" s="197"/>
    </row>
    <row r="468" spans="3:17" x14ac:dyDescent="0.25">
      <c r="C468" s="210"/>
      <c r="D468" s="115"/>
      <c r="E468" s="29"/>
      <c r="F468" s="92"/>
      <c r="H468" s="119"/>
      <c r="I468" s="26"/>
      <c r="J468" s="101"/>
      <c r="K468" s="37"/>
      <c r="L468" s="26"/>
      <c r="M468" s="26"/>
      <c r="N468" s="26"/>
      <c r="O468" s="95"/>
      <c r="P468" s="97"/>
      <c r="Q468" s="197"/>
    </row>
    <row r="469" spans="3:17" x14ac:dyDescent="0.25">
      <c r="C469" s="210"/>
      <c r="D469" s="115"/>
      <c r="E469" s="29"/>
      <c r="F469" s="92"/>
      <c r="H469" s="119"/>
      <c r="I469" s="26"/>
      <c r="J469" s="101"/>
      <c r="K469" s="37"/>
      <c r="L469" s="26"/>
      <c r="M469" s="26"/>
      <c r="N469" s="26"/>
      <c r="O469" s="95"/>
      <c r="P469" s="97"/>
      <c r="Q469" s="197"/>
    </row>
    <row r="470" spans="3:17" x14ac:dyDescent="0.25">
      <c r="C470" s="210"/>
      <c r="D470" s="115"/>
      <c r="E470" s="29"/>
      <c r="F470" s="92"/>
      <c r="H470" s="119"/>
      <c r="I470" s="26"/>
      <c r="J470" s="101"/>
      <c r="K470" s="37"/>
      <c r="L470" s="26"/>
      <c r="M470" s="26"/>
      <c r="N470" s="26"/>
      <c r="O470" s="95"/>
      <c r="P470" s="97"/>
      <c r="Q470" s="197"/>
    </row>
    <row r="471" spans="3:17" x14ac:dyDescent="0.25">
      <c r="C471" s="210"/>
      <c r="D471" s="115"/>
      <c r="E471" s="29"/>
      <c r="F471" s="92"/>
      <c r="H471" s="119"/>
      <c r="I471" s="26"/>
      <c r="J471" s="101"/>
      <c r="K471" s="37"/>
      <c r="L471" s="26"/>
      <c r="M471" s="26"/>
      <c r="N471" s="26"/>
      <c r="O471" s="95"/>
      <c r="P471" s="97"/>
      <c r="Q471" s="197"/>
    </row>
    <row r="472" spans="3:17" x14ac:dyDescent="0.25">
      <c r="C472" s="210"/>
      <c r="D472" s="115"/>
      <c r="E472" s="29"/>
      <c r="F472" s="92"/>
      <c r="H472" s="119"/>
      <c r="I472" s="26"/>
      <c r="J472" s="101"/>
      <c r="K472" s="37"/>
      <c r="L472" s="26"/>
      <c r="M472" s="26"/>
      <c r="N472" s="26"/>
      <c r="O472" s="95"/>
      <c r="P472" s="97"/>
      <c r="Q472" s="197"/>
    </row>
    <row r="473" spans="3:17" x14ac:dyDescent="0.25">
      <c r="C473" s="210"/>
      <c r="D473" s="115"/>
      <c r="E473" s="29"/>
      <c r="F473" s="92"/>
      <c r="H473" s="119"/>
      <c r="I473" s="26"/>
      <c r="J473" s="101"/>
      <c r="K473" s="37"/>
      <c r="L473" s="26"/>
      <c r="M473" s="26"/>
      <c r="N473" s="26"/>
      <c r="O473" s="95"/>
      <c r="P473" s="97"/>
      <c r="Q473" s="197"/>
    </row>
    <row r="474" spans="3:17" x14ac:dyDescent="0.25">
      <c r="C474" s="210"/>
      <c r="D474" s="115"/>
      <c r="E474" s="29"/>
      <c r="F474" s="92"/>
      <c r="H474" s="119"/>
      <c r="I474" s="26"/>
      <c r="J474" s="101"/>
      <c r="K474" s="37"/>
      <c r="L474" s="26"/>
      <c r="M474" s="26"/>
      <c r="N474" s="26"/>
      <c r="O474" s="95"/>
      <c r="P474" s="97"/>
      <c r="Q474" s="197"/>
    </row>
    <row r="475" spans="3:17" x14ac:dyDescent="0.25">
      <c r="C475" s="210"/>
      <c r="D475" s="115"/>
      <c r="E475" s="29"/>
      <c r="F475" s="92"/>
      <c r="H475" s="119"/>
      <c r="I475" s="26"/>
      <c r="J475" s="101"/>
      <c r="K475" s="37"/>
      <c r="L475" s="26"/>
      <c r="M475" s="26"/>
      <c r="N475" s="26"/>
      <c r="O475" s="95"/>
      <c r="P475" s="97"/>
      <c r="Q475" s="197"/>
    </row>
    <row r="476" spans="3:17" x14ac:dyDescent="0.25">
      <c r="C476" s="210"/>
      <c r="D476" s="115"/>
      <c r="E476" s="29"/>
      <c r="F476" s="92"/>
      <c r="H476" s="119"/>
      <c r="I476" s="26"/>
      <c r="J476" s="101"/>
      <c r="K476" s="37"/>
      <c r="L476" s="26"/>
      <c r="M476" s="26"/>
      <c r="N476" s="26"/>
      <c r="O476" s="95"/>
      <c r="P476" s="97"/>
      <c r="Q476" s="197"/>
    </row>
    <row r="477" spans="3:17" x14ac:dyDescent="0.25">
      <c r="C477" s="210"/>
      <c r="D477" s="115"/>
      <c r="E477" s="29"/>
      <c r="F477" s="92"/>
      <c r="H477" s="119"/>
      <c r="I477" s="26"/>
      <c r="J477" s="101"/>
      <c r="K477" s="37"/>
      <c r="L477" s="26"/>
      <c r="M477" s="26"/>
      <c r="N477" s="26"/>
      <c r="O477" s="95"/>
      <c r="P477" s="97"/>
      <c r="Q477" s="197"/>
    </row>
    <row r="478" spans="3:17" x14ac:dyDescent="0.25">
      <c r="C478" s="210"/>
      <c r="D478" s="115"/>
      <c r="E478" s="29"/>
      <c r="F478" s="92"/>
      <c r="H478" s="119"/>
      <c r="I478" s="26"/>
      <c r="J478" s="101"/>
      <c r="K478" s="37"/>
      <c r="L478" s="26"/>
      <c r="M478" s="26"/>
      <c r="N478" s="26"/>
      <c r="O478" s="95"/>
      <c r="P478" s="97"/>
      <c r="Q478" s="197"/>
    </row>
    <row r="479" spans="3:17" x14ac:dyDescent="0.25">
      <c r="C479" s="210"/>
      <c r="D479" s="115"/>
      <c r="E479" s="29"/>
      <c r="F479" s="92"/>
      <c r="H479" s="119"/>
      <c r="I479" s="26"/>
      <c r="J479" s="101"/>
      <c r="K479" s="37"/>
      <c r="L479" s="26"/>
      <c r="M479" s="26"/>
      <c r="N479" s="26"/>
      <c r="O479" s="95"/>
      <c r="P479" s="97"/>
      <c r="Q479" s="197"/>
    </row>
    <row r="480" spans="3:17" x14ac:dyDescent="0.25">
      <c r="C480" s="210"/>
      <c r="D480" s="115"/>
      <c r="E480" s="29"/>
      <c r="F480" s="92"/>
      <c r="H480" s="119"/>
      <c r="I480" s="26"/>
      <c r="J480" s="101"/>
      <c r="K480" s="37"/>
      <c r="L480" s="26"/>
      <c r="M480" s="26"/>
      <c r="N480" s="26"/>
      <c r="O480" s="95"/>
      <c r="P480" s="97"/>
      <c r="Q480" s="197"/>
    </row>
    <row r="481" spans="3:17" x14ac:dyDescent="0.25">
      <c r="C481" s="210"/>
      <c r="D481" s="115"/>
      <c r="E481" s="29"/>
      <c r="F481" s="92"/>
      <c r="H481" s="119"/>
      <c r="I481" s="26"/>
      <c r="J481" s="101"/>
      <c r="K481" s="37"/>
      <c r="L481" s="26"/>
      <c r="M481" s="26"/>
      <c r="N481" s="26"/>
      <c r="O481" s="95"/>
      <c r="P481" s="97"/>
      <c r="Q481" s="197"/>
    </row>
    <row r="482" spans="3:17" x14ac:dyDescent="0.25">
      <c r="C482" s="210"/>
      <c r="D482" s="115"/>
      <c r="E482" s="29"/>
      <c r="F482" s="92"/>
      <c r="H482" s="119"/>
      <c r="I482" s="26"/>
      <c r="J482" s="101"/>
      <c r="K482" s="37"/>
      <c r="L482" s="26"/>
      <c r="M482" s="26"/>
      <c r="N482" s="26"/>
      <c r="O482" s="95"/>
      <c r="P482" s="97"/>
      <c r="Q482" s="197"/>
    </row>
    <row r="483" spans="3:17" x14ac:dyDescent="0.25">
      <c r="C483" s="210"/>
      <c r="D483" s="115"/>
      <c r="E483" s="29"/>
      <c r="F483" s="92"/>
      <c r="H483" s="119"/>
      <c r="I483" s="26"/>
      <c r="J483" s="101"/>
      <c r="K483" s="37"/>
      <c r="L483" s="26"/>
      <c r="M483" s="26"/>
      <c r="N483" s="26"/>
      <c r="O483" s="95"/>
      <c r="P483" s="97"/>
      <c r="Q483" s="197"/>
    </row>
    <row r="484" spans="3:17" x14ac:dyDescent="0.25">
      <c r="C484" s="210"/>
      <c r="D484" s="115"/>
      <c r="E484" s="29"/>
      <c r="F484" s="92"/>
      <c r="H484" s="119"/>
      <c r="I484" s="26"/>
      <c r="J484" s="101"/>
      <c r="K484" s="37"/>
      <c r="L484" s="26"/>
      <c r="M484" s="26"/>
      <c r="N484" s="26"/>
      <c r="O484" s="95"/>
      <c r="P484" s="97"/>
      <c r="Q484" s="197"/>
    </row>
    <row r="485" spans="3:17" x14ac:dyDescent="0.25">
      <c r="C485" s="210"/>
      <c r="D485" s="115"/>
      <c r="E485" s="29"/>
      <c r="F485" s="92"/>
      <c r="H485" s="119"/>
      <c r="I485" s="26"/>
      <c r="J485" s="101"/>
      <c r="K485" s="37"/>
      <c r="L485" s="26"/>
      <c r="M485" s="26"/>
      <c r="N485" s="26"/>
      <c r="O485" s="95"/>
      <c r="P485" s="97"/>
      <c r="Q485" s="197"/>
    </row>
    <row r="486" spans="3:17" x14ac:dyDescent="0.25">
      <c r="C486" s="210"/>
      <c r="D486" s="115"/>
      <c r="E486" s="29"/>
      <c r="F486" s="92"/>
      <c r="H486" s="119"/>
      <c r="I486" s="26"/>
      <c r="J486" s="101"/>
      <c r="K486" s="37"/>
      <c r="L486" s="26"/>
      <c r="M486" s="26"/>
      <c r="N486" s="26"/>
      <c r="O486" s="95"/>
      <c r="P486" s="97"/>
      <c r="Q486" s="197"/>
    </row>
    <row r="487" spans="3:17" x14ac:dyDescent="0.25">
      <c r="C487" s="210"/>
      <c r="D487" s="115"/>
      <c r="E487" s="29"/>
      <c r="F487" s="92"/>
      <c r="H487" s="119"/>
      <c r="I487" s="26"/>
      <c r="J487" s="101"/>
      <c r="K487" s="37"/>
      <c r="L487" s="26"/>
      <c r="M487" s="26"/>
      <c r="N487" s="26"/>
      <c r="O487" s="95"/>
      <c r="P487" s="97"/>
      <c r="Q487" s="197"/>
    </row>
    <row r="488" spans="3:17" x14ac:dyDescent="0.25">
      <c r="C488" s="210"/>
      <c r="D488" s="115"/>
      <c r="E488" s="29"/>
      <c r="F488" s="92"/>
      <c r="H488" s="119"/>
      <c r="I488" s="26"/>
      <c r="J488" s="101"/>
      <c r="K488" s="37"/>
      <c r="L488" s="26"/>
      <c r="M488" s="26"/>
      <c r="N488" s="26"/>
      <c r="O488" s="95"/>
      <c r="P488" s="97"/>
      <c r="Q488" s="197"/>
    </row>
    <row r="489" spans="3:17" x14ac:dyDescent="0.25">
      <c r="C489" s="210"/>
      <c r="D489" s="115"/>
      <c r="E489" s="29"/>
      <c r="F489" s="92"/>
      <c r="H489" s="119"/>
      <c r="I489" s="26"/>
      <c r="J489" s="101"/>
      <c r="K489" s="37"/>
      <c r="L489" s="26"/>
      <c r="M489" s="26"/>
      <c r="N489" s="26"/>
      <c r="O489" s="95"/>
      <c r="P489" s="97"/>
      <c r="Q489" s="197"/>
    </row>
    <row r="490" spans="3:17" x14ac:dyDescent="0.25">
      <c r="C490" s="210"/>
      <c r="D490" s="115"/>
      <c r="E490" s="29"/>
      <c r="F490" s="92"/>
      <c r="H490" s="119"/>
      <c r="I490" s="26"/>
      <c r="J490" s="101"/>
      <c r="K490" s="37"/>
      <c r="L490" s="26"/>
      <c r="M490" s="26"/>
      <c r="N490" s="26"/>
      <c r="O490" s="95"/>
      <c r="P490" s="97"/>
      <c r="Q490" s="197"/>
    </row>
    <row r="491" spans="3:17" x14ac:dyDescent="0.25">
      <c r="C491" s="210"/>
      <c r="D491" s="115"/>
      <c r="E491" s="29"/>
      <c r="F491" s="92"/>
      <c r="H491" s="119"/>
      <c r="I491" s="26"/>
      <c r="J491" s="101"/>
      <c r="K491" s="37"/>
      <c r="L491" s="26"/>
      <c r="M491" s="26"/>
      <c r="N491" s="26"/>
      <c r="O491" s="95"/>
      <c r="P491" s="97"/>
      <c r="Q491" s="197"/>
    </row>
    <row r="492" spans="3:17" x14ac:dyDescent="0.25">
      <c r="C492" s="210"/>
      <c r="D492" s="115"/>
      <c r="E492" s="29"/>
      <c r="F492" s="92"/>
      <c r="H492" s="119"/>
      <c r="I492" s="26"/>
      <c r="J492" s="101"/>
      <c r="K492" s="37"/>
      <c r="L492" s="26"/>
      <c r="M492" s="26"/>
      <c r="N492" s="26"/>
      <c r="O492" s="95"/>
      <c r="P492" s="97"/>
      <c r="Q492" s="197"/>
    </row>
    <row r="493" spans="3:17" x14ac:dyDescent="0.25">
      <c r="C493" s="210"/>
      <c r="D493" s="115"/>
      <c r="E493" s="29"/>
      <c r="F493" s="92"/>
      <c r="H493" s="119"/>
      <c r="I493" s="26"/>
      <c r="J493" s="101"/>
      <c r="K493" s="37"/>
      <c r="L493" s="26"/>
      <c r="M493" s="26"/>
      <c r="N493" s="26"/>
      <c r="O493" s="95"/>
      <c r="P493" s="97"/>
      <c r="Q493" s="197"/>
    </row>
    <row r="494" spans="3:17" x14ac:dyDescent="0.25">
      <c r="C494" s="210"/>
      <c r="D494" s="115"/>
      <c r="E494" s="29"/>
      <c r="F494" s="92"/>
      <c r="H494" s="119"/>
      <c r="I494" s="26"/>
      <c r="J494" s="101"/>
      <c r="K494" s="37"/>
      <c r="L494" s="26"/>
      <c r="M494" s="26"/>
      <c r="N494" s="26"/>
      <c r="O494" s="95"/>
      <c r="P494" s="97"/>
      <c r="Q494" s="197"/>
    </row>
    <row r="495" spans="3:17" x14ac:dyDescent="0.25">
      <c r="C495" s="210"/>
      <c r="D495" s="115"/>
      <c r="E495" s="29"/>
      <c r="F495" s="92"/>
      <c r="H495" s="119"/>
      <c r="I495" s="26"/>
      <c r="J495" s="101"/>
      <c r="K495" s="37"/>
      <c r="L495" s="26"/>
      <c r="M495" s="26"/>
      <c r="N495" s="26"/>
      <c r="O495" s="95"/>
      <c r="P495" s="97"/>
      <c r="Q495" s="197"/>
    </row>
    <row r="496" spans="3:17" x14ac:dyDescent="0.25">
      <c r="C496" s="210"/>
      <c r="D496" s="115"/>
      <c r="E496" s="29"/>
      <c r="F496" s="92"/>
      <c r="H496" s="119"/>
      <c r="I496" s="26"/>
      <c r="J496" s="101"/>
      <c r="K496" s="37"/>
      <c r="L496" s="26"/>
      <c r="M496" s="26"/>
      <c r="N496" s="26"/>
      <c r="O496" s="95"/>
      <c r="P496" s="97"/>
      <c r="Q496" s="197"/>
    </row>
    <row r="497" spans="3:17" x14ac:dyDescent="0.25">
      <c r="C497" s="210"/>
      <c r="D497" s="115"/>
      <c r="E497" s="29"/>
      <c r="F497" s="92"/>
      <c r="H497" s="119"/>
      <c r="I497" s="26"/>
      <c r="J497" s="101"/>
      <c r="K497" s="37"/>
      <c r="L497" s="26"/>
      <c r="M497" s="26"/>
      <c r="N497" s="26"/>
      <c r="O497" s="95"/>
      <c r="P497" s="97"/>
      <c r="Q497" s="197"/>
    </row>
    <row r="498" spans="3:17" x14ac:dyDescent="0.25">
      <c r="C498" s="210"/>
      <c r="D498" s="115"/>
      <c r="E498" s="29"/>
      <c r="F498" s="92"/>
      <c r="H498" s="119"/>
      <c r="I498" s="26"/>
      <c r="J498" s="101"/>
      <c r="K498" s="37"/>
      <c r="L498" s="26"/>
      <c r="M498" s="26"/>
      <c r="N498" s="26"/>
      <c r="O498" s="95"/>
      <c r="P498" s="97"/>
      <c r="Q498" s="197"/>
    </row>
    <row r="499" spans="3:17" x14ac:dyDescent="0.25">
      <c r="C499" s="210"/>
      <c r="D499" s="115"/>
      <c r="E499" s="29"/>
      <c r="F499" s="92"/>
      <c r="H499" s="119"/>
      <c r="I499" s="26"/>
      <c r="J499" s="101"/>
      <c r="K499" s="37"/>
      <c r="L499" s="26"/>
      <c r="M499" s="26"/>
      <c r="N499" s="26"/>
      <c r="O499" s="95"/>
      <c r="P499" s="97"/>
      <c r="Q499" s="197"/>
    </row>
    <row r="500" spans="3:17" x14ac:dyDescent="0.25">
      <c r="C500" s="210"/>
      <c r="D500" s="115"/>
      <c r="E500" s="29"/>
      <c r="F500" s="92"/>
      <c r="H500" s="119"/>
      <c r="I500" s="26"/>
      <c r="J500" s="101"/>
      <c r="K500" s="37"/>
      <c r="L500" s="26"/>
      <c r="M500" s="26"/>
      <c r="N500" s="26"/>
      <c r="O500" s="95"/>
      <c r="P500" s="97"/>
      <c r="Q500" s="197"/>
    </row>
    <row r="501" spans="3:17" x14ac:dyDescent="0.25">
      <c r="C501" s="210"/>
      <c r="D501" s="115"/>
      <c r="E501" s="29"/>
      <c r="F501" s="92"/>
      <c r="H501" s="119"/>
      <c r="I501" s="26"/>
      <c r="J501" s="101"/>
      <c r="K501" s="37"/>
      <c r="L501" s="26"/>
      <c r="M501" s="26"/>
      <c r="N501" s="26"/>
      <c r="O501" s="95"/>
      <c r="P501" s="97"/>
      <c r="Q501" s="197"/>
    </row>
    <row r="502" spans="3:17" x14ac:dyDescent="0.25">
      <c r="C502" s="210"/>
      <c r="D502" s="115"/>
      <c r="E502" s="29"/>
      <c r="F502" s="92"/>
      <c r="H502" s="119"/>
      <c r="I502" s="26"/>
      <c r="J502" s="101"/>
      <c r="K502" s="37"/>
      <c r="L502" s="26"/>
      <c r="M502" s="26"/>
      <c r="N502" s="26"/>
      <c r="O502" s="95"/>
      <c r="P502" s="97"/>
      <c r="Q502" s="197"/>
    </row>
    <row r="503" spans="3:17" x14ac:dyDescent="0.25">
      <c r="C503" s="210"/>
      <c r="D503" s="115"/>
      <c r="E503" s="29"/>
      <c r="F503" s="92"/>
      <c r="H503" s="119"/>
      <c r="I503" s="26"/>
      <c r="J503" s="101"/>
      <c r="K503" s="37"/>
      <c r="L503" s="26"/>
      <c r="M503" s="26"/>
      <c r="N503" s="26"/>
      <c r="O503" s="95"/>
      <c r="P503" s="97"/>
      <c r="Q503" s="197"/>
    </row>
    <row r="504" spans="3:17" x14ac:dyDescent="0.25">
      <c r="C504" s="210"/>
      <c r="D504" s="115"/>
      <c r="E504" s="29"/>
      <c r="F504" s="92"/>
      <c r="H504" s="119"/>
      <c r="I504" s="26"/>
      <c r="J504" s="101"/>
      <c r="K504" s="37"/>
      <c r="L504" s="26"/>
      <c r="M504" s="26"/>
      <c r="N504" s="26"/>
      <c r="O504" s="95"/>
      <c r="P504" s="97"/>
      <c r="Q504" s="197"/>
    </row>
    <row r="505" spans="3:17" x14ac:dyDescent="0.25">
      <c r="C505" s="210"/>
      <c r="D505" s="115"/>
      <c r="E505" s="29"/>
      <c r="F505" s="92"/>
      <c r="H505" s="119"/>
      <c r="I505" s="26"/>
      <c r="J505" s="101"/>
      <c r="K505" s="37"/>
      <c r="L505" s="26"/>
      <c r="M505" s="26"/>
      <c r="N505" s="26"/>
      <c r="O505" s="95"/>
      <c r="P505" s="97"/>
      <c r="Q505" s="197"/>
    </row>
    <row r="506" spans="3:17" x14ac:dyDescent="0.25">
      <c r="C506" s="210"/>
      <c r="D506" s="115"/>
      <c r="E506" s="29"/>
      <c r="F506" s="92"/>
      <c r="H506" s="119"/>
      <c r="I506" s="26"/>
      <c r="J506" s="101"/>
      <c r="K506" s="37"/>
      <c r="L506" s="26"/>
      <c r="M506" s="26"/>
      <c r="N506" s="26"/>
      <c r="O506" s="95"/>
      <c r="P506" s="97"/>
      <c r="Q506" s="197"/>
    </row>
    <row r="507" spans="3:17" x14ac:dyDescent="0.25">
      <c r="C507" s="210"/>
      <c r="D507" s="115"/>
      <c r="E507" s="29"/>
      <c r="F507" s="92"/>
      <c r="H507" s="119"/>
      <c r="I507" s="26"/>
      <c r="J507" s="101"/>
      <c r="K507" s="37"/>
      <c r="L507" s="26"/>
      <c r="M507" s="26"/>
      <c r="N507" s="26"/>
      <c r="O507" s="95"/>
      <c r="P507" s="97"/>
      <c r="Q507" s="197"/>
    </row>
    <row r="508" spans="3:17" x14ac:dyDescent="0.25">
      <c r="C508" s="210"/>
      <c r="D508" s="115"/>
      <c r="E508" s="29"/>
      <c r="F508" s="92"/>
      <c r="H508" s="119"/>
      <c r="I508" s="26"/>
      <c r="J508" s="101"/>
      <c r="K508" s="37"/>
      <c r="L508" s="26"/>
      <c r="M508" s="26"/>
      <c r="N508" s="26"/>
      <c r="O508" s="95"/>
      <c r="P508" s="97"/>
      <c r="Q508" s="197"/>
    </row>
    <row r="509" spans="3:17" x14ac:dyDescent="0.25">
      <c r="C509" s="210"/>
      <c r="D509" s="115"/>
      <c r="E509" s="29"/>
      <c r="F509" s="92"/>
      <c r="H509" s="119"/>
      <c r="I509" s="26"/>
      <c r="J509" s="101"/>
      <c r="K509" s="37"/>
      <c r="L509" s="26"/>
      <c r="M509" s="26"/>
      <c r="N509" s="26"/>
      <c r="O509" s="95"/>
      <c r="P509" s="97"/>
      <c r="Q509" s="197"/>
    </row>
    <row r="510" spans="3:17" x14ac:dyDescent="0.25">
      <c r="C510" s="210"/>
      <c r="D510" s="115"/>
      <c r="E510" s="29"/>
      <c r="F510" s="92"/>
      <c r="H510" s="119"/>
      <c r="I510" s="26"/>
      <c r="J510" s="101"/>
      <c r="K510" s="37"/>
      <c r="L510" s="26"/>
      <c r="M510" s="26"/>
      <c r="N510" s="26"/>
      <c r="O510" s="95"/>
      <c r="P510" s="97"/>
      <c r="Q510" s="197"/>
    </row>
    <row r="511" spans="3:17" x14ac:dyDescent="0.25">
      <c r="C511" s="210"/>
      <c r="D511" s="115"/>
      <c r="E511" s="29"/>
      <c r="F511" s="92"/>
      <c r="H511" s="119"/>
      <c r="I511" s="26"/>
      <c r="J511" s="101"/>
      <c r="K511" s="37"/>
      <c r="L511" s="26"/>
      <c r="M511" s="26"/>
      <c r="N511" s="26"/>
      <c r="O511" s="95"/>
      <c r="P511" s="97"/>
      <c r="Q511" s="197"/>
    </row>
    <row r="512" spans="3:17" x14ac:dyDescent="0.25">
      <c r="C512" s="210"/>
      <c r="D512" s="115"/>
      <c r="E512" s="29"/>
      <c r="F512" s="92"/>
      <c r="H512" s="119"/>
      <c r="I512" s="26"/>
      <c r="J512" s="101"/>
      <c r="K512" s="37"/>
      <c r="L512" s="26"/>
      <c r="M512" s="26"/>
      <c r="N512" s="26"/>
      <c r="O512" s="95"/>
      <c r="P512" s="97"/>
      <c r="Q512" s="197"/>
    </row>
    <row r="513" spans="3:17" x14ac:dyDescent="0.25">
      <c r="C513" s="210"/>
      <c r="D513" s="115"/>
      <c r="E513" s="29"/>
      <c r="F513" s="92"/>
      <c r="H513" s="119"/>
      <c r="I513" s="26"/>
      <c r="J513" s="101"/>
      <c r="K513" s="37"/>
      <c r="L513" s="26"/>
      <c r="M513" s="26"/>
      <c r="N513" s="26"/>
      <c r="O513" s="95"/>
      <c r="P513" s="97"/>
      <c r="Q513" s="197"/>
    </row>
    <row r="514" spans="3:17" x14ac:dyDescent="0.25">
      <c r="C514" s="210"/>
      <c r="D514" s="115"/>
      <c r="E514" s="29"/>
      <c r="F514" s="92"/>
      <c r="H514" s="119"/>
      <c r="I514" s="26"/>
      <c r="J514" s="101"/>
      <c r="K514" s="37"/>
      <c r="L514" s="26"/>
      <c r="M514" s="26"/>
      <c r="N514" s="26"/>
      <c r="O514" s="95"/>
      <c r="P514" s="97"/>
      <c r="Q514" s="197"/>
    </row>
    <row r="515" spans="3:17" x14ac:dyDescent="0.25">
      <c r="C515" s="210"/>
      <c r="D515" s="115"/>
      <c r="E515" s="29"/>
      <c r="F515" s="92"/>
      <c r="H515" s="119"/>
      <c r="I515" s="26"/>
      <c r="J515" s="101"/>
      <c r="K515" s="37"/>
      <c r="L515" s="26"/>
      <c r="M515" s="26"/>
      <c r="N515" s="26"/>
      <c r="O515" s="95"/>
      <c r="P515" s="97"/>
      <c r="Q515" s="197"/>
    </row>
    <row r="516" spans="3:17" x14ac:dyDescent="0.25">
      <c r="C516" s="210"/>
      <c r="D516" s="115"/>
      <c r="E516" s="29"/>
      <c r="F516" s="92"/>
      <c r="H516" s="119"/>
      <c r="I516" s="26"/>
      <c r="J516" s="101"/>
      <c r="K516" s="37"/>
      <c r="L516" s="26"/>
      <c r="M516" s="26"/>
      <c r="N516" s="26"/>
      <c r="O516" s="95"/>
      <c r="P516" s="97"/>
      <c r="Q516" s="197"/>
    </row>
    <row r="517" spans="3:17" x14ac:dyDescent="0.25">
      <c r="C517" s="210"/>
      <c r="D517" s="115"/>
      <c r="E517" s="29"/>
      <c r="F517" s="92"/>
      <c r="H517" s="119"/>
      <c r="I517" s="26"/>
      <c r="J517" s="101"/>
      <c r="K517" s="37"/>
      <c r="L517" s="26"/>
      <c r="M517" s="26"/>
      <c r="N517" s="26"/>
      <c r="O517" s="95"/>
      <c r="P517" s="97"/>
      <c r="Q517" s="197"/>
    </row>
    <row r="518" spans="3:17" x14ac:dyDescent="0.25">
      <c r="C518" s="210"/>
      <c r="D518" s="115"/>
      <c r="E518" s="29"/>
      <c r="F518" s="92"/>
      <c r="H518" s="119"/>
      <c r="I518" s="26"/>
      <c r="J518" s="101"/>
      <c r="K518" s="37"/>
      <c r="L518" s="26"/>
      <c r="M518" s="26"/>
      <c r="N518" s="26"/>
      <c r="O518" s="95"/>
      <c r="P518" s="97"/>
      <c r="Q518" s="197"/>
    </row>
    <row r="519" spans="3:17" x14ac:dyDescent="0.25">
      <c r="C519" s="210"/>
      <c r="D519" s="115"/>
      <c r="E519" s="29"/>
      <c r="F519" s="92"/>
      <c r="H519" s="119"/>
      <c r="I519" s="26"/>
      <c r="J519" s="101"/>
      <c r="K519" s="37"/>
      <c r="L519" s="26"/>
      <c r="M519" s="26"/>
      <c r="N519" s="26"/>
      <c r="O519" s="95"/>
      <c r="P519" s="97"/>
      <c r="Q519" s="197"/>
    </row>
    <row r="520" spans="3:17" x14ac:dyDescent="0.25">
      <c r="C520" s="210"/>
      <c r="D520" s="115"/>
      <c r="E520" s="29"/>
      <c r="F520" s="92"/>
      <c r="H520" s="119"/>
      <c r="I520" s="26"/>
      <c r="J520" s="101"/>
      <c r="K520" s="37"/>
      <c r="L520" s="26"/>
      <c r="M520" s="26"/>
      <c r="N520" s="26"/>
      <c r="O520" s="95"/>
      <c r="P520" s="97"/>
      <c r="Q520" s="197"/>
    </row>
    <row r="521" spans="3:17" x14ac:dyDescent="0.25">
      <c r="C521" s="210"/>
      <c r="D521" s="115"/>
      <c r="E521" s="29"/>
      <c r="F521" s="92"/>
      <c r="H521" s="119"/>
      <c r="I521" s="26"/>
      <c r="J521" s="101"/>
      <c r="K521" s="37"/>
      <c r="L521" s="26"/>
      <c r="M521" s="26"/>
      <c r="N521" s="26"/>
      <c r="O521" s="95"/>
      <c r="P521" s="97"/>
      <c r="Q521" s="197"/>
    </row>
    <row r="522" spans="3:17" x14ac:dyDescent="0.25">
      <c r="C522" s="210"/>
      <c r="D522" s="115"/>
      <c r="E522" s="29"/>
      <c r="F522" s="92"/>
      <c r="H522" s="119"/>
      <c r="I522" s="26"/>
      <c r="J522" s="101"/>
      <c r="K522" s="37"/>
      <c r="L522" s="26"/>
      <c r="M522" s="26"/>
      <c r="N522" s="26"/>
      <c r="O522" s="95"/>
      <c r="P522" s="97"/>
      <c r="Q522" s="197"/>
    </row>
    <row r="523" spans="3:17" x14ac:dyDescent="0.25">
      <c r="C523" s="210"/>
      <c r="D523" s="115"/>
      <c r="E523" s="29"/>
      <c r="F523" s="92"/>
      <c r="H523" s="119"/>
      <c r="I523" s="26"/>
      <c r="J523" s="101"/>
      <c r="K523" s="37"/>
      <c r="L523" s="26"/>
      <c r="M523" s="26"/>
      <c r="N523" s="26"/>
      <c r="O523" s="95"/>
      <c r="P523" s="97"/>
      <c r="Q523" s="197"/>
    </row>
    <row r="524" spans="3:17" x14ac:dyDescent="0.25">
      <c r="C524" s="210"/>
      <c r="D524" s="115"/>
      <c r="E524" s="29"/>
      <c r="F524" s="92"/>
      <c r="H524" s="119"/>
      <c r="I524" s="26"/>
      <c r="J524" s="101"/>
      <c r="K524" s="37"/>
      <c r="L524" s="26"/>
      <c r="M524" s="26"/>
      <c r="N524" s="26"/>
      <c r="O524" s="95"/>
      <c r="P524" s="97"/>
      <c r="Q524" s="197"/>
    </row>
    <row r="525" spans="3:17" x14ac:dyDescent="0.25">
      <c r="C525" s="210"/>
      <c r="D525" s="115"/>
      <c r="E525" s="29"/>
      <c r="F525" s="92"/>
      <c r="H525" s="119"/>
      <c r="I525" s="26"/>
      <c r="J525" s="101"/>
      <c r="K525" s="37"/>
      <c r="L525" s="26"/>
      <c r="M525" s="26"/>
      <c r="N525" s="26"/>
      <c r="O525" s="95"/>
      <c r="P525" s="97"/>
      <c r="Q525" s="197"/>
    </row>
    <row r="526" spans="3:17" x14ac:dyDescent="0.25">
      <c r="C526" s="210"/>
      <c r="D526" s="115"/>
      <c r="E526" s="29"/>
      <c r="F526" s="92"/>
      <c r="H526" s="119"/>
      <c r="I526" s="26"/>
      <c r="J526" s="101"/>
      <c r="K526" s="37"/>
      <c r="L526" s="26"/>
      <c r="M526" s="26"/>
      <c r="N526" s="26"/>
      <c r="O526" s="95"/>
      <c r="P526" s="97"/>
      <c r="Q526" s="197"/>
    </row>
    <row r="527" spans="3:17" x14ac:dyDescent="0.25">
      <c r="C527" s="210"/>
      <c r="D527" s="115"/>
      <c r="E527" s="29"/>
      <c r="F527" s="92"/>
      <c r="H527" s="119"/>
      <c r="I527" s="26"/>
      <c r="J527" s="101"/>
      <c r="K527" s="37"/>
      <c r="L527" s="26"/>
      <c r="M527" s="26"/>
      <c r="N527" s="26"/>
      <c r="O527" s="95"/>
      <c r="P527" s="97"/>
      <c r="Q527" s="197"/>
    </row>
    <row r="528" spans="3:17" x14ac:dyDescent="0.25">
      <c r="C528" s="210"/>
      <c r="D528" s="115"/>
      <c r="E528" s="29"/>
      <c r="F528" s="92"/>
      <c r="H528" s="119"/>
      <c r="I528" s="26"/>
      <c r="J528" s="101"/>
      <c r="K528" s="37"/>
      <c r="L528" s="26"/>
      <c r="M528" s="26"/>
      <c r="N528" s="26"/>
      <c r="O528" s="95"/>
      <c r="P528" s="97"/>
      <c r="Q528" s="197"/>
    </row>
    <row r="529" spans="3:17" x14ac:dyDescent="0.25">
      <c r="C529" s="210"/>
      <c r="D529" s="115"/>
      <c r="E529" s="29"/>
      <c r="F529" s="92"/>
      <c r="H529" s="119"/>
      <c r="I529" s="26"/>
      <c r="J529" s="101"/>
      <c r="K529" s="37"/>
      <c r="L529" s="26"/>
      <c r="M529" s="26"/>
      <c r="N529" s="26"/>
      <c r="O529" s="95"/>
      <c r="P529" s="97"/>
      <c r="Q529" s="197"/>
    </row>
    <row r="530" spans="3:17" x14ac:dyDescent="0.25">
      <c r="C530" s="210"/>
      <c r="D530" s="115"/>
      <c r="E530" s="29"/>
      <c r="F530" s="92"/>
      <c r="H530" s="119"/>
      <c r="I530" s="26"/>
      <c r="J530" s="101"/>
      <c r="K530" s="37"/>
      <c r="L530" s="26"/>
      <c r="M530" s="26"/>
      <c r="N530" s="26"/>
      <c r="O530" s="95"/>
      <c r="P530" s="97"/>
      <c r="Q530" s="197"/>
    </row>
    <row r="531" spans="3:17" x14ac:dyDescent="0.25">
      <c r="C531" s="210"/>
      <c r="D531" s="115"/>
      <c r="E531" s="29"/>
      <c r="F531" s="92"/>
      <c r="H531" s="119"/>
      <c r="I531" s="26"/>
      <c r="J531" s="101"/>
      <c r="K531" s="37"/>
      <c r="L531" s="26"/>
      <c r="M531" s="26"/>
      <c r="N531" s="26"/>
      <c r="O531" s="95"/>
      <c r="P531" s="97"/>
      <c r="Q531" s="197"/>
    </row>
    <row r="532" spans="3:17" x14ac:dyDescent="0.25">
      <c r="C532" s="210"/>
      <c r="D532" s="115"/>
      <c r="E532" s="29"/>
      <c r="F532" s="92"/>
      <c r="H532" s="119"/>
      <c r="I532" s="26"/>
      <c r="J532" s="101"/>
      <c r="K532" s="37"/>
      <c r="L532" s="26"/>
      <c r="M532" s="26"/>
      <c r="N532" s="26"/>
      <c r="O532" s="95"/>
      <c r="P532" s="97"/>
      <c r="Q532" s="197"/>
    </row>
    <row r="533" spans="3:17" x14ac:dyDescent="0.25">
      <c r="C533" s="210"/>
      <c r="D533" s="115"/>
      <c r="E533" s="29"/>
      <c r="F533" s="92"/>
      <c r="H533" s="119"/>
      <c r="I533" s="26"/>
      <c r="J533" s="101"/>
      <c r="K533" s="37"/>
      <c r="L533" s="26"/>
      <c r="M533" s="26"/>
      <c r="N533" s="26"/>
      <c r="O533" s="95"/>
      <c r="P533" s="97"/>
      <c r="Q533" s="197"/>
    </row>
    <row r="534" spans="3:17" x14ac:dyDescent="0.25">
      <c r="C534" s="210"/>
      <c r="D534" s="115"/>
      <c r="E534" s="29"/>
      <c r="F534" s="92"/>
      <c r="H534" s="119"/>
      <c r="I534" s="26"/>
      <c r="J534" s="101"/>
      <c r="K534" s="37"/>
      <c r="L534" s="26"/>
      <c r="M534" s="26"/>
      <c r="N534" s="26"/>
      <c r="O534" s="95"/>
      <c r="P534" s="97"/>
      <c r="Q534" s="197"/>
    </row>
    <row r="535" spans="3:17" x14ac:dyDescent="0.25">
      <c r="C535" s="210"/>
      <c r="D535" s="115"/>
      <c r="E535" s="29"/>
      <c r="F535" s="92"/>
      <c r="H535" s="119"/>
      <c r="I535" s="26"/>
      <c r="J535" s="101"/>
      <c r="K535" s="37"/>
      <c r="L535" s="26"/>
      <c r="M535" s="26"/>
      <c r="N535" s="26"/>
      <c r="O535" s="95"/>
      <c r="P535" s="97"/>
      <c r="Q535" s="197"/>
    </row>
    <row r="536" spans="3:17" x14ac:dyDescent="0.25">
      <c r="C536" s="210"/>
      <c r="D536" s="115"/>
      <c r="E536" s="29"/>
      <c r="F536" s="92"/>
      <c r="H536" s="119"/>
      <c r="I536" s="26"/>
      <c r="J536" s="101"/>
      <c r="K536" s="37"/>
      <c r="L536" s="26"/>
      <c r="M536" s="26"/>
      <c r="N536" s="26"/>
      <c r="O536" s="95"/>
      <c r="P536" s="97"/>
      <c r="Q536" s="197"/>
    </row>
    <row r="537" spans="3:17" x14ac:dyDescent="0.25">
      <c r="C537" s="210"/>
      <c r="D537" s="115"/>
      <c r="E537" s="29"/>
      <c r="F537" s="92"/>
      <c r="H537" s="119"/>
      <c r="I537" s="26"/>
      <c r="J537" s="101"/>
      <c r="K537" s="37"/>
      <c r="L537" s="26"/>
      <c r="M537" s="26"/>
      <c r="N537" s="26"/>
      <c r="O537" s="95"/>
      <c r="P537" s="97"/>
      <c r="Q537" s="197"/>
    </row>
    <row r="538" spans="3:17" x14ac:dyDescent="0.25">
      <c r="C538" s="210"/>
      <c r="D538" s="115"/>
      <c r="E538" s="29"/>
      <c r="F538" s="92"/>
      <c r="H538" s="119"/>
      <c r="I538" s="26"/>
      <c r="J538" s="101"/>
      <c r="K538" s="37"/>
      <c r="L538" s="26"/>
      <c r="M538" s="26"/>
      <c r="N538" s="26"/>
      <c r="O538" s="95"/>
      <c r="P538" s="97"/>
      <c r="Q538" s="197"/>
    </row>
    <row r="539" spans="3:17" x14ac:dyDescent="0.25">
      <c r="C539" s="210"/>
      <c r="D539" s="115"/>
      <c r="E539" s="29"/>
      <c r="F539" s="92"/>
      <c r="H539" s="119"/>
      <c r="I539" s="26"/>
      <c r="J539" s="101"/>
      <c r="K539" s="37"/>
      <c r="L539" s="26"/>
      <c r="M539" s="26"/>
      <c r="N539" s="26"/>
      <c r="O539" s="95"/>
      <c r="P539" s="97"/>
      <c r="Q539" s="197"/>
    </row>
    <row r="540" spans="3:17" x14ac:dyDescent="0.25">
      <c r="C540" s="210"/>
      <c r="D540" s="115"/>
      <c r="E540" s="29"/>
      <c r="F540" s="92"/>
      <c r="H540" s="119"/>
      <c r="I540" s="26"/>
      <c r="J540" s="101"/>
      <c r="K540" s="37"/>
      <c r="L540" s="26"/>
      <c r="M540" s="26"/>
      <c r="N540" s="26"/>
      <c r="O540" s="95"/>
      <c r="P540" s="97"/>
      <c r="Q540" s="197"/>
    </row>
    <row r="541" spans="3:17" x14ac:dyDescent="0.25">
      <c r="C541" s="210"/>
      <c r="D541" s="115"/>
      <c r="E541" s="29"/>
      <c r="F541" s="92"/>
      <c r="H541" s="119"/>
      <c r="I541" s="26"/>
      <c r="J541" s="101"/>
      <c r="K541" s="37"/>
      <c r="L541" s="26"/>
      <c r="M541" s="26"/>
      <c r="N541" s="26"/>
      <c r="O541" s="95"/>
      <c r="P541" s="97"/>
      <c r="Q541" s="197"/>
    </row>
    <row r="542" spans="3:17" x14ac:dyDescent="0.25">
      <c r="C542" s="210"/>
      <c r="D542" s="115"/>
      <c r="E542" s="29"/>
      <c r="F542" s="92"/>
      <c r="H542" s="119"/>
      <c r="I542" s="26"/>
      <c r="J542" s="101"/>
      <c r="K542" s="37"/>
      <c r="L542" s="26"/>
      <c r="M542" s="26"/>
      <c r="N542" s="26"/>
      <c r="O542" s="95"/>
      <c r="P542" s="97"/>
      <c r="Q542" s="197"/>
    </row>
    <row r="543" spans="3:17" x14ac:dyDescent="0.25">
      <c r="C543" s="210"/>
      <c r="D543" s="115"/>
      <c r="E543" s="29"/>
      <c r="F543" s="92"/>
      <c r="H543" s="119"/>
      <c r="I543" s="26"/>
      <c r="J543" s="101"/>
      <c r="K543" s="37"/>
      <c r="L543" s="26"/>
      <c r="M543" s="26"/>
      <c r="N543" s="26"/>
      <c r="O543" s="95"/>
      <c r="P543" s="97"/>
      <c r="Q543" s="197"/>
    </row>
    <row r="544" spans="3:17" x14ac:dyDescent="0.25">
      <c r="C544" s="210"/>
      <c r="D544" s="115"/>
      <c r="E544" s="29"/>
      <c r="F544" s="92"/>
      <c r="H544" s="119"/>
      <c r="I544" s="26"/>
      <c r="J544" s="101"/>
      <c r="K544" s="37"/>
      <c r="L544" s="26"/>
      <c r="M544" s="26"/>
      <c r="N544" s="26"/>
      <c r="O544" s="95"/>
      <c r="P544" s="97"/>
      <c r="Q544" s="197"/>
    </row>
    <row r="545" spans="3:17" x14ac:dyDescent="0.25">
      <c r="C545" s="210"/>
      <c r="D545" s="115"/>
      <c r="E545" s="29"/>
      <c r="F545" s="92"/>
      <c r="H545" s="119"/>
      <c r="I545" s="26"/>
      <c r="J545" s="101"/>
      <c r="K545" s="37"/>
      <c r="L545" s="26"/>
      <c r="M545" s="26"/>
      <c r="N545" s="26"/>
      <c r="O545" s="95"/>
      <c r="P545" s="97"/>
      <c r="Q545" s="197"/>
    </row>
    <row r="546" spans="3:17" x14ac:dyDescent="0.25">
      <c r="C546" s="210"/>
      <c r="D546" s="115"/>
      <c r="E546" s="29"/>
      <c r="F546" s="92"/>
      <c r="H546" s="119"/>
      <c r="I546" s="26"/>
      <c r="J546" s="101"/>
      <c r="K546" s="37"/>
      <c r="L546" s="26"/>
      <c r="M546" s="26"/>
      <c r="N546" s="26"/>
      <c r="O546" s="95"/>
      <c r="P546" s="97"/>
      <c r="Q546" s="197"/>
    </row>
    <row r="547" spans="3:17" x14ac:dyDescent="0.25">
      <c r="C547" s="210"/>
      <c r="D547" s="115"/>
      <c r="E547" s="29"/>
      <c r="F547" s="92"/>
      <c r="H547" s="119"/>
      <c r="I547" s="26"/>
      <c r="J547" s="101"/>
      <c r="K547" s="37"/>
      <c r="L547" s="26"/>
      <c r="M547" s="26"/>
      <c r="N547" s="26"/>
      <c r="O547" s="95"/>
      <c r="P547" s="97"/>
      <c r="Q547" s="197"/>
    </row>
    <row r="548" spans="3:17" x14ac:dyDescent="0.25">
      <c r="C548" s="210"/>
      <c r="D548" s="115"/>
      <c r="E548" s="29"/>
      <c r="F548" s="92"/>
      <c r="H548" s="119"/>
      <c r="I548" s="26"/>
      <c r="J548" s="101"/>
      <c r="K548" s="37"/>
      <c r="L548" s="26"/>
      <c r="M548" s="26"/>
      <c r="N548" s="26"/>
      <c r="O548" s="95"/>
      <c r="P548" s="97"/>
      <c r="Q548" s="197"/>
    </row>
    <row r="549" spans="3:17" x14ac:dyDescent="0.25">
      <c r="C549" s="210"/>
      <c r="D549" s="115"/>
      <c r="E549" s="29"/>
      <c r="F549" s="92"/>
      <c r="H549" s="119"/>
      <c r="I549" s="26"/>
      <c r="J549" s="101"/>
      <c r="K549" s="37"/>
      <c r="L549" s="26"/>
      <c r="M549" s="26"/>
      <c r="N549" s="26"/>
      <c r="O549" s="95"/>
      <c r="P549" s="97"/>
      <c r="Q549" s="197"/>
    </row>
    <row r="550" spans="3:17" x14ac:dyDescent="0.25">
      <c r="C550" s="210"/>
      <c r="D550" s="115"/>
      <c r="E550" s="29"/>
      <c r="F550" s="92"/>
      <c r="H550" s="119"/>
      <c r="I550" s="26"/>
      <c r="J550" s="101"/>
      <c r="K550" s="37"/>
      <c r="L550" s="26"/>
      <c r="M550" s="26"/>
      <c r="N550" s="26"/>
      <c r="O550" s="95"/>
      <c r="P550" s="97"/>
      <c r="Q550" s="197"/>
    </row>
    <row r="551" spans="3:17" x14ac:dyDescent="0.25">
      <c r="C551" s="210"/>
      <c r="D551" s="115"/>
      <c r="E551" s="29"/>
      <c r="F551" s="92"/>
      <c r="H551" s="119"/>
      <c r="I551" s="26"/>
      <c r="J551" s="101"/>
      <c r="K551" s="37"/>
      <c r="L551" s="26"/>
      <c r="M551" s="26"/>
      <c r="N551" s="26"/>
      <c r="O551" s="95"/>
      <c r="P551" s="97"/>
      <c r="Q551" s="197"/>
    </row>
    <row r="552" spans="3:17" x14ac:dyDescent="0.25">
      <c r="C552" s="210"/>
      <c r="D552" s="115"/>
      <c r="E552" s="29"/>
      <c r="F552" s="92"/>
      <c r="H552" s="119"/>
      <c r="I552" s="26"/>
      <c r="J552" s="101"/>
      <c r="K552" s="37"/>
      <c r="L552" s="26"/>
      <c r="M552" s="26"/>
      <c r="N552" s="26"/>
      <c r="O552" s="95"/>
      <c r="P552" s="97"/>
      <c r="Q552" s="197"/>
    </row>
    <row r="553" spans="3:17" x14ac:dyDescent="0.25">
      <c r="C553" s="210"/>
      <c r="D553" s="115"/>
      <c r="E553" s="29"/>
      <c r="F553" s="92"/>
      <c r="H553" s="119"/>
      <c r="I553" s="26"/>
      <c r="J553" s="101"/>
      <c r="K553" s="37"/>
      <c r="L553" s="26"/>
      <c r="M553" s="26"/>
      <c r="N553" s="26"/>
      <c r="O553" s="95"/>
      <c r="P553" s="97"/>
      <c r="Q553" s="197"/>
    </row>
    <row r="554" spans="3:17" x14ac:dyDescent="0.25">
      <c r="C554" s="210"/>
      <c r="D554" s="115"/>
      <c r="E554" s="29"/>
      <c r="F554" s="92"/>
      <c r="H554" s="119"/>
      <c r="I554" s="26"/>
      <c r="J554" s="101"/>
      <c r="K554" s="37"/>
      <c r="L554" s="26"/>
      <c r="M554" s="26"/>
      <c r="N554" s="26"/>
      <c r="O554" s="95"/>
      <c r="P554" s="97"/>
      <c r="Q554" s="197"/>
    </row>
    <row r="555" spans="3:17" x14ac:dyDescent="0.25">
      <c r="C555" s="210"/>
      <c r="D555" s="115"/>
      <c r="E555" s="29"/>
      <c r="F555" s="92"/>
      <c r="H555" s="119"/>
      <c r="I555" s="26"/>
      <c r="J555" s="101"/>
      <c r="K555" s="37"/>
      <c r="L555" s="26"/>
      <c r="M555" s="26"/>
      <c r="N555" s="26"/>
      <c r="O555" s="95"/>
      <c r="P555" s="97"/>
      <c r="Q555" s="197"/>
    </row>
    <row r="556" spans="3:17" x14ac:dyDescent="0.25">
      <c r="C556" s="210"/>
      <c r="D556" s="115"/>
      <c r="E556" s="29"/>
      <c r="F556" s="92"/>
      <c r="H556" s="119"/>
      <c r="I556" s="26"/>
      <c r="J556" s="101"/>
      <c r="K556" s="37"/>
      <c r="L556" s="26"/>
      <c r="M556" s="26"/>
      <c r="N556" s="26"/>
      <c r="O556" s="95"/>
      <c r="P556" s="97"/>
      <c r="Q556" s="197"/>
    </row>
    <row r="557" spans="3:17" x14ac:dyDescent="0.25">
      <c r="C557" s="210"/>
      <c r="D557" s="115"/>
      <c r="E557" s="29"/>
      <c r="F557" s="92"/>
      <c r="H557" s="119"/>
      <c r="I557" s="26"/>
      <c r="J557" s="101"/>
      <c r="K557" s="37"/>
      <c r="L557" s="26"/>
      <c r="M557" s="26"/>
      <c r="N557" s="26"/>
      <c r="O557" s="95"/>
      <c r="P557" s="97"/>
      <c r="Q557" s="197"/>
    </row>
    <row r="558" spans="3:17" x14ac:dyDescent="0.25">
      <c r="C558" s="210"/>
      <c r="D558" s="115"/>
      <c r="E558" s="29"/>
      <c r="F558" s="92"/>
      <c r="H558" s="119"/>
      <c r="I558" s="26"/>
      <c r="J558" s="101"/>
      <c r="K558" s="37"/>
      <c r="L558" s="26"/>
      <c r="M558" s="26"/>
      <c r="N558" s="26"/>
      <c r="O558" s="95"/>
      <c r="P558" s="97"/>
      <c r="Q558" s="197"/>
    </row>
    <row r="559" spans="3:17" x14ac:dyDescent="0.25">
      <c r="C559" s="210"/>
      <c r="D559" s="115"/>
      <c r="E559" s="29"/>
      <c r="F559" s="92"/>
      <c r="H559" s="119"/>
      <c r="I559" s="26"/>
      <c r="J559" s="101"/>
      <c r="K559" s="37"/>
      <c r="L559" s="26"/>
      <c r="M559" s="26"/>
      <c r="N559" s="26"/>
      <c r="O559" s="95"/>
      <c r="P559" s="97"/>
      <c r="Q559" s="197"/>
    </row>
    <row r="560" spans="3:17" x14ac:dyDescent="0.25">
      <c r="C560" s="210"/>
      <c r="D560" s="115"/>
      <c r="E560" s="29"/>
      <c r="F560" s="92"/>
      <c r="H560" s="119"/>
      <c r="I560" s="26"/>
      <c r="J560" s="101"/>
      <c r="K560" s="37"/>
      <c r="L560" s="26"/>
      <c r="M560" s="26"/>
      <c r="N560" s="26"/>
      <c r="O560" s="95"/>
      <c r="P560" s="97"/>
      <c r="Q560" s="197"/>
    </row>
    <row r="561" spans="3:17" x14ac:dyDescent="0.25">
      <c r="C561" s="210"/>
      <c r="D561" s="115"/>
      <c r="E561" s="29"/>
      <c r="F561" s="92"/>
      <c r="H561" s="119"/>
      <c r="I561" s="26"/>
      <c r="J561" s="101"/>
      <c r="K561" s="37"/>
      <c r="L561" s="26"/>
      <c r="M561" s="26"/>
      <c r="N561" s="26"/>
      <c r="O561" s="95"/>
      <c r="P561" s="97"/>
      <c r="Q561" s="197"/>
    </row>
    <row r="562" spans="3:17" x14ac:dyDescent="0.25">
      <c r="C562" s="210"/>
      <c r="D562" s="115"/>
      <c r="E562" s="29"/>
      <c r="F562" s="92"/>
      <c r="H562" s="119"/>
      <c r="I562" s="26"/>
      <c r="J562" s="101"/>
      <c r="K562" s="37"/>
      <c r="L562" s="26"/>
      <c r="M562" s="26"/>
      <c r="N562" s="26"/>
      <c r="O562" s="95"/>
      <c r="P562" s="97"/>
      <c r="Q562" s="197"/>
    </row>
    <row r="563" spans="3:17" x14ac:dyDescent="0.25">
      <c r="C563" s="210"/>
      <c r="D563" s="115"/>
      <c r="E563" s="29"/>
      <c r="F563" s="92"/>
      <c r="H563" s="119"/>
      <c r="I563" s="26"/>
      <c r="J563" s="101"/>
      <c r="K563" s="37"/>
      <c r="L563" s="26"/>
      <c r="M563" s="26"/>
      <c r="N563" s="26"/>
      <c r="O563" s="95"/>
      <c r="P563" s="97"/>
      <c r="Q563" s="197"/>
    </row>
    <row r="564" spans="3:17" x14ac:dyDescent="0.25">
      <c r="C564" s="210"/>
      <c r="D564" s="115"/>
      <c r="E564" s="29"/>
      <c r="F564" s="92"/>
      <c r="H564" s="119"/>
      <c r="I564" s="26"/>
      <c r="J564" s="101"/>
      <c r="K564" s="37"/>
      <c r="L564" s="26"/>
      <c r="M564" s="26"/>
      <c r="N564" s="26"/>
      <c r="O564" s="95"/>
      <c r="P564" s="97"/>
      <c r="Q564" s="197"/>
    </row>
    <row r="565" spans="3:17" x14ac:dyDescent="0.25">
      <c r="C565" s="210"/>
      <c r="D565" s="115"/>
      <c r="E565" s="29"/>
      <c r="F565" s="92"/>
      <c r="H565" s="119"/>
      <c r="I565" s="26"/>
      <c r="J565" s="101"/>
      <c r="K565" s="37"/>
      <c r="L565" s="26"/>
      <c r="M565" s="26"/>
      <c r="N565" s="26"/>
      <c r="O565" s="95"/>
      <c r="P565" s="97"/>
      <c r="Q565" s="197"/>
    </row>
    <row r="566" spans="3:17" x14ac:dyDescent="0.25">
      <c r="C566" s="210"/>
      <c r="D566" s="115"/>
      <c r="E566" s="29"/>
      <c r="F566" s="92"/>
      <c r="H566" s="119"/>
      <c r="I566" s="26"/>
      <c r="J566" s="101"/>
      <c r="K566" s="37"/>
      <c r="L566" s="26"/>
      <c r="M566" s="26"/>
      <c r="N566" s="26"/>
      <c r="O566" s="95"/>
      <c r="P566" s="97"/>
      <c r="Q566" s="197"/>
    </row>
    <row r="567" spans="3:17" x14ac:dyDescent="0.25">
      <c r="C567" s="210"/>
      <c r="D567" s="115"/>
      <c r="E567" s="29"/>
      <c r="F567" s="92"/>
      <c r="H567" s="119"/>
      <c r="I567" s="26"/>
      <c r="J567" s="101"/>
      <c r="K567" s="37"/>
      <c r="L567" s="26"/>
      <c r="M567" s="26"/>
      <c r="N567" s="26"/>
      <c r="O567" s="95"/>
      <c r="P567" s="97"/>
      <c r="Q567" s="197"/>
    </row>
    <row r="568" spans="3:17" x14ac:dyDescent="0.25">
      <c r="C568" s="210"/>
      <c r="D568" s="115"/>
      <c r="E568" s="29"/>
      <c r="F568" s="92"/>
      <c r="H568" s="119"/>
      <c r="I568" s="26"/>
      <c r="J568" s="101"/>
      <c r="K568" s="37"/>
      <c r="L568" s="26"/>
      <c r="M568" s="26"/>
      <c r="N568" s="26"/>
      <c r="O568" s="95"/>
      <c r="P568" s="97"/>
      <c r="Q568" s="197"/>
    </row>
    <row r="569" spans="3:17" x14ac:dyDescent="0.25">
      <c r="C569" s="210"/>
      <c r="D569" s="115"/>
      <c r="E569" s="29"/>
      <c r="F569" s="92"/>
      <c r="H569" s="119"/>
      <c r="I569" s="26"/>
      <c r="J569" s="101"/>
      <c r="K569" s="37"/>
      <c r="L569" s="26"/>
      <c r="M569" s="26"/>
      <c r="N569" s="26"/>
      <c r="O569" s="95"/>
      <c r="P569" s="97"/>
      <c r="Q569" s="197"/>
    </row>
    <row r="570" spans="3:17" x14ac:dyDescent="0.25">
      <c r="C570" s="210"/>
      <c r="D570" s="115"/>
      <c r="E570" s="29"/>
      <c r="F570" s="92"/>
      <c r="H570" s="119"/>
      <c r="I570" s="26"/>
      <c r="J570" s="101"/>
      <c r="K570" s="37"/>
      <c r="L570" s="26"/>
      <c r="M570" s="26"/>
      <c r="N570" s="26"/>
      <c r="O570" s="95"/>
      <c r="P570" s="97"/>
      <c r="Q570" s="197"/>
    </row>
    <row r="571" spans="3:17" x14ac:dyDescent="0.25">
      <c r="C571" s="210"/>
      <c r="D571" s="115"/>
      <c r="E571" s="29"/>
      <c r="F571" s="92"/>
      <c r="H571" s="119"/>
      <c r="I571" s="26"/>
      <c r="J571" s="101"/>
      <c r="K571" s="37"/>
      <c r="L571" s="26"/>
      <c r="M571" s="26"/>
      <c r="N571" s="26"/>
      <c r="O571" s="95"/>
      <c r="P571" s="97"/>
      <c r="Q571" s="197"/>
    </row>
    <row r="572" spans="3:17" x14ac:dyDescent="0.25">
      <c r="C572" s="210"/>
      <c r="D572" s="115"/>
      <c r="E572" s="29"/>
      <c r="F572" s="92"/>
      <c r="H572" s="119"/>
      <c r="I572" s="26"/>
      <c r="J572" s="101"/>
      <c r="K572" s="37"/>
      <c r="L572" s="26"/>
      <c r="M572" s="26"/>
      <c r="N572" s="26"/>
      <c r="O572" s="95"/>
      <c r="P572" s="97"/>
      <c r="Q572" s="197"/>
    </row>
    <row r="573" spans="3:17" x14ac:dyDescent="0.25">
      <c r="C573" s="210"/>
      <c r="D573" s="115"/>
      <c r="E573" s="29"/>
      <c r="F573" s="92"/>
      <c r="H573" s="119"/>
      <c r="I573" s="26"/>
      <c r="J573" s="101"/>
      <c r="K573" s="37"/>
      <c r="L573" s="26"/>
      <c r="M573" s="26"/>
      <c r="N573" s="26"/>
      <c r="O573" s="95"/>
      <c r="P573" s="97"/>
      <c r="Q573" s="197"/>
    </row>
    <row r="574" spans="3:17" x14ac:dyDescent="0.25">
      <c r="C574" s="210"/>
      <c r="D574" s="115"/>
      <c r="E574" s="29"/>
      <c r="F574" s="92"/>
      <c r="H574" s="119"/>
      <c r="I574" s="26"/>
      <c r="J574" s="101"/>
      <c r="K574" s="37"/>
      <c r="L574" s="26"/>
      <c r="M574" s="26"/>
      <c r="N574" s="26"/>
      <c r="O574" s="95"/>
      <c r="P574" s="97"/>
      <c r="Q574" s="197"/>
    </row>
    <row r="575" spans="3:17" x14ac:dyDescent="0.25">
      <c r="C575" s="210"/>
      <c r="D575" s="115"/>
      <c r="E575" s="29"/>
      <c r="F575" s="92"/>
      <c r="H575" s="119"/>
      <c r="I575" s="26"/>
      <c r="J575" s="101"/>
      <c r="K575" s="37"/>
      <c r="L575" s="26"/>
      <c r="M575" s="26"/>
      <c r="N575" s="26"/>
      <c r="O575" s="95"/>
      <c r="P575" s="97"/>
      <c r="Q575" s="197"/>
    </row>
    <row r="576" spans="3:17" x14ac:dyDescent="0.25">
      <c r="C576" s="210"/>
      <c r="D576" s="115"/>
      <c r="E576" s="29"/>
      <c r="F576" s="92"/>
      <c r="H576" s="119"/>
      <c r="I576" s="26"/>
      <c r="J576" s="101"/>
      <c r="K576" s="37"/>
      <c r="L576" s="26"/>
      <c r="M576" s="26"/>
      <c r="N576" s="26"/>
      <c r="O576" s="95"/>
      <c r="P576" s="97"/>
      <c r="Q576" s="197"/>
    </row>
    <row r="577" spans="3:17" x14ac:dyDescent="0.25">
      <c r="C577" s="210"/>
      <c r="D577" s="115"/>
      <c r="E577" s="29"/>
      <c r="F577" s="92"/>
      <c r="H577" s="119"/>
      <c r="I577" s="26"/>
      <c r="J577" s="101"/>
      <c r="K577" s="37"/>
      <c r="L577" s="26"/>
      <c r="M577" s="26"/>
      <c r="N577" s="26"/>
      <c r="O577" s="95"/>
      <c r="P577" s="97"/>
      <c r="Q577" s="197"/>
    </row>
    <row r="578" spans="3:17" x14ac:dyDescent="0.25">
      <c r="C578" s="210"/>
      <c r="D578" s="115"/>
      <c r="E578" s="29"/>
      <c r="F578" s="92"/>
      <c r="H578" s="119"/>
      <c r="I578" s="26"/>
      <c r="J578" s="101"/>
      <c r="K578" s="37"/>
      <c r="L578" s="26"/>
      <c r="M578" s="26"/>
      <c r="N578" s="26"/>
      <c r="O578" s="95"/>
      <c r="P578" s="97"/>
      <c r="Q578" s="197"/>
    </row>
    <row r="579" spans="3:17" x14ac:dyDescent="0.25">
      <c r="C579" s="210"/>
      <c r="D579" s="115"/>
      <c r="E579" s="29"/>
      <c r="F579" s="92"/>
      <c r="H579" s="119"/>
      <c r="I579" s="26"/>
      <c r="J579" s="101"/>
      <c r="K579" s="37"/>
      <c r="L579" s="26"/>
      <c r="M579" s="26"/>
      <c r="N579" s="26"/>
      <c r="O579" s="95"/>
      <c r="P579" s="97"/>
      <c r="Q579" s="197"/>
    </row>
    <row r="580" spans="3:17" x14ac:dyDescent="0.25">
      <c r="C580" s="210"/>
      <c r="D580" s="115"/>
      <c r="E580" s="29"/>
      <c r="F580" s="92"/>
      <c r="H580" s="119"/>
      <c r="I580" s="26"/>
      <c r="J580" s="101"/>
      <c r="K580" s="37"/>
      <c r="L580" s="26"/>
      <c r="M580" s="26"/>
      <c r="N580" s="26"/>
      <c r="O580" s="95"/>
      <c r="P580" s="97"/>
      <c r="Q580" s="197"/>
    </row>
    <row r="581" spans="3:17" x14ac:dyDescent="0.25">
      <c r="C581" s="210"/>
      <c r="D581" s="115"/>
      <c r="E581" s="29"/>
      <c r="F581" s="92"/>
      <c r="H581" s="119"/>
      <c r="I581" s="26"/>
      <c r="J581" s="101"/>
      <c r="K581" s="37"/>
      <c r="L581" s="26"/>
      <c r="M581" s="26"/>
      <c r="N581" s="26"/>
      <c r="O581" s="95"/>
      <c r="P581" s="97"/>
      <c r="Q581" s="197"/>
    </row>
    <row r="582" spans="3:17" x14ac:dyDescent="0.25">
      <c r="C582" s="210"/>
      <c r="D582" s="115"/>
      <c r="E582" s="29"/>
      <c r="F582" s="92"/>
      <c r="H582" s="119"/>
      <c r="I582" s="26"/>
      <c r="J582" s="101"/>
      <c r="K582" s="37"/>
      <c r="L582" s="26"/>
      <c r="M582" s="26"/>
      <c r="N582" s="26"/>
      <c r="O582" s="95"/>
      <c r="P582" s="97"/>
      <c r="Q582" s="197"/>
    </row>
    <row r="583" spans="3:17" x14ac:dyDescent="0.25">
      <c r="C583" s="210"/>
      <c r="D583" s="115"/>
      <c r="E583" s="29"/>
      <c r="F583" s="92"/>
      <c r="H583" s="119"/>
      <c r="I583" s="26"/>
      <c r="J583" s="101"/>
      <c r="K583" s="37"/>
      <c r="L583" s="26"/>
      <c r="M583" s="26"/>
      <c r="N583" s="26"/>
      <c r="O583" s="95"/>
      <c r="P583" s="97"/>
      <c r="Q583" s="197"/>
    </row>
    <row r="584" spans="3:17" x14ac:dyDescent="0.25">
      <c r="C584" s="210"/>
      <c r="D584" s="115"/>
      <c r="E584" s="29"/>
      <c r="F584" s="92"/>
      <c r="H584" s="119"/>
      <c r="I584" s="26"/>
      <c r="J584" s="101"/>
      <c r="K584" s="37"/>
      <c r="L584" s="26"/>
      <c r="M584" s="26"/>
      <c r="N584" s="26"/>
      <c r="O584" s="95"/>
      <c r="P584" s="97"/>
      <c r="Q584" s="197"/>
    </row>
    <row r="585" spans="3:17" x14ac:dyDescent="0.25">
      <c r="C585" s="210"/>
      <c r="D585" s="115"/>
      <c r="E585" s="29"/>
      <c r="F585" s="92"/>
      <c r="H585" s="119"/>
      <c r="I585" s="26"/>
      <c r="J585" s="101"/>
      <c r="K585" s="37"/>
      <c r="L585" s="26"/>
      <c r="M585" s="26"/>
      <c r="N585" s="26"/>
      <c r="O585" s="95"/>
      <c r="P585" s="97"/>
      <c r="Q585" s="197"/>
    </row>
    <row r="586" spans="3:17" x14ac:dyDescent="0.25">
      <c r="C586" s="210"/>
      <c r="D586" s="115"/>
      <c r="E586" s="29"/>
      <c r="F586" s="92"/>
      <c r="H586" s="119"/>
      <c r="I586" s="26"/>
      <c r="J586" s="101"/>
      <c r="K586" s="37"/>
      <c r="L586" s="26"/>
      <c r="M586" s="26"/>
      <c r="N586" s="26"/>
      <c r="O586" s="95"/>
      <c r="P586" s="97"/>
      <c r="Q586" s="197"/>
    </row>
    <row r="587" spans="3:17" x14ac:dyDescent="0.25">
      <c r="C587" s="210"/>
      <c r="D587" s="115"/>
      <c r="E587" s="29"/>
      <c r="F587" s="92"/>
      <c r="H587" s="119"/>
      <c r="I587" s="26"/>
      <c r="J587" s="101"/>
      <c r="K587" s="37"/>
      <c r="L587" s="26"/>
      <c r="M587" s="26"/>
      <c r="N587" s="26"/>
      <c r="O587" s="95"/>
      <c r="P587" s="97"/>
      <c r="Q587" s="197"/>
    </row>
    <row r="588" spans="3:17" x14ac:dyDescent="0.25">
      <c r="C588" s="210"/>
      <c r="D588" s="115"/>
      <c r="E588" s="29"/>
      <c r="F588" s="92"/>
      <c r="H588" s="119"/>
      <c r="I588" s="26"/>
      <c r="J588" s="101"/>
      <c r="K588" s="37"/>
      <c r="L588" s="26"/>
      <c r="M588" s="26"/>
      <c r="N588" s="26"/>
      <c r="O588" s="95"/>
      <c r="P588" s="97"/>
      <c r="Q588" s="197"/>
    </row>
    <row r="589" spans="3:17" x14ac:dyDescent="0.25">
      <c r="C589" s="210"/>
      <c r="D589" s="115"/>
      <c r="E589" s="29"/>
      <c r="F589" s="92"/>
      <c r="H589" s="119"/>
      <c r="I589" s="26"/>
      <c r="J589" s="101"/>
      <c r="K589" s="37"/>
      <c r="L589" s="26"/>
      <c r="M589" s="26"/>
      <c r="N589" s="26"/>
      <c r="O589" s="95"/>
      <c r="P589" s="97"/>
      <c r="Q589" s="197"/>
    </row>
    <row r="590" spans="3:17" x14ac:dyDescent="0.25">
      <c r="C590" s="210"/>
      <c r="D590" s="115"/>
      <c r="E590" s="29"/>
      <c r="F590" s="92"/>
      <c r="H590" s="119"/>
      <c r="I590" s="26"/>
      <c r="J590" s="101"/>
      <c r="K590" s="37"/>
      <c r="L590" s="26"/>
      <c r="M590" s="26"/>
      <c r="N590" s="26"/>
      <c r="O590" s="95"/>
      <c r="P590" s="97"/>
      <c r="Q590" s="197"/>
    </row>
    <row r="591" spans="3:17" x14ac:dyDescent="0.25">
      <c r="C591" s="210"/>
      <c r="D591" s="115"/>
      <c r="E591" s="29"/>
      <c r="F591" s="92"/>
      <c r="H591" s="119"/>
      <c r="I591" s="26"/>
      <c r="J591" s="101"/>
      <c r="K591" s="37"/>
      <c r="L591" s="26"/>
      <c r="M591" s="26"/>
      <c r="N591" s="26"/>
      <c r="O591" s="95"/>
      <c r="P591" s="97"/>
      <c r="Q591" s="197"/>
    </row>
    <row r="592" spans="3:17" x14ac:dyDescent="0.25">
      <c r="C592" s="210"/>
      <c r="D592" s="115"/>
      <c r="E592" s="29"/>
      <c r="F592" s="92"/>
      <c r="H592" s="119"/>
      <c r="I592" s="26"/>
      <c r="J592" s="101"/>
      <c r="K592" s="37"/>
      <c r="L592" s="26"/>
      <c r="M592" s="26"/>
      <c r="N592" s="26"/>
      <c r="O592" s="95"/>
      <c r="P592" s="97"/>
      <c r="Q592" s="197"/>
    </row>
    <row r="593" spans="3:17" x14ac:dyDescent="0.25">
      <c r="C593" s="210"/>
      <c r="D593" s="115"/>
      <c r="E593" s="29"/>
      <c r="F593" s="92"/>
      <c r="H593" s="119"/>
      <c r="I593" s="26"/>
      <c r="J593" s="101"/>
      <c r="K593" s="37"/>
      <c r="L593" s="26"/>
      <c r="M593" s="26"/>
      <c r="N593" s="26"/>
      <c r="O593" s="95"/>
      <c r="P593" s="97"/>
      <c r="Q593" s="197"/>
    </row>
    <row r="594" spans="3:17" x14ac:dyDescent="0.25">
      <c r="C594" s="210"/>
      <c r="D594" s="115"/>
      <c r="E594" s="29"/>
      <c r="F594" s="92"/>
      <c r="H594" s="119"/>
      <c r="I594" s="26"/>
      <c r="J594" s="101"/>
      <c r="K594" s="37"/>
      <c r="L594" s="26"/>
      <c r="M594" s="26"/>
      <c r="N594" s="26"/>
      <c r="O594" s="95"/>
      <c r="P594" s="97"/>
      <c r="Q594" s="197"/>
    </row>
    <row r="595" spans="3:17" x14ac:dyDescent="0.25">
      <c r="C595" s="210"/>
      <c r="D595" s="115"/>
      <c r="E595" s="29"/>
      <c r="F595" s="92"/>
      <c r="H595" s="119"/>
      <c r="I595" s="26"/>
      <c r="J595" s="101"/>
      <c r="K595" s="37"/>
      <c r="L595" s="26"/>
      <c r="M595" s="26"/>
      <c r="N595" s="26"/>
      <c r="O595" s="95"/>
      <c r="P595" s="97"/>
      <c r="Q595" s="197"/>
    </row>
    <row r="596" spans="3:17" x14ac:dyDescent="0.25">
      <c r="C596" s="210"/>
      <c r="D596" s="115"/>
      <c r="E596" s="29"/>
      <c r="F596" s="92"/>
      <c r="H596" s="119"/>
      <c r="I596" s="26"/>
      <c r="J596" s="101"/>
      <c r="K596" s="37"/>
      <c r="L596" s="26"/>
      <c r="M596" s="26"/>
      <c r="N596" s="26"/>
      <c r="O596" s="95"/>
      <c r="P596" s="97"/>
      <c r="Q596" s="197"/>
    </row>
    <row r="597" spans="3:17" x14ac:dyDescent="0.25">
      <c r="C597" s="210"/>
      <c r="D597" s="115"/>
      <c r="E597" s="29"/>
      <c r="F597" s="92"/>
      <c r="H597" s="119"/>
      <c r="I597" s="26"/>
      <c r="J597" s="101"/>
      <c r="K597" s="37"/>
      <c r="L597" s="26"/>
      <c r="M597" s="26"/>
      <c r="N597" s="26"/>
      <c r="O597" s="95"/>
      <c r="P597" s="97"/>
      <c r="Q597" s="197"/>
    </row>
    <row r="598" spans="3:17" x14ac:dyDescent="0.25">
      <c r="C598" s="210"/>
      <c r="D598" s="115"/>
      <c r="E598" s="29"/>
      <c r="F598" s="92"/>
      <c r="H598" s="119"/>
      <c r="I598" s="26"/>
      <c r="J598" s="101"/>
      <c r="K598" s="37"/>
      <c r="L598" s="26"/>
      <c r="M598" s="26"/>
      <c r="N598" s="26"/>
      <c r="O598" s="95"/>
      <c r="P598" s="97"/>
      <c r="Q598" s="197"/>
    </row>
    <row r="599" spans="3:17" x14ac:dyDescent="0.25">
      <c r="C599" s="210"/>
      <c r="D599" s="115"/>
      <c r="E599" s="29"/>
      <c r="F599" s="92"/>
      <c r="H599" s="119"/>
      <c r="I599" s="26"/>
      <c r="J599" s="101"/>
      <c r="K599" s="37"/>
      <c r="L599" s="26"/>
      <c r="M599" s="26"/>
      <c r="N599" s="26"/>
      <c r="O599" s="95"/>
      <c r="P599" s="97"/>
      <c r="Q599" s="197"/>
    </row>
    <row r="600" spans="3:17" x14ac:dyDescent="0.25">
      <c r="C600" s="210"/>
      <c r="D600" s="115"/>
      <c r="E600" s="29"/>
      <c r="F600" s="92"/>
      <c r="H600" s="119"/>
      <c r="I600" s="26"/>
      <c r="J600" s="101"/>
      <c r="K600" s="37"/>
      <c r="L600" s="26"/>
      <c r="M600" s="26"/>
      <c r="N600" s="26"/>
      <c r="O600" s="95"/>
      <c r="P600" s="97"/>
      <c r="Q600" s="197"/>
    </row>
    <row r="601" spans="3:17" x14ac:dyDescent="0.25">
      <c r="C601" s="210"/>
      <c r="D601" s="115"/>
      <c r="E601" s="29"/>
      <c r="F601" s="92"/>
      <c r="H601" s="119"/>
      <c r="I601" s="26"/>
      <c r="J601" s="101"/>
      <c r="K601" s="37"/>
      <c r="L601" s="26"/>
      <c r="M601" s="26"/>
      <c r="N601" s="26"/>
      <c r="O601" s="95"/>
      <c r="P601" s="97"/>
      <c r="Q601" s="197"/>
    </row>
    <row r="602" spans="3:17" x14ac:dyDescent="0.25">
      <c r="C602" s="210"/>
      <c r="D602" s="115"/>
      <c r="E602" s="29"/>
      <c r="F602" s="92"/>
      <c r="H602" s="119"/>
      <c r="I602" s="26"/>
      <c r="J602" s="101"/>
      <c r="K602" s="37"/>
      <c r="L602" s="26"/>
      <c r="M602" s="26"/>
      <c r="N602" s="26"/>
      <c r="O602" s="95"/>
      <c r="P602" s="97"/>
      <c r="Q602" s="197"/>
    </row>
    <row r="603" spans="3:17" x14ac:dyDescent="0.25">
      <c r="C603" s="210"/>
      <c r="D603" s="115"/>
      <c r="E603" s="29"/>
      <c r="F603" s="92"/>
      <c r="H603" s="119"/>
      <c r="I603" s="26"/>
      <c r="J603" s="101"/>
      <c r="K603" s="37"/>
      <c r="L603" s="26"/>
      <c r="M603" s="26"/>
      <c r="N603" s="26"/>
      <c r="O603" s="95"/>
      <c r="P603" s="97"/>
      <c r="Q603" s="197"/>
    </row>
    <row r="604" spans="3:17" x14ac:dyDescent="0.25">
      <c r="C604" s="210"/>
      <c r="D604" s="115"/>
      <c r="E604" s="29"/>
      <c r="F604" s="92"/>
      <c r="H604" s="119"/>
      <c r="I604" s="26"/>
      <c r="J604" s="101"/>
      <c r="K604" s="37"/>
      <c r="L604" s="26"/>
      <c r="M604" s="26"/>
      <c r="N604" s="26"/>
      <c r="O604" s="95"/>
      <c r="P604" s="97"/>
      <c r="Q604" s="197"/>
    </row>
    <row r="605" spans="3:17" x14ac:dyDescent="0.25">
      <c r="C605" s="210"/>
      <c r="D605" s="115"/>
      <c r="E605" s="29"/>
      <c r="F605" s="92"/>
      <c r="H605" s="119"/>
      <c r="I605" s="26"/>
      <c r="J605" s="101"/>
      <c r="K605" s="37"/>
      <c r="L605" s="26"/>
      <c r="M605" s="26"/>
      <c r="N605" s="26"/>
      <c r="O605" s="95"/>
      <c r="P605" s="97"/>
      <c r="Q605" s="197"/>
    </row>
    <row r="606" spans="3:17" x14ac:dyDescent="0.25">
      <c r="C606" s="210"/>
      <c r="D606" s="115"/>
      <c r="E606" s="29"/>
      <c r="F606" s="92"/>
      <c r="H606" s="119"/>
      <c r="I606" s="26"/>
      <c r="J606" s="101"/>
      <c r="K606" s="37"/>
      <c r="L606" s="26"/>
      <c r="M606" s="26"/>
      <c r="N606" s="26"/>
      <c r="O606" s="95"/>
      <c r="P606" s="97"/>
      <c r="Q606" s="197"/>
    </row>
    <row r="607" spans="3:17" x14ac:dyDescent="0.25">
      <c r="C607" s="210"/>
      <c r="D607" s="115"/>
      <c r="E607" s="29"/>
      <c r="F607" s="92"/>
      <c r="H607" s="119"/>
      <c r="I607" s="26"/>
      <c r="J607" s="101"/>
      <c r="K607" s="37"/>
      <c r="L607" s="26"/>
      <c r="M607" s="26"/>
      <c r="N607" s="26"/>
      <c r="O607" s="95"/>
      <c r="P607" s="97"/>
      <c r="Q607" s="197"/>
    </row>
    <row r="608" spans="3:17" x14ac:dyDescent="0.25">
      <c r="C608" s="210"/>
      <c r="D608" s="115"/>
      <c r="E608" s="29"/>
      <c r="F608" s="92"/>
      <c r="H608" s="119"/>
      <c r="I608" s="26"/>
      <c r="J608" s="101"/>
      <c r="K608" s="37"/>
      <c r="L608" s="26"/>
      <c r="M608" s="26"/>
      <c r="N608" s="26"/>
      <c r="O608" s="95"/>
      <c r="P608" s="97"/>
      <c r="Q608" s="197"/>
    </row>
    <row r="609" spans="3:17" x14ac:dyDescent="0.25">
      <c r="C609" s="210"/>
      <c r="D609" s="115"/>
      <c r="E609" s="29"/>
      <c r="F609" s="92"/>
      <c r="H609" s="119"/>
      <c r="I609" s="26"/>
      <c r="J609" s="101"/>
      <c r="K609" s="37"/>
      <c r="L609" s="26"/>
      <c r="M609" s="26"/>
      <c r="N609" s="26"/>
      <c r="O609" s="95"/>
      <c r="P609" s="97"/>
      <c r="Q609" s="197"/>
    </row>
    <row r="610" spans="3:17" x14ac:dyDescent="0.25">
      <c r="C610" s="210"/>
      <c r="D610" s="115"/>
      <c r="E610" s="29"/>
      <c r="F610" s="92"/>
      <c r="H610" s="119"/>
      <c r="I610" s="26"/>
      <c r="J610" s="101"/>
      <c r="K610" s="37"/>
      <c r="L610" s="26"/>
      <c r="M610" s="26"/>
      <c r="N610" s="26"/>
      <c r="O610" s="95"/>
      <c r="P610" s="97"/>
      <c r="Q610" s="197"/>
    </row>
    <row r="611" spans="3:17" x14ac:dyDescent="0.25">
      <c r="C611" s="210"/>
      <c r="D611" s="115"/>
      <c r="E611" s="29"/>
      <c r="F611" s="92"/>
      <c r="H611" s="119"/>
      <c r="I611" s="26"/>
      <c r="J611" s="101"/>
      <c r="K611" s="37"/>
      <c r="L611" s="26"/>
      <c r="M611" s="26"/>
      <c r="N611" s="26"/>
      <c r="O611" s="95"/>
      <c r="P611" s="97"/>
      <c r="Q611" s="197"/>
    </row>
    <row r="612" spans="3:17" x14ac:dyDescent="0.25">
      <c r="C612" s="210"/>
      <c r="D612" s="115"/>
      <c r="E612" s="29"/>
      <c r="F612" s="92"/>
      <c r="H612" s="119"/>
      <c r="I612" s="26"/>
      <c r="J612" s="101"/>
      <c r="K612" s="37"/>
      <c r="L612" s="26"/>
      <c r="M612" s="26"/>
      <c r="N612" s="26"/>
      <c r="O612" s="95"/>
      <c r="P612" s="97"/>
      <c r="Q612" s="197"/>
    </row>
    <row r="613" spans="3:17" x14ac:dyDescent="0.25">
      <c r="C613" s="210"/>
      <c r="D613" s="115"/>
      <c r="E613" s="29"/>
      <c r="F613" s="92"/>
      <c r="H613" s="119"/>
      <c r="I613" s="26"/>
      <c r="J613" s="101"/>
      <c r="K613" s="37"/>
      <c r="L613" s="26"/>
      <c r="M613" s="26"/>
      <c r="N613" s="26"/>
      <c r="O613" s="95"/>
      <c r="P613" s="97"/>
      <c r="Q613" s="197"/>
    </row>
    <row r="614" spans="3:17" x14ac:dyDescent="0.25">
      <c r="C614" s="210"/>
      <c r="D614" s="115"/>
      <c r="E614" s="29"/>
      <c r="F614" s="92"/>
      <c r="H614" s="119"/>
      <c r="I614" s="26"/>
      <c r="J614" s="101"/>
      <c r="K614" s="37"/>
      <c r="L614" s="26"/>
      <c r="M614" s="26"/>
      <c r="N614" s="26"/>
      <c r="O614" s="95"/>
      <c r="P614" s="97"/>
      <c r="Q614" s="197"/>
    </row>
    <row r="615" spans="3:17" x14ac:dyDescent="0.25">
      <c r="C615" s="210"/>
      <c r="D615" s="115"/>
      <c r="E615" s="29"/>
      <c r="F615" s="92"/>
      <c r="H615" s="119"/>
      <c r="I615" s="26"/>
      <c r="J615" s="101"/>
      <c r="K615" s="37"/>
      <c r="L615" s="26"/>
      <c r="M615" s="26"/>
      <c r="N615" s="26"/>
      <c r="O615" s="95"/>
      <c r="P615" s="97"/>
      <c r="Q615" s="197"/>
    </row>
    <row r="616" spans="3:17" x14ac:dyDescent="0.25">
      <c r="C616" s="210"/>
      <c r="D616" s="115"/>
      <c r="E616" s="29"/>
      <c r="F616" s="92"/>
      <c r="H616" s="119"/>
      <c r="I616" s="26"/>
      <c r="J616" s="101"/>
      <c r="K616" s="37"/>
      <c r="L616" s="26"/>
      <c r="M616" s="26"/>
      <c r="N616" s="26"/>
      <c r="O616" s="95"/>
      <c r="P616" s="97"/>
      <c r="Q616" s="197"/>
    </row>
    <row r="617" spans="3:17" x14ac:dyDescent="0.25">
      <c r="C617" s="210"/>
      <c r="D617" s="115"/>
      <c r="E617" s="29"/>
      <c r="F617" s="92"/>
      <c r="H617" s="119"/>
      <c r="I617" s="26"/>
      <c r="J617" s="101"/>
      <c r="K617" s="37"/>
      <c r="L617" s="26"/>
      <c r="M617" s="26"/>
      <c r="N617" s="26"/>
      <c r="O617" s="95"/>
      <c r="P617" s="97"/>
      <c r="Q617" s="197"/>
    </row>
    <row r="618" spans="3:17" x14ac:dyDescent="0.25">
      <c r="C618" s="210"/>
      <c r="D618" s="115"/>
      <c r="E618" s="29"/>
      <c r="F618" s="92"/>
      <c r="H618" s="119"/>
      <c r="I618" s="26"/>
      <c r="J618" s="101"/>
      <c r="K618" s="37"/>
      <c r="L618" s="26"/>
      <c r="M618" s="26"/>
      <c r="N618" s="26"/>
      <c r="O618" s="95"/>
      <c r="P618" s="97"/>
      <c r="Q618" s="197"/>
    </row>
    <row r="619" spans="3:17" x14ac:dyDescent="0.25">
      <c r="C619" s="210"/>
      <c r="D619" s="115"/>
      <c r="E619" s="29"/>
      <c r="F619" s="92"/>
      <c r="H619" s="119"/>
      <c r="I619" s="26"/>
      <c r="J619" s="101"/>
      <c r="K619" s="37"/>
      <c r="L619" s="26"/>
      <c r="M619" s="26"/>
      <c r="N619" s="26"/>
      <c r="O619" s="95"/>
      <c r="P619" s="97"/>
      <c r="Q619" s="197"/>
    </row>
    <row r="620" spans="3:17" x14ac:dyDescent="0.25">
      <c r="C620" s="210"/>
      <c r="D620" s="115"/>
      <c r="E620" s="29"/>
      <c r="F620" s="92"/>
      <c r="H620" s="119"/>
      <c r="I620" s="26"/>
      <c r="J620" s="101"/>
      <c r="K620" s="37"/>
      <c r="L620" s="26"/>
      <c r="M620" s="26"/>
      <c r="N620" s="26"/>
      <c r="O620" s="95"/>
      <c r="P620" s="97"/>
      <c r="Q620" s="197"/>
    </row>
    <row r="621" spans="3:17" x14ac:dyDescent="0.25">
      <c r="C621" s="210"/>
      <c r="D621" s="115"/>
      <c r="E621" s="29"/>
      <c r="F621" s="92"/>
      <c r="H621" s="119"/>
      <c r="I621" s="26"/>
      <c r="J621" s="101"/>
      <c r="K621" s="37"/>
      <c r="L621" s="26"/>
      <c r="M621" s="26"/>
      <c r="N621" s="26"/>
      <c r="O621" s="95"/>
      <c r="P621" s="97"/>
      <c r="Q621" s="197"/>
    </row>
    <row r="622" spans="3:17" x14ac:dyDescent="0.25">
      <c r="C622" s="210"/>
      <c r="D622" s="115"/>
      <c r="E622" s="29"/>
      <c r="F622" s="92"/>
      <c r="H622" s="119"/>
      <c r="I622" s="26"/>
      <c r="J622" s="101"/>
      <c r="K622" s="37"/>
      <c r="L622" s="26"/>
      <c r="M622" s="26"/>
      <c r="N622" s="26"/>
      <c r="O622" s="95"/>
      <c r="P622" s="97"/>
      <c r="Q622" s="197"/>
    </row>
    <row r="623" spans="3:17" x14ac:dyDescent="0.25">
      <c r="C623" s="210"/>
      <c r="D623" s="115"/>
      <c r="E623" s="29"/>
      <c r="F623" s="92"/>
      <c r="H623" s="119"/>
      <c r="I623" s="26"/>
      <c r="J623" s="101"/>
      <c r="K623" s="37"/>
      <c r="L623" s="26"/>
      <c r="M623" s="26"/>
      <c r="N623" s="26"/>
      <c r="O623" s="95"/>
      <c r="P623" s="97"/>
      <c r="Q623" s="197"/>
    </row>
    <row r="624" spans="3:17" x14ac:dyDescent="0.25">
      <c r="C624" s="210"/>
      <c r="D624" s="115"/>
      <c r="E624" s="29"/>
      <c r="F624" s="92"/>
      <c r="H624" s="119"/>
      <c r="I624" s="26"/>
      <c r="J624" s="101"/>
      <c r="K624" s="37"/>
      <c r="L624" s="26"/>
      <c r="M624" s="26"/>
      <c r="N624" s="26"/>
      <c r="O624" s="95"/>
      <c r="P624" s="97"/>
      <c r="Q624" s="197"/>
    </row>
    <row r="625" spans="3:17" x14ac:dyDescent="0.25">
      <c r="C625" s="210"/>
      <c r="D625" s="115"/>
      <c r="E625" s="29"/>
      <c r="F625" s="92"/>
      <c r="H625" s="119"/>
      <c r="I625" s="26"/>
      <c r="J625" s="101"/>
      <c r="K625" s="37"/>
      <c r="L625" s="26"/>
      <c r="M625" s="26"/>
      <c r="N625" s="26"/>
      <c r="O625" s="95"/>
      <c r="P625" s="97"/>
      <c r="Q625" s="197"/>
    </row>
    <row r="626" spans="3:17" x14ac:dyDescent="0.25">
      <c r="C626" s="210"/>
      <c r="D626" s="115"/>
      <c r="E626" s="29"/>
      <c r="F626" s="92"/>
      <c r="H626" s="119"/>
      <c r="I626" s="26"/>
      <c r="J626" s="101"/>
      <c r="K626" s="37"/>
      <c r="L626" s="26"/>
      <c r="M626" s="26"/>
      <c r="N626" s="26"/>
      <c r="O626" s="95"/>
      <c r="P626" s="97"/>
      <c r="Q626" s="197"/>
    </row>
    <row r="627" spans="3:17" x14ac:dyDescent="0.25">
      <c r="C627" s="210"/>
      <c r="D627" s="115"/>
      <c r="E627" s="29"/>
      <c r="F627" s="92"/>
      <c r="H627" s="119"/>
      <c r="I627" s="26"/>
      <c r="J627" s="101"/>
      <c r="K627" s="37"/>
      <c r="L627" s="26"/>
      <c r="M627" s="26"/>
      <c r="N627" s="26"/>
      <c r="O627" s="95"/>
      <c r="P627" s="97"/>
      <c r="Q627" s="197"/>
    </row>
    <row r="628" spans="3:17" x14ac:dyDescent="0.25">
      <c r="C628" s="210"/>
      <c r="D628" s="115"/>
      <c r="E628" s="29"/>
      <c r="F628" s="92"/>
      <c r="H628" s="119"/>
      <c r="I628" s="26"/>
      <c r="J628" s="101"/>
      <c r="K628" s="37"/>
      <c r="L628" s="26"/>
      <c r="M628" s="26"/>
      <c r="N628" s="26"/>
      <c r="O628" s="95"/>
      <c r="P628" s="97"/>
      <c r="Q628" s="197"/>
    </row>
    <row r="629" spans="3:17" x14ac:dyDescent="0.25">
      <c r="C629" s="210"/>
      <c r="D629" s="115"/>
      <c r="E629" s="29"/>
      <c r="F629" s="92"/>
      <c r="H629" s="119"/>
      <c r="I629" s="26"/>
      <c r="J629" s="101"/>
      <c r="K629" s="37"/>
      <c r="L629" s="26"/>
      <c r="M629" s="26"/>
      <c r="N629" s="26"/>
      <c r="O629" s="95"/>
      <c r="P629" s="97"/>
      <c r="Q629" s="197"/>
    </row>
    <row r="630" spans="3:17" x14ac:dyDescent="0.25">
      <c r="C630" s="210"/>
      <c r="D630" s="115"/>
      <c r="E630" s="29"/>
      <c r="F630" s="92"/>
      <c r="H630" s="119"/>
      <c r="I630" s="26"/>
      <c r="J630" s="101"/>
      <c r="K630" s="37"/>
      <c r="L630" s="26"/>
      <c r="M630" s="26"/>
      <c r="N630" s="26"/>
      <c r="O630" s="95"/>
      <c r="P630" s="97"/>
      <c r="Q630" s="197"/>
    </row>
    <row r="631" spans="3:17" x14ac:dyDescent="0.25">
      <c r="C631" s="210"/>
      <c r="D631" s="115"/>
      <c r="E631" s="29"/>
      <c r="F631" s="92"/>
      <c r="H631" s="119"/>
      <c r="I631" s="26"/>
      <c r="J631" s="101"/>
      <c r="K631" s="37"/>
      <c r="L631" s="26"/>
      <c r="M631" s="26"/>
      <c r="N631" s="26"/>
      <c r="O631" s="95"/>
      <c r="P631" s="97"/>
      <c r="Q631" s="197"/>
    </row>
    <row r="632" spans="3:17" x14ac:dyDescent="0.25">
      <c r="C632" s="210"/>
      <c r="D632" s="115"/>
      <c r="E632" s="29"/>
      <c r="F632" s="92"/>
      <c r="H632" s="119"/>
      <c r="I632" s="26"/>
      <c r="J632" s="101"/>
      <c r="K632" s="37"/>
      <c r="L632" s="26"/>
      <c r="M632" s="26"/>
      <c r="N632" s="26"/>
      <c r="O632" s="95"/>
      <c r="P632" s="97"/>
      <c r="Q632" s="197"/>
    </row>
    <row r="633" spans="3:17" x14ac:dyDescent="0.25">
      <c r="C633" s="210"/>
      <c r="D633" s="115"/>
      <c r="E633" s="29"/>
      <c r="F633" s="92"/>
      <c r="H633" s="119"/>
      <c r="I633" s="26"/>
      <c r="J633" s="101"/>
      <c r="K633" s="37"/>
      <c r="L633" s="26"/>
      <c r="M633" s="26"/>
      <c r="N633" s="26"/>
      <c r="O633" s="95"/>
      <c r="P633" s="97"/>
      <c r="Q633" s="197"/>
    </row>
    <row r="634" spans="3:17" x14ac:dyDescent="0.25">
      <c r="C634" s="210"/>
      <c r="D634" s="115"/>
      <c r="E634" s="29"/>
      <c r="F634" s="92"/>
      <c r="H634" s="119"/>
      <c r="I634" s="26"/>
      <c r="J634" s="101"/>
      <c r="K634" s="37"/>
      <c r="L634" s="26"/>
      <c r="M634" s="26"/>
      <c r="N634" s="26"/>
      <c r="O634" s="95"/>
      <c r="P634" s="97"/>
      <c r="Q634" s="197"/>
    </row>
    <row r="635" spans="3:17" x14ac:dyDescent="0.25">
      <c r="C635" s="210"/>
      <c r="D635" s="115"/>
      <c r="E635" s="29"/>
      <c r="F635" s="92"/>
      <c r="H635" s="119"/>
      <c r="I635" s="26"/>
      <c r="J635" s="101"/>
      <c r="K635" s="37"/>
      <c r="L635" s="26"/>
      <c r="M635" s="26"/>
      <c r="N635" s="26"/>
      <c r="O635" s="95"/>
      <c r="P635" s="97"/>
      <c r="Q635" s="197"/>
    </row>
    <row r="636" spans="3:17" x14ac:dyDescent="0.25">
      <c r="C636" s="210"/>
      <c r="D636" s="115"/>
      <c r="E636" s="29"/>
      <c r="F636" s="92"/>
      <c r="H636" s="119"/>
      <c r="I636" s="26"/>
      <c r="J636" s="101"/>
      <c r="K636" s="37"/>
      <c r="L636" s="26"/>
      <c r="M636" s="26"/>
      <c r="N636" s="26"/>
      <c r="O636" s="95"/>
      <c r="P636" s="97"/>
      <c r="Q636" s="197"/>
    </row>
    <row r="637" spans="3:17" x14ac:dyDescent="0.25">
      <c r="C637" s="210"/>
      <c r="D637" s="115"/>
      <c r="E637" s="29"/>
      <c r="F637" s="92"/>
      <c r="H637" s="119"/>
      <c r="I637" s="26"/>
      <c r="J637" s="101"/>
      <c r="K637" s="37"/>
      <c r="L637" s="26"/>
      <c r="M637" s="26"/>
      <c r="N637" s="26"/>
      <c r="O637" s="95"/>
      <c r="P637" s="97"/>
      <c r="Q637" s="197"/>
    </row>
    <row r="638" spans="3:17" x14ac:dyDescent="0.25">
      <c r="C638" s="210"/>
      <c r="D638" s="115"/>
      <c r="E638" s="29"/>
      <c r="F638" s="92"/>
      <c r="H638" s="119"/>
      <c r="I638" s="26"/>
      <c r="J638" s="101"/>
      <c r="K638" s="37"/>
      <c r="L638" s="26"/>
      <c r="M638" s="26"/>
      <c r="N638" s="26"/>
      <c r="O638" s="95"/>
      <c r="P638" s="97"/>
      <c r="Q638" s="197"/>
    </row>
    <row r="639" spans="3:17" x14ac:dyDescent="0.25">
      <c r="C639" s="210"/>
      <c r="D639" s="115"/>
      <c r="E639" s="29"/>
      <c r="F639" s="92"/>
      <c r="H639" s="119"/>
      <c r="I639" s="26"/>
      <c r="J639" s="101"/>
      <c r="K639" s="37"/>
      <c r="L639" s="26"/>
      <c r="M639" s="26"/>
      <c r="N639" s="26"/>
      <c r="O639" s="95"/>
      <c r="P639" s="97"/>
      <c r="Q639" s="197"/>
    </row>
    <row r="640" spans="3:17" x14ac:dyDescent="0.25">
      <c r="C640" s="210"/>
      <c r="D640" s="115"/>
      <c r="E640" s="29"/>
      <c r="F640" s="92"/>
      <c r="H640" s="119"/>
      <c r="I640" s="26"/>
      <c r="J640" s="101"/>
      <c r="K640" s="37"/>
      <c r="L640" s="26"/>
      <c r="M640" s="26"/>
      <c r="N640" s="26"/>
      <c r="O640" s="95"/>
      <c r="P640" s="97"/>
      <c r="Q640" s="197"/>
    </row>
    <row r="641" spans="3:17" x14ac:dyDescent="0.25">
      <c r="C641" s="210"/>
      <c r="D641" s="115"/>
      <c r="E641" s="29"/>
      <c r="F641" s="92"/>
      <c r="H641" s="119"/>
      <c r="I641" s="26"/>
      <c r="J641" s="101"/>
      <c r="K641" s="37"/>
      <c r="L641" s="26"/>
      <c r="M641" s="26"/>
      <c r="N641" s="26"/>
      <c r="O641" s="95"/>
      <c r="P641" s="97"/>
      <c r="Q641" s="197"/>
    </row>
    <row r="642" spans="3:17" x14ac:dyDescent="0.25">
      <c r="C642" s="210"/>
      <c r="D642" s="115"/>
      <c r="E642" s="29"/>
      <c r="F642" s="92"/>
      <c r="H642" s="119"/>
      <c r="I642" s="26"/>
      <c r="J642" s="101"/>
      <c r="K642" s="37"/>
      <c r="L642" s="26"/>
      <c r="M642" s="26"/>
      <c r="N642" s="26"/>
      <c r="O642" s="95"/>
      <c r="P642" s="97"/>
      <c r="Q642" s="197"/>
    </row>
    <row r="643" spans="3:17" x14ac:dyDescent="0.25">
      <c r="C643" s="210"/>
      <c r="D643" s="115"/>
      <c r="E643" s="29"/>
      <c r="F643" s="92"/>
      <c r="H643" s="119"/>
      <c r="I643" s="26"/>
      <c r="J643" s="101"/>
      <c r="K643" s="37"/>
      <c r="L643" s="26"/>
      <c r="M643" s="26"/>
      <c r="N643" s="26"/>
      <c r="O643" s="95"/>
      <c r="P643" s="97"/>
      <c r="Q643" s="197"/>
    </row>
    <row r="644" spans="3:17" x14ac:dyDescent="0.25">
      <c r="C644" s="210"/>
      <c r="D644" s="115"/>
      <c r="E644" s="29"/>
      <c r="F644" s="92"/>
      <c r="H644" s="119"/>
      <c r="I644" s="26"/>
      <c r="J644" s="101"/>
      <c r="K644" s="37"/>
      <c r="L644" s="26"/>
      <c r="M644" s="26"/>
      <c r="N644" s="26"/>
      <c r="O644" s="95"/>
      <c r="P644" s="97"/>
      <c r="Q644" s="197"/>
    </row>
    <row r="645" spans="3:17" x14ac:dyDescent="0.25">
      <c r="C645" s="210"/>
      <c r="D645" s="115"/>
      <c r="E645" s="29"/>
      <c r="F645" s="92"/>
      <c r="H645" s="119"/>
      <c r="I645" s="26"/>
      <c r="J645" s="101"/>
      <c r="K645" s="37"/>
      <c r="L645" s="26"/>
      <c r="M645" s="26"/>
      <c r="N645" s="26"/>
      <c r="O645" s="95"/>
      <c r="P645" s="97"/>
      <c r="Q645" s="197"/>
    </row>
    <row r="646" spans="3:17" x14ac:dyDescent="0.25">
      <c r="C646" s="210"/>
      <c r="D646" s="115"/>
      <c r="E646" s="29"/>
      <c r="F646" s="92"/>
      <c r="H646" s="119"/>
      <c r="I646" s="26"/>
      <c r="J646" s="101"/>
      <c r="K646" s="37"/>
      <c r="L646" s="26"/>
      <c r="M646" s="26"/>
      <c r="N646" s="26"/>
      <c r="O646" s="95"/>
      <c r="P646" s="97"/>
      <c r="Q646" s="197"/>
    </row>
    <row r="647" spans="3:17" x14ac:dyDescent="0.25">
      <c r="C647" s="210"/>
      <c r="D647" s="115"/>
      <c r="E647" s="29"/>
      <c r="F647" s="92"/>
      <c r="H647" s="119"/>
      <c r="I647" s="26"/>
      <c r="J647" s="101"/>
      <c r="K647" s="37"/>
      <c r="L647" s="26"/>
      <c r="M647" s="26"/>
      <c r="N647" s="26"/>
      <c r="O647" s="95"/>
      <c r="P647" s="97"/>
      <c r="Q647" s="197"/>
    </row>
    <row r="648" spans="3:17" x14ac:dyDescent="0.25">
      <c r="C648" s="210"/>
      <c r="D648" s="115"/>
      <c r="E648" s="29"/>
      <c r="F648" s="92"/>
      <c r="H648" s="119"/>
      <c r="I648" s="26"/>
      <c r="J648" s="101"/>
      <c r="K648" s="37"/>
      <c r="L648" s="26"/>
      <c r="M648" s="26"/>
      <c r="N648" s="26"/>
      <c r="O648" s="95"/>
      <c r="P648" s="97"/>
      <c r="Q648" s="197"/>
    </row>
    <row r="649" spans="3:17" x14ac:dyDescent="0.25">
      <c r="C649" s="210"/>
      <c r="D649" s="115"/>
      <c r="E649" s="29"/>
      <c r="F649" s="92"/>
      <c r="H649" s="119"/>
      <c r="I649" s="26"/>
      <c r="J649" s="101"/>
      <c r="K649" s="37"/>
      <c r="L649" s="26"/>
      <c r="M649" s="26"/>
      <c r="N649" s="26"/>
      <c r="O649" s="95"/>
      <c r="P649" s="97"/>
      <c r="Q649" s="197"/>
    </row>
    <row r="650" spans="3:17" x14ac:dyDescent="0.25">
      <c r="C650" s="210"/>
      <c r="D650" s="115"/>
      <c r="E650" s="29"/>
      <c r="F650" s="92"/>
      <c r="H650" s="119"/>
      <c r="I650" s="26"/>
      <c r="J650" s="101"/>
      <c r="K650" s="37"/>
      <c r="L650" s="26"/>
      <c r="M650" s="26"/>
      <c r="N650" s="26"/>
      <c r="O650" s="95"/>
      <c r="P650" s="97"/>
      <c r="Q650" s="197"/>
    </row>
    <row r="651" spans="3:17" x14ac:dyDescent="0.25">
      <c r="C651" s="210"/>
      <c r="D651" s="115"/>
      <c r="E651" s="29"/>
      <c r="F651" s="92"/>
      <c r="H651" s="119"/>
      <c r="I651" s="26"/>
      <c r="J651" s="101"/>
      <c r="K651" s="37"/>
      <c r="L651" s="26"/>
      <c r="M651" s="26"/>
      <c r="N651" s="26"/>
      <c r="O651" s="95"/>
      <c r="P651" s="97"/>
      <c r="Q651" s="197"/>
    </row>
    <row r="652" spans="3:17" x14ac:dyDescent="0.25">
      <c r="C652" s="210"/>
      <c r="D652" s="115"/>
      <c r="E652" s="29"/>
      <c r="F652" s="92"/>
      <c r="H652" s="119"/>
      <c r="I652" s="26"/>
      <c r="J652" s="101"/>
      <c r="K652" s="37"/>
      <c r="L652" s="26"/>
      <c r="M652" s="26"/>
      <c r="N652" s="26"/>
      <c r="O652" s="95"/>
      <c r="P652" s="97"/>
      <c r="Q652" s="197"/>
    </row>
    <row r="653" spans="3:17" x14ac:dyDescent="0.25">
      <c r="C653" s="210"/>
      <c r="D653" s="115"/>
      <c r="E653" s="29"/>
      <c r="F653" s="92"/>
      <c r="H653" s="119"/>
      <c r="I653" s="26"/>
      <c r="J653" s="101"/>
      <c r="K653" s="37"/>
      <c r="L653" s="26"/>
      <c r="M653" s="26"/>
      <c r="N653" s="26"/>
      <c r="O653" s="95"/>
      <c r="P653" s="97"/>
      <c r="Q653" s="197"/>
    </row>
    <row r="654" spans="3:17" x14ac:dyDescent="0.25">
      <c r="C654" s="210"/>
      <c r="D654" s="115"/>
      <c r="E654" s="29"/>
      <c r="F654" s="92"/>
      <c r="H654" s="119"/>
      <c r="I654" s="26"/>
      <c r="J654" s="101"/>
      <c r="K654" s="37"/>
      <c r="L654" s="26"/>
      <c r="M654" s="26"/>
      <c r="N654" s="26"/>
      <c r="O654" s="95"/>
      <c r="P654" s="97"/>
      <c r="Q654" s="197"/>
    </row>
    <row r="655" spans="3:17" x14ac:dyDescent="0.25">
      <c r="C655" s="210"/>
      <c r="D655" s="115"/>
      <c r="E655" s="29"/>
      <c r="F655" s="92"/>
      <c r="H655" s="119"/>
      <c r="I655" s="26"/>
      <c r="J655" s="101"/>
      <c r="K655" s="37"/>
      <c r="L655" s="26"/>
      <c r="M655" s="26"/>
      <c r="N655" s="26"/>
      <c r="O655" s="95"/>
      <c r="P655" s="97"/>
      <c r="Q655" s="197"/>
    </row>
    <row r="656" spans="3:17" x14ac:dyDescent="0.25">
      <c r="C656" s="210"/>
      <c r="D656" s="115"/>
      <c r="E656" s="29"/>
      <c r="F656" s="92"/>
      <c r="H656" s="119"/>
      <c r="I656" s="26"/>
      <c r="J656" s="101"/>
      <c r="K656" s="37"/>
      <c r="L656" s="26"/>
      <c r="M656" s="26"/>
      <c r="N656" s="26"/>
      <c r="O656" s="95"/>
      <c r="P656" s="97"/>
      <c r="Q656" s="197"/>
    </row>
    <row r="657" spans="3:17" x14ac:dyDescent="0.25">
      <c r="C657" s="210"/>
      <c r="D657" s="115"/>
      <c r="E657" s="29"/>
      <c r="F657" s="92"/>
      <c r="H657" s="119"/>
      <c r="I657" s="26"/>
      <c r="J657" s="101"/>
      <c r="K657" s="37"/>
      <c r="L657" s="26"/>
      <c r="M657" s="26"/>
      <c r="N657" s="26"/>
      <c r="O657" s="95"/>
      <c r="P657" s="97"/>
      <c r="Q657" s="197"/>
    </row>
    <row r="658" spans="3:17" x14ac:dyDescent="0.25">
      <c r="C658" s="210"/>
      <c r="D658" s="115"/>
      <c r="E658" s="29"/>
      <c r="F658" s="92"/>
      <c r="H658" s="119"/>
      <c r="I658" s="26"/>
      <c r="J658" s="101"/>
      <c r="K658" s="37"/>
      <c r="L658" s="26"/>
      <c r="M658" s="26"/>
      <c r="N658" s="26"/>
      <c r="O658" s="95"/>
      <c r="P658" s="97"/>
      <c r="Q658" s="197"/>
    </row>
    <row r="659" spans="3:17" x14ac:dyDescent="0.25">
      <c r="C659" s="210"/>
      <c r="D659" s="115"/>
      <c r="E659" s="29"/>
      <c r="F659" s="92"/>
      <c r="H659" s="119"/>
      <c r="I659" s="26"/>
      <c r="J659" s="101"/>
      <c r="K659" s="37"/>
      <c r="L659" s="26"/>
      <c r="M659" s="26"/>
      <c r="N659" s="26"/>
      <c r="O659" s="95"/>
      <c r="P659" s="97"/>
      <c r="Q659" s="197"/>
    </row>
    <row r="660" spans="3:17" x14ac:dyDescent="0.25">
      <c r="C660" s="210"/>
      <c r="D660" s="115"/>
      <c r="E660" s="29"/>
      <c r="F660" s="92"/>
      <c r="H660" s="119"/>
      <c r="I660" s="26"/>
      <c r="J660" s="101"/>
      <c r="K660" s="37"/>
      <c r="L660" s="26"/>
      <c r="M660" s="26"/>
      <c r="N660" s="26"/>
      <c r="O660" s="95"/>
      <c r="P660" s="97"/>
      <c r="Q660" s="197"/>
    </row>
    <row r="661" spans="3:17" x14ac:dyDescent="0.25">
      <c r="C661" s="210"/>
      <c r="D661" s="115"/>
      <c r="E661" s="29"/>
      <c r="F661" s="92"/>
      <c r="H661" s="119"/>
      <c r="I661" s="26"/>
      <c r="J661" s="101"/>
      <c r="K661" s="37"/>
      <c r="L661" s="26"/>
      <c r="M661" s="26"/>
      <c r="N661" s="26"/>
      <c r="O661" s="95"/>
      <c r="P661" s="97"/>
      <c r="Q661" s="197"/>
    </row>
    <row r="662" spans="3:17" x14ac:dyDescent="0.25">
      <c r="C662" s="210"/>
      <c r="D662" s="115"/>
      <c r="E662" s="29"/>
      <c r="F662" s="92"/>
      <c r="H662" s="119"/>
      <c r="I662" s="26"/>
      <c r="J662" s="101"/>
      <c r="K662" s="37"/>
      <c r="L662" s="26"/>
      <c r="M662" s="26"/>
      <c r="N662" s="26"/>
      <c r="O662" s="95"/>
      <c r="P662" s="97"/>
      <c r="Q662" s="197"/>
    </row>
    <row r="663" spans="3:17" x14ac:dyDescent="0.25">
      <c r="C663" s="210"/>
      <c r="D663" s="115"/>
      <c r="E663" s="29"/>
      <c r="F663" s="92"/>
      <c r="H663" s="119"/>
      <c r="I663" s="26"/>
      <c r="J663" s="101"/>
      <c r="K663" s="37"/>
      <c r="L663" s="26"/>
      <c r="M663" s="26"/>
      <c r="N663" s="26"/>
      <c r="O663" s="95"/>
      <c r="P663" s="97"/>
      <c r="Q663" s="197"/>
    </row>
    <row r="664" spans="3:17" x14ac:dyDescent="0.25">
      <c r="C664" s="210"/>
      <c r="D664" s="115"/>
      <c r="E664" s="29"/>
      <c r="F664" s="92"/>
      <c r="H664" s="119"/>
      <c r="I664" s="26"/>
      <c r="J664" s="101"/>
      <c r="K664" s="37"/>
      <c r="L664" s="26"/>
      <c r="M664" s="26"/>
      <c r="N664" s="26"/>
      <c r="O664" s="95"/>
      <c r="P664" s="97"/>
      <c r="Q664" s="197"/>
    </row>
    <row r="665" spans="3:17" x14ac:dyDescent="0.25">
      <c r="C665" s="210"/>
      <c r="D665" s="115"/>
      <c r="E665" s="29"/>
      <c r="F665" s="92"/>
      <c r="H665" s="119"/>
      <c r="I665" s="26"/>
      <c r="J665" s="101"/>
      <c r="K665" s="37"/>
      <c r="L665" s="26"/>
      <c r="M665" s="26"/>
      <c r="N665" s="26"/>
      <c r="O665" s="95"/>
      <c r="P665" s="97"/>
      <c r="Q665" s="197"/>
    </row>
    <row r="666" spans="3:17" x14ac:dyDescent="0.25">
      <c r="C666" s="210"/>
      <c r="D666" s="115"/>
      <c r="E666" s="29"/>
      <c r="F666" s="92"/>
      <c r="H666" s="119"/>
      <c r="I666" s="26"/>
      <c r="J666" s="101"/>
      <c r="K666" s="37"/>
      <c r="L666" s="26"/>
      <c r="M666" s="26"/>
      <c r="N666" s="26"/>
      <c r="O666" s="95"/>
      <c r="P666" s="97"/>
      <c r="Q666" s="197"/>
    </row>
    <row r="667" spans="3:17" x14ac:dyDescent="0.25">
      <c r="C667" s="210"/>
      <c r="D667" s="115"/>
      <c r="E667" s="29"/>
      <c r="F667" s="92"/>
      <c r="H667" s="119"/>
      <c r="I667" s="26"/>
      <c r="J667" s="101"/>
      <c r="K667" s="37"/>
      <c r="L667" s="26"/>
      <c r="M667" s="26"/>
      <c r="N667" s="26"/>
      <c r="O667" s="95"/>
      <c r="P667" s="97"/>
      <c r="Q667" s="197"/>
    </row>
    <row r="668" spans="3:17" x14ac:dyDescent="0.25">
      <c r="C668" s="210"/>
      <c r="D668" s="115"/>
      <c r="E668" s="29"/>
      <c r="F668" s="92"/>
      <c r="H668" s="119"/>
      <c r="I668" s="26"/>
      <c r="J668" s="101"/>
      <c r="K668" s="37"/>
      <c r="L668" s="26"/>
      <c r="M668" s="26"/>
      <c r="N668" s="26"/>
      <c r="O668" s="95"/>
      <c r="P668" s="97"/>
      <c r="Q668" s="197"/>
    </row>
    <row r="669" spans="3:17" x14ac:dyDescent="0.25">
      <c r="C669" s="210"/>
      <c r="D669" s="115"/>
      <c r="E669" s="29"/>
      <c r="F669" s="92"/>
      <c r="H669" s="119"/>
      <c r="I669" s="26"/>
      <c r="J669" s="101"/>
      <c r="K669" s="37"/>
      <c r="L669" s="26"/>
      <c r="M669" s="26"/>
      <c r="N669" s="26"/>
      <c r="O669" s="95"/>
      <c r="P669" s="97"/>
      <c r="Q669" s="197"/>
    </row>
    <row r="670" spans="3:17" x14ac:dyDescent="0.25">
      <c r="C670" s="210"/>
      <c r="D670" s="115"/>
      <c r="E670" s="29"/>
      <c r="F670" s="92"/>
      <c r="H670" s="119"/>
      <c r="I670" s="26"/>
      <c r="J670" s="101"/>
      <c r="K670" s="37"/>
      <c r="L670" s="26"/>
      <c r="M670" s="26"/>
      <c r="N670" s="26"/>
      <c r="O670" s="95"/>
      <c r="P670" s="97"/>
      <c r="Q670" s="197"/>
    </row>
    <row r="671" spans="3:17" x14ac:dyDescent="0.25">
      <c r="C671" s="210"/>
      <c r="D671" s="115"/>
      <c r="E671" s="29"/>
      <c r="F671" s="92"/>
      <c r="H671" s="119"/>
      <c r="I671" s="26"/>
      <c r="J671" s="101"/>
      <c r="K671" s="37"/>
      <c r="L671" s="26"/>
      <c r="M671" s="26"/>
      <c r="N671" s="26"/>
      <c r="O671" s="95"/>
      <c r="P671" s="97"/>
      <c r="Q671" s="197"/>
    </row>
    <row r="672" spans="3:17" x14ac:dyDescent="0.25">
      <c r="C672" s="210"/>
      <c r="D672" s="115"/>
      <c r="E672" s="29"/>
      <c r="F672" s="92"/>
      <c r="H672" s="119"/>
      <c r="I672" s="26"/>
      <c r="J672" s="101"/>
      <c r="K672" s="37"/>
      <c r="L672" s="26"/>
      <c r="M672" s="26"/>
      <c r="N672" s="26"/>
      <c r="O672" s="95"/>
      <c r="P672" s="97"/>
      <c r="Q672" s="197"/>
    </row>
    <row r="673" spans="3:17" x14ac:dyDescent="0.25">
      <c r="C673" s="210"/>
      <c r="D673" s="115"/>
      <c r="E673" s="29"/>
      <c r="F673" s="92"/>
      <c r="H673" s="119"/>
      <c r="I673" s="26"/>
      <c r="J673" s="101"/>
      <c r="K673" s="37"/>
      <c r="L673" s="26"/>
      <c r="M673" s="26"/>
      <c r="N673" s="26"/>
      <c r="O673" s="95"/>
      <c r="P673" s="97"/>
      <c r="Q673" s="197"/>
    </row>
    <row r="674" spans="3:17" x14ac:dyDescent="0.25">
      <c r="C674" s="210"/>
      <c r="D674" s="115"/>
      <c r="E674" s="29"/>
      <c r="F674" s="92"/>
      <c r="H674" s="119"/>
      <c r="I674" s="26"/>
      <c r="J674" s="101"/>
      <c r="K674" s="37"/>
      <c r="L674" s="26"/>
      <c r="M674" s="26"/>
      <c r="N674" s="26"/>
      <c r="O674" s="95"/>
      <c r="P674" s="97"/>
      <c r="Q674" s="197"/>
    </row>
    <row r="675" spans="3:17" x14ac:dyDescent="0.25">
      <c r="C675" s="210"/>
      <c r="D675" s="115"/>
      <c r="E675" s="29"/>
      <c r="F675" s="92"/>
      <c r="H675" s="119"/>
      <c r="I675" s="26"/>
      <c r="J675" s="101"/>
      <c r="K675" s="37"/>
      <c r="L675" s="26"/>
      <c r="M675" s="26"/>
      <c r="N675" s="26"/>
      <c r="O675" s="95"/>
      <c r="P675" s="97"/>
      <c r="Q675" s="197"/>
    </row>
    <row r="676" spans="3:17" x14ac:dyDescent="0.25">
      <c r="C676" s="210"/>
      <c r="D676" s="115"/>
      <c r="E676" s="29"/>
      <c r="F676" s="92"/>
      <c r="H676" s="119"/>
      <c r="I676" s="26"/>
      <c r="J676" s="101"/>
      <c r="K676" s="37"/>
      <c r="L676" s="26"/>
      <c r="M676" s="26"/>
      <c r="N676" s="26"/>
      <c r="O676" s="95"/>
      <c r="P676" s="97"/>
      <c r="Q676" s="197"/>
    </row>
    <row r="677" spans="3:17" x14ac:dyDescent="0.25">
      <c r="C677" s="210"/>
      <c r="D677" s="115"/>
      <c r="E677" s="29"/>
      <c r="F677" s="92"/>
      <c r="H677" s="119"/>
      <c r="I677" s="26"/>
      <c r="J677" s="101"/>
      <c r="K677" s="37"/>
      <c r="L677" s="26"/>
      <c r="M677" s="26"/>
      <c r="N677" s="26"/>
      <c r="O677" s="95"/>
      <c r="P677" s="97"/>
      <c r="Q677" s="197"/>
    </row>
    <row r="678" spans="3:17" x14ac:dyDescent="0.25">
      <c r="C678" s="210"/>
      <c r="D678" s="115"/>
      <c r="E678" s="29"/>
      <c r="F678" s="92"/>
      <c r="H678" s="119"/>
      <c r="I678" s="26"/>
      <c r="J678" s="101"/>
      <c r="K678" s="37"/>
      <c r="L678" s="26"/>
      <c r="M678" s="26"/>
      <c r="N678" s="26"/>
      <c r="O678" s="95"/>
      <c r="P678" s="97"/>
      <c r="Q678" s="197"/>
    </row>
    <row r="679" spans="3:17" x14ac:dyDescent="0.25">
      <c r="C679" s="210"/>
      <c r="D679" s="115"/>
      <c r="E679" s="29"/>
      <c r="F679" s="92"/>
      <c r="H679" s="119"/>
      <c r="I679" s="26"/>
      <c r="J679" s="101"/>
      <c r="K679" s="37"/>
      <c r="L679" s="26"/>
      <c r="M679" s="26"/>
      <c r="N679" s="26"/>
      <c r="O679" s="95"/>
      <c r="P679" s="97"/>
      <c r="Q679" s="197"/>
    </row>
    <row r="680" spans="3:17" x14ac:dyDescent="0.25">
      <c r="C680" s="210"/>
      <c r="D680" s="115"/>
      <c r="E680" s="29"/>
      <c r="F680" s="92"/>
      <c r="H680" s="119"/>
      <c r="I680" s="26"/>
      <c r="J680" s="101"/>
      <c r="K680" s="37"/>
      <c r="L680" s="26"/>
      <c r="M680" s="26"/>
      <c r="N680" s="26"/>
      <c r="O680" s="95"/>
      <c r="P680" s="97"/>
      <c r="Q680" s="197"/>
    </row>
    <row r="681" spans="3:17" x14ac:dyDescent="0.25">
      <c r="C681" s="210"/>
      <c r="D681" s="115"/>
      <c r="E681" s="29"/>
      <c r="F681" s="92"/>
      <c r="H681" s="119"/>
      <c r="I681" s="26"/>
      <c r="J681" s="101"/>
      <c r="K681" s="37"/>
      <c r="L681" s="26"/>
      <c r="M681" s="26"/>
      <c r="N681" s="26"/>
      <c r="O681" s="95"/>
      <c r="P681" s="97"/>
      <c r="Q681" s="197"/>
    </row>
    <row r="682" spans="3:17" x14ac:dyDescent="0.25">
      <c r="C682" s="210"/>
      <c r="D682" s="115"/>
      <c r="E682" s="29"/>
      <c r="F682" s="92"/>
      <c r="H682" s="119"/>
      <c r="I682" s="26"/>
      <c r="J682" s="101"/>
      <c r="K682" s="37"/>
      <c r="L682" s="26"/>
      <c r="M682" s="26"/>
      <c r="N682" s="26"/>
      <c r="O682" s="95"/>
      <c r="P682" s="97"/>
      <c r="Q682" s="197"/>
    </row>
    <row r="683" spans="3:17" x14ac:dyDescent="0.25">
      <c r="C683" s="210"/>
      <c r="D683" s="115"/>
      <c r="E683" s="29"/>
      <c r="F683" s="92"/>
      <c r="H683" s="119"/>
      <c r="I683" s="26"/>
      <c r="J683" s="101"/>
      <c r="K683" s="37"/>
      <c r="L683" s="26"/>
      <c r="M683" s="26"/>
      <c r="N683" s="26"/>
      <c r="O683" s="95"/>
      <c r="P683" s="97"/>
      <c r="Q683" s="197"/>
    </row>
    <row r="684" spans="3:17" x14ac:dyDescent="0.25">
      <c r="C684" s="210"/>
      <c r="D684" s="115"/>
      <c r="E684" s="29"/>
      <c r="F684" s="92"/>
      <c r="H684" s="119"/>
      <c r="I684" s="26"/>
      <c r="J684" s="101"/>
      <c r="K684" s="37"/>
      <c r="L684" s="26"/>
      <c r="M684" s="26"/>
      <c r="N684" s="26"/>
      <c r="O684" s="95"/>
      <c r="P684" s="97"/>
      <c r="Q684" s="197"/>
    </row>
    <row r="685" spans="3:17" x14ac:dyDescent="0.25">
      <c r="C685" s="210"/>
      <c r="D685" s="115"/>
      <c r="E685" s="29"/>
      <c r="F685" s="92"/>
      <c r="H685" s="119"/>
      <c r="I685" s="26"/>
      <c r="J685" s="101"/>
      <c r="K685" s="37"/>
      <c r="L685" s="26"/>
      <c r="M685" s="26"/>
      <c r="N685" s="26"/>
      <c r="O685" s="95"/>
      <c r="P685" s="97"/>
      <c r="Q685" s="197"/>
    </row>
    <row r="686" spans="3:17" x14ac:dyDescent="0.25">
      <c r="C686" s="210"/>
      <c r="D686" s="115"/>
      <c r="E686" s="29"/>
      <c r="F686" s="92"/>
      <c r="H686" s="119"/>
      <c r="I686" s="26"/>
      <c r="J686" s="101"/>
      <c r="K686" s="37"/>
      <c r="L686" s="26"/>
      <c r="M686" s="26"/>
      <c r="N686" s="26"/>
      <c r="O686" s="95"/>
      <c r="P686" s="97"/>
      <c r="Q686" s="197"/>
    </row>
    <row r="687" spans="3:17" x14ac:dyDescent="0.25">
      <c r="C687" s="210"/>
      <c r="D687" s="115"/>
      <c r="E687" s="29"/>
      <c r="F687" s="92"/>
      <c r="H687" s="119"/>
      <c r="I687" s="26"/>
      <c r="J687" s="101"/>
      <c r="K687" s="37"/>
      <c r="L687" s="26"/>
      <c r="M687" s="26"/>
      <c r="N687" s="26"/>
      <c r="O687" s="95"/>
      <c r="P687" s="97"/>
      <c r="Q687" s="197"/>
    </row>
    <row r="688" spans="3:17" x14ac:dyDescent="0.25">
      <c r="C688" s="210"/>
      <c r="D688" s="115"/>
      <c r="E688" s="29"/>
      <c r="F688" s="92"/>
      <c r="H688" s="119"/>
      <c r="I688" s="26"/>
      <c r="J688" s="101"/>
      <c r="K688" s="37"/>
      <c r="L688" s="26"/>
      <c r="M688" s="26"/>
      <c r="N688" s="26"/>
      <c r="O688" s="95"/>
      <c r="P688" s="97"/>
      <c r="Q688" s="197"/>
    </row>
    <row r="689" spans="3:17" x14ac:dyDescent="0.25">
      <c r="C689" s="210"/>
      <c r="D689" s="115"/>
      <c r="E689" s="29"/>
      <c r="F689" s="92"/>
      <c r="H689" s="119"/>
      <c r="I689" s="26"/>
      <c r="J689" s="101"/>
      <c r="K689" s="37"/>
      <c r="L689" s="26"/>
      <c r="M689" s="26"/>
      <c r="N689" s="26"/>
      <c r="O689" s="95"/>
      <c r="P689" s="97"/>
      <c r="Q689" s="197"/>
    </row>
    <row r="690" spans="3:17" x14ac:dyDescent="0.25">
      <c r="C690" s="210"/>
      <c r="D690" s="115"/>
      <c r="E690" s="29"/>
      <c r="F690" s="92"/>
      <c r="H690" s="119"/>
      <c r="I690" s="26"/>
      <c r="J690" s="101"/>
      <c r="K690" s="37"/>
      <c r="L690" s="26"/>
      <c r="M690" s="26"/>
      <c r="N690" s="26"/>
      <c r="O690" s="95"/>
      <c r="P690" s="97"/>
      <c r="Q690" s="197"/>
    </row>
    <row r="691" spans="3:17" x14ac:dyDescent="0.25">
      <c r="C691" s="210"/>
      <c r="D691" s="115"/>
      <c r="E691" s="29"/>
      <c r="F691" s="92"/>
      <c r="H691" s="119"/>
      <c r="I691" s="26"/>
      <c r="J691" s="101"/>
      <c r="K691" s="37"/>
      <c r="L691" s="26"/>
      <c r="M691" s="26"/>
      <c r="N691" s="26"/>
      <c r="O691" s="95"/>
      <c r="P691" s="97"/>
      <c r="Q691" s="197"/>
    </row>
    <row r="692" spans="3:17" x14ac:dyDescent="0.25">
      <c r="C692" s="210"/>
      <c r="D692" s="115"/>
      <c r="E692" s="29"/>
      <c r="F692" s="92"/>
      <c r="H692" s="119"/>
      <c r="I692" s="26"/>
      <c r="J692" s="101"/>
      <c r="K692" s="37"/>
      <c r="L692" s="26"/>
      <c r="M692" s="26"/>
      <c r="N692" s="26"/>
      <c r="O692" s="95"/>
      <c r="P692" s="97"/>
      <c r="Q692" s="197"/>
    </row>
    <row r="693" spans="3:17" x14ac:dyDescent="0.25">
      <c r="C693" s="210"/>
      <c r="D693" s="115"/>
      <c r="E693" s="29"/>
      <c r="F693" s="92"/>
      <c r="H693" s="119"/>
      <c r="I693" s="26"/>
      <c r="J693" s="101"/>
      <c r="K693" s="37"/>
      <c r="L693" s="26"/>
      <c r="M693" s="26"/>
      <c r="N693" s="26"/>
      <c r="O693" s="95"/>
      <c r="P693" s="97"/>
      <c r="Q693" s="197"/>
    </row>
    <row r="694" spans="3:17" x14ac:dyDescent="0.25">
      <c r="C694" s="210"/>
      <c r="D694" s="115"/>
      <c r="E694" s="29"/>
      <c r="F694" s="92"/>
      <c r="H694" s="119"/>
      <c r="I694" s="26"/>
      <c r="J694" s="101"/>
      <c r="K694" s="37"/>
      <c r="L694" s="26"/>
      <c r="M694" s="26"/>
      <c r="N694" s="26"/>
      <c r="O694" s="95"/>
      <c r="P694" s="97"/>
      <c r="Q694" s="197"/>
    </row>
    <row r="695" spans="3:17" x14ac:dyDescent="0.25">
      <c r="C695" s="210"/>
      <c r="D695" s="115"/>
      <c r="E695" s="29"/>
      <c r="F695" s="92"/>
      <c r="H695" s="119"/>
      <c r="I695" s="26"/>
      <c r="J695" s="101"/>
      <c r="K695" s="37"/>
      <c r="L695" s="26"/>
      <c r="M695" s="26"/>
      <c r="N695" s="26"/>
      <c r="O695" s="95"/>
      <c r="P695" s="97"/>
      <c r="Q695" s="197"/>
    </row>
    <row r="696" spans="3:17" x14ac:dyDescent="0.25">
      <c r="C696" s="210"/>
      <c r="D696" s="115"/>
      <c r="E696" s="29"/>
      <c r="F696" s="92"/>
      <c r="H696" s="119"/>
      <c r="I696" s="26"/>
      <c r="J696" s="101"/>
      <c r="K696" s="37"/>
      <c r="L696" s="26"/>
      <c r="M696" s="26"/>
      <c r="N696" s="26"/>
      <c r="O696" s="95"/>
      <c r="P696" s="97"/>
      <c r="Q696" s="197"/>
    </row>
    <row r="697" spans="3:17" x14ac:dyDescent="0.25">
      <c r="C697" s="210"/>
      <c r="D697" s="115"/>
      <c r="E697" s="29"/>
      <c r="F697" s="92"/>
      <c r="H697" s="119"/>
      <c r="I697" s="26"/>
      <c r="J697" s="101"/>
      <c r="K697" s="37"/>
      <c r="L697" s="26"/>
      <c r="M697" s="26"/>
      <c r="N697" s="26"/>
      <c r="O697" s="95"/>
      <c r="P697" s="97"/>
      <c r="Q697" s="197"/>
    </row>
    <row r="698" spans="3:17" x14ac:dyDescent="0.25">
      <c r="C698" s="210"/>
      <c r="D698" s="115"/>
      <c r="E698" s="29"/>
      <c r="F698" s="92"/>
      <c r="H698" s="119"/>
      <c r="I698" s="26"/>
      <c r="J698" s="101"/>
      <c r="K698" s="37"/>
      <c r="L698" s="26"/>
      <c r="M698" s="26"/>
      <c r="N698" s="26"/>
      <c r="O698" s="95"/>
      <c r="P698" s="97"/>
      <c r="Q698" s="197"/>
    </row>
    <row r="699" spans="3:17" x14ac:dyDescent="0.25">
      <c r="C699" s="210"/>
      <c r="D699" s="115"/>
      <c r="E699" s="29"/>
      <c r="F699" s="92"/>
      <c r="H699" s="119"/>
      <c r="I699" s="26"/>
      <c r="J699" s="101"/>
      <c r="K699" s="37"/>
      <c r="L699" s="26"/>
      <c r="M699" s="26"/>
      <c r="N699" s="26"/>
      <c r="O699" s="95"/>
      <c r="P699" s="97"/>
      <c r="Q699" s="197"/>
    </row>
    <row r="700" spans="3:17" x14ac:dyDescent="0.25">
      <c r="C700" s="210"/>
      <c r="D700" s="115"/>
      <c r="E700" s="29"/>
      <c r="F700" s="92"/>
      <c r="H700" s="119"/>
      <c r="I700" s="26"/>
      <c r="J700" s="101"/>
      <c r="K700" s="37"/>
      <c r="L700" s="26"/>
      <c r="M700" s="26"/>
      <c r="N700" s="26"/>
      <c r="O700" s="95"/>
      <c r="P700" s="97"/>
      <c r="Q700" s="197"/>
    </row>
    <row r="701" spans="3:17" x14ac:dyDescent="0.25">
      <c r="C701" s="210"/>
      <c r="D701" s="115"/>
      <c r="E701" s="29"/>
      <c r="F701" s="92"/>
      <c r="H701" s="119"/>
      <c r="I701" s="26"/>
      <c r="J701" s="101"/>
      <c r="K701" s="37"/>
      <c r="L701" s="26"/>
      <c r="M701" s="26"/>
      <c r="N701" s="26"/>
      <c r="O701" s="95"/>
      <c r="P701" s="97"/>
      <c r="Q701" s="197"/>
    </row>
    <row r="702" spans="3:17" x14ac:dyDescent="0.25">
      <c r="C702" s="210"/>
      <c r="D702" s="115"/>
      <c r="E702" s="29"/>
      <c r="F702" s="92"/>
      <c r="H702" s="119"/>
      <c r="I702" s="26"/>
      <c r="J702" s="101"/>
      <c r="K702" s="37"/>
      <c r="L702" s="26"/>
      <c r="M702" s="26"/>
      <c r="N702" s="26"/>
      <c r="O702" s="95"/>
      <c r="P702" s="97"/>
      <c r="Q702" s="197"/>
    </row>
    <row r="703" spans="3:17" x14ac:dyDescent="0.25">
      <c r="C703" s="210"/>
      <c r="D703" s="115"/>
      <c r="E703" s="29"/>
      <c r="F703" s="92"/>
      <c r="H703" s="119"/>
      <c r="I703" s="26"/>
      <c r="J703" s="101"/>
      <c r="K703" s="37"/>
      <c r="L703" s="26"/>
      <c r="M703" s="26"/>
      <c r="N703" s="26"/>
      <c r="O703" s="95"/>
      <c r="P703" s="97"/>
      <c r="Q703" s="197"/>
    </row>
    <row r="704" spans="3:17" x14ac:dyDescent="0.25">
      <c r="C704" s="210"/>
      <c r="D704" s="115"/>
      <c r="E704" s="29"/>
      <c r="F704" s="92"/>
      <c r="H704" s="119"/>
      <c r="I704" s="26"/>
      <c r="J704" s="101"/>
      <c r="K704" s="37"/>
      <c r="L704" s="26"/>
      <c r="M704" s="26"/>
      <c r="N704" s="26"/>
      <c r="O704" s="95"/>
      <c r="P704" s="97"/>
      <c r="Q704" s="197"/>
    </row>
    <row r="705" spans="3:17" x14ac:dyDescent="0.25">
      <c r="C705" s="210"/>
      <c r="D705" s="115"/>
      <c r="E705" s="29"/>
      <c r="F705" s="92"/>
      <c r="H705" s="119"/>
      <c r="I705" s="26"/>
      <c r="J705" s="101"/>
      <c r="K705" s="37"/>
      <c r="L705" s="26"/>
      <c r="M705" s="26"/>
      <c r="N705" s="26"/>
      <c r="O705" s="95"/>
      <c r="P705" s="97"/>
      <c r="Q705" s="197"/>
    </row>
    <row r="706" spans="3:17" x14ac:dyDescent="0.25">
      <c r="C706" s="210"/>
      <c r="D706" s="115"/>
      <c r="E706" s="29"/>
      <c r="F706" s="92"/>
      <c r="H706" s="119"/>
      <c r="I706" s="26"/>
      <c r="J706" s="101"/>
      <c r="K706" s="37"/>
      <c r="L706" s="26"/>
      <c r="M706" s="26"/>
      <c r="N706" s="26"/>
      <c r="O706" s="95"/>
      <c r="P706" s="97"/>
      <c r="Q706" s="197"/>
    </row>
    <row r="707" spans="3:17" x14ac:dyDescent="0.25">
      <c r="C707" s="210"/>
      <c r="D707" s="115"/>
      <c r="E707" s="29"/>
      <c r="F707" s="92"/>
      <c r="H707" s="119"/>
      <c r="I707" s="26"/>
      <c r="J707" s="101"/>
      <c r="K707" s="37"/>
      <c r="L707" s="26"/>
      <c r="M707" s="26"/>
      <c r="N707" s="26"/>
      <c r="O707" s="95"/>
      <c r="P707" s="97"/>
      <c r="Q707" s="197"/>
    </row>
    <row r="708" spans="3:17" x14ac:dyDescent="0.25">
      <c r="C708" s="210"/>
      <c r="D708" s="115"/>
      <c r="E708" s="29"/>
      <c r="F708" s="92"/>
      <c r="H708" s="119"/>
      <c r="I708" s="26"/>
      <c r="J708" s="101"/>
      <c r="K708" s="37"/>
      <c r="L708" s="26"/>
      <c r="M708" s="26"/>
      <c r="N708" s="26"/>
      <c r="O708" s="95"/>
      <c r="P708" s="97"/>
      <c r="Q708" s="197"/>
    </row>
    <row r="709" spans="3:17" x14ac:dyDescent="0.25">
      <c r="C709" s="210"/>
      <c r="D709" s="115"/>
      <c r="E709" s="29"/>
      <c r="F709" s="92"/>
      <c r="H709" s="119"/>
      <c r="I709" s="26"/>
      <c r="J709" s="101"/>
      <c r="K709" s="37"/>
      <c r="L709" s="26"/>
      <c r="M709" s="26"/>
      <c r="N709" s="26"/>
      <c r="O709" s="95"/>
      <c r="P709" s="97"/>
      <c r="Q709" s="197"/>
    </row>
    <row r="710" spans="3:17" x14ac:dyDescent="0.25">
      <c r="C710" s="210"/>
      <c r="D710" s="115"/>
      <c r="E710" s="29"/>
      <c r="F710" s="92"/>
      <c r="H710" s="119"/>
      <c r="I710" s="26"/>
      <c r="J710" s="101"/>
      <c r="K710" s="37"/>
      <c r="L710" s="26"/>
      <c r="M710" s="26"/>
      <c r="N710" s="26"/>
      <c r="O710" s="95"/>
      <c r="P710" s="97"/>
      <c r="Q710" s="197"/>
    </row>
    <row r="711" spans="3:17" x14ac:dyDescent="0.25">
      <c r="C711" s="210"/>
      <c r="D711" s="115"/>
      <c r="E711" s="29"/>
      <c r="F711" s="92"/>
      <c r="H711" s="119"/>
      <c r="I711" s="26"/>
      <c r="J711" s="101"/>
      <c r="K711" s="37"/>
      <c r="L711" s="26"/>
      <c r="M711" s="26"/>
      <c r="N711" s="26"/>
      <c r="O711" s="95"/>
      <c r="P711" s="97"/>
      <c r="Q711" s="197"/>
    </row>
    <row r="712" spans="3:17" x14ac:dyDescent="0.25">
      <c r="C712" s="210"/>
      <c r="D712" s="115"/>
      <c r="E712" s="29"/>
      <c r="F712" s="92"/>
      <c r="H712" s="119"/>
      <c r="I712" s="26"/>
      <c r="J712" s="101"/>
      <c r="K712" s="37"/>
      <c r="L712" s="26"/>
      <c r="M712" s="26"/>
      <c r="N712" s="26"/>
      <c r="O712" s="95"/>
      <c r="P712" s="97"/>
      <c r="Q712" s="197"/>
    </row>
    <row r="713" spans="3:17" x14ac:dyDescent="0.25">
      <c r="C713" s="210"/>
      <c r="D713" s="115"/>
      <c r="E713" s="29"/>
      <c r="F713" s="92"/>
      <c r="H713" s="119"/>
      <c r="I713" s="26"/>
      <c r="J713" s="101"/>
      <c r="K713" s="37"/>
      <c r="L713" s="26"/>
      <c r="M713" s="26"/>
      <c r="N713" s="26"/>
      <c r="O713" s="95"/>
      <c r="P713" s="97"/>
      <c r="Q713" s="197"/>
    </row>
    <row r="714" spans="3:17" x14ac:dyDescent="0.25">
      <c r="C714" s="210"/>
      <c r="D714" s="115"/>
      <c r="E714" s="29"/>
      <c r="F714" s="92"/>
      <c r="H714" s="119"/>
      <c r="I714" s="26"/>
      <c r="J714" s="101"/>
      <c r="K714" s="37"/>
      <c r="L714" s="26"/>
      <c r="M714" s="26"/>
      <c r="N714" s="26"/>
      <c r="O714" s="95"/>
      <c r="P714" s="97"/>
      <c r="Q714" s="197"/>
    </row>
    <row r="715" spans="3:17" x14ac:dyDescent="0.25">
      <c r="C715" s="210"/>
      <c r="D715" s="115"/>
      <c r="E715" s="29"/>
      <c r="F715" s="92"/>
      <c r="H715" s="119"/>
      <c r="I715" s="26"/>
      <c r="J715" s="101"/>
      <c r="K715" s="37"/>
      <c r="L715" s="26"/>
      <c r="M715" s="26"/>
      <c r="N715" s="26"/>
      <c r="O715" s="95"/>
      <c r="P715" s="97"/>
      <c r="Q715" s="197"/>
    </row>
    <row r="716" spans="3:17" x14ac:dyDescent="0.25">
      <c r="C716" s="210"/>
      <c r="D716" s="115"/>
      <c r="E716" s="29"/>
      <c r="F716" s="92"/>
      <c r="H716" s="119"/>
      <c r="I716" s="26"/>
      <c r="J716" s="101"/>
      <c r="K716" s="37"/>
      <c r="L716" s="26"/>
      <c r="M716" s="26"/>
      <c r="N716" s="26"/>
      <c r="O716" s="95"/>
      <c r="P716" s="97"/>
      <c r="Q716" s="197"/>
    </row>
    <row r="717" spans="3:17" x14ac:dyDescent="0.25">
      <c r="C717" s="210"/>
      <c r="D717" s="115"/>
      <c r="E717" s="29"/>
      <c r="F717" s="92"/>
      <c r="H717" s="119"/>
      <c r="I717" s="26"/>
      <c r="J717" s="101"/>
      <c r="K717" s="37"/>
      <c r="L717" s="26"/>
      <c r="M717" s="26"/>
      <c r="N717" s="26"/>
      <c r="O717" s="95"/>
      <c r="P717" s="97"/>
      <c r="Q717" s="197"/>
    </row>
    <row r="718" spans="3:17" x14ac:dyDescent="0.25">
      <c r="C718" s="210"/>
      <c r="D718" s="115"/>
      <c r="E718" s="29"/>
      <c r="F718" s="92"/>
      <c r="H718" s="119"/>
      <c r="I718" s="26"/>
      <c r="J718" s="101"/>
      <c r="K718" s="37"/>
      <c r="L718" s="26"/>
      <c r="M718" s="26"/>
      <c r="N718" s="26"/>
      <c r="O718" s="95"/>
      <c r="P718" s="97"/>
      <c r="Q718" s="197"/>
    </row>
    <row r="719" spans="3:17" x14ac:dyDescent="0.25">
      <c r="C719" s="210"/>
      <c r="D719" s="115"/>
      <c r="E719" s="29"/>
      <c r="F719" s="92"/>
      <c r="H719" s="119"/>
      <c r="I719" s="26"/>
      <c r="J719" s="101"/>
      <c r="K719" s="37"/>
      <c r="L719" s="26"/>
      <c r="M719" s="26"/>
      <c r="N719" s="26"/>
      <c r="O719" s="95"/>
      <c r="P719" s="97"/>
      <c r="Q719" s="197"/>
    </row>
    <row r="720" spans="3:17" x14ac:dyDescent="0.25">
      <c r="C720" s="210"/>
      <c r="D720" s="115"/>
      <c r="E720" s="29"/>
      <c r="F720" s="92"/>
      <c r="H720" s="119"/>
      <c r="I720" s="26"/>
      <c r="J720" s="101"/>
      <c r="K720" s="37"/>
      <c r="L720" s="26"/>
      <c r="M720" s="26"/>
      <c r="N720" s="26"/>
      <c r="O720" s="95"/>
      <c r="P720" s="97"/>
      <c r="Q720" s="197"/>
    </row>
    <row r="721" spans="3:17" x14ac:dyDescent="0.25">
      <c r="C721" s="210"/>
      <c r="D721" s="115"/>
      <c r="E721" s="29"/>
      <c r="F721" s="92"/>
      <c r="H721" s="119"/>
      <c r="I721" s="26"/>
      <c r="J721" s="101"/>
      <c r="K721" s="37"/>
      <c r="L721" s="26"/>
      <c r="M721" s="26"/>
      <c r="N721" s="26"/>
      <c r="O721" s="95"/>
      <c r="P721" s="97"/>
      <c r="Q721" s="197"/>
    </row>
    <row r="722" spans="3:17" x14ac:dyDescent="0.25">
      <c r="C722" s="210"/>
      <c r="D722" s="115"/>
      <c r="E722" s="29"/>
      <c r="F722" s="92"/>
      <c r="H722" s="119"/>
      <c r="I722" s="26"/>
      <c r="J722" s="101"/>
      <c r="K722" s="37"/>
      <c r="L722" s="26"/>
      <c r="M722" s="26"/>
      <c r="N722" s="26"/>
      <c r="O722" s="95"/>
      <c r="P722" s="97"/>
      <c r="Q722" s="197"/>
    </row>
    <row r="723" spans="3:17" x14ac:dyDescent="0.25">
      <c r="C723" s="210"/>
      <c r="D723" s="115"/>
      <c r="E723" s="29"/>
      <c r="F723" s="92"/>
      <c r="H723" s="119"/>
      <c r="I723" s="26"/>
      <c r="J723" s="101"/>
      <c r="K723" s="37"/>
      <c r="L723" s="26"/>
      <c r="M723" s="26"/>
      <c r="N723" s="26"/>
      <c r="O723" s="95"/>
      <c r="P723" s="97"/>
      <c r="Q723" s="197"/>
    </row>
    <row r="724" spans="3:17" x14ac:dyDescent="0.25">
      <c r="C724" s="210"/>
      <c r="D724" s="115"/>
      <c r="E724" s="29"/>
      <c r="F724" s="92"/>
      <c r="H724" s="119"/>
      <c r="I724" s="26"/>
      <c r="J724" s="101"/>
      <c r="K724" s="37"/>
      <c r="L724" s="26"/>
      <c r="M724" s="26"/>
      <c r="N724" s="26"/>
      <c r="O724" s="95"/>
      <c r="P724" s="97"/>
      <c r="Q724" s="197"/>
    </row>
    <row r="725" spans="3:17" x14ac:dyDescent="0.25">
      <c r="C725" s="210"/>
      <c r="D725" s="115"/>
      <c r="E725" s="29"/>
      <c r="F725" s="92"/>
      <c r="H725" s="119"/>
      <c r="I725" s="26"/>
      <c r="J725" s="101"/>
      <c r="K725" s="37"/>
      <c r="L725" s="26"/>
      <c r="M725" s="26"/>
      <c r="N725" s="26"/>
      <c r="O725" s="95"/>
      <c r="P725" s="97"/>
      <c r="Q725" s="197"/>
    </row>
    <row r="726" spans="3:17" x14ac:dyDescent="0.25">
      <c r="C726" s="210"/>
      <c r="D726" s="115"/>
      <c r="E726" s="29"/>
      <c r="F726" s="92"/>
      <c r="H726" s="119"/>
      <c r="I726" s="26"/>
      <c r="J726" s="101"/>
      <c r="K726" s="37"/>
      <c r="L726" s="26"/>
      <c r="M726" s="26"/>
      <c r="N726" s="26"/>
      <c r="O726" s="95"/>
      <c r="P726" s="97"/>
      <c r="Q726" s="197"/>
    </row>
    <row r="727" spans="3:17" x14ac:dyDescent="0.25">
      <c r="C727" s="210"/>
      <c r="D727" s="115"/>
      <c r="E727" s="29"/>
      <c r="F727" s="92"/>
      <c r="H727" s="119"/>
      <c r="I727" s="26"/>
      <c r="J727" s="101"/>
      <c r="K727" s="37"/>
      <c r="L727" s="26"/>
      <c r="M727" s="26"/>
      <c r="N727" s="26"/>
      <c r="O727" s="95"/>
      <c r="P727" s="97"/>
      <c r="Q727" s="197"/>
    </row>
    <row r="728" spans="3:17" x14ac:dyDescent="0.25">
      <c r="C728" s="210"/>
      <c r="D728" s="115"/>
      <c r="E728" s="29"/>
      <c r="F728" s="92"/>
      <c r="H728" s="119"/>
      <c r="I728" s="26"/>
      <c r="J728" s="101"/>
      <c r="K728" s="37"/>
      <c r="L728" s="26"/>
      <c r="M728" s="26"/>
      <c r="N728" s="26"/>
      <c r="O728" s="95"/>
      <c r="P728" s="97"/>
      <c r="Q728" s="197"/>
    </row>
    <row r="729" spans="3:17" x14ac:dyDescent="0.25">
      <c r="C729" s="210"/>
      <c r="D729" s="115"/>
      <c r="E729" s="29"/>
      <c r="F729" s="92"/>
      <c r="H729" s="119"/>
      <c r="I729" s="26"/>
      <c r="J729" s="101"/>
      <c r="K729" s="37"/>
      <c r="L729" s="26"/>
      <c r="M729" s="26"/>
      <c r="N729" s="26"/>
      <c r="O729" s="95"/>
      <c r="P729" s="97"/>
      <c r="Q729" s="197"/>
    </row>
    <row r="730" spans="3:17" x14ac:dyDescent="0.25">
      <c r="C730" s="210"/>
      <c r="D730" s="115"/>
      <c r="E730" s="29"/>
      <c r="F730" s="92"/>
      <c r="H730" s="119"/>
      <c r="I730" s="26"/>
      <c r="J730" s="101"/>
      <c r="K730" s="37"/>
      <c r="L730" s="26"/>
      <c r="M730" s="26"/>
      <c r="N730" s="26"/>
      <c r="O730" s="95"/>
      <c r="P730" s="97"/>
      <c r="Q730" s="197"/>
    </row>
    <row r="731" spans="3:17" x14ac:dyDescent="0.25">
      <c r="C731" s="210"/>
      <c r="D731" s="115"/>
      <c r="E731" s="29"/>
      <c r="F731" s="92"/>
      <c r="H731" s="119"/>
      <c r="I731" s="26"/>
      <c r="J731" s="101"/>
      <c r="K731" s="37"/>
      <c r="L731" s="26"/>
      <c r="M731" s="26"/>
      <c r="N731" s="26"/>
      <c r="O731" s="95"/>
      <c r="P731" s="97"/>
      <c r="Q731" s="197"/>
    </row>
    <row r="732" spans="3:17" x14ac:dyDescent="0.25">
      <c r="C732" s="210"/>
      <c r="D732" s="115"/>
      <c r="E732" s="29"/>
      <c r="F732" s="92"/>
      <c r="H732" s="119"/>
      <c r="I732" s="26"/>
      <c r="J732" s="101"/>
      <c r="K732" s="37"/>
      <c r="L732" s="26"/>
      <c r="M732" s="26"/>
      <c r="N732" s="26"/>
      <c r="O732" s="95"/>
      <c r="P732" s="97"/>
      <c r="Q732" s="197"/>
    </row>
    <row r="733" spans="3:17" x14ac:dyDescent="0.25">
      <c r="C733" s="210"/>
      <c r="D733" s="115"/>
      <c r="E733" s="29"/>
      <c r="F733" s="92"/>
      <c r="H733" s="119"/>
      <c r="I733" s="26"/>
      <c r="J733" s="101"/>
      <c r="K733" s="37"/>
      <c r="L733" s="26"/>
      <c r="M733" s="26"/>
      <c r="N733" s="26"/>
      <c r="O733" s="95"/>
      <c r="P733" s="97"/>
      <c r="Q733" s="197"/>
    </row>
    <row r="734" spans="3:17" x14ac:dyDescent="0.25">
      <c r="C734" s="210"/>
      <c r="D734" s="115"/>
      <c r="E734" s="29"/>
      <c r="F734" s="92"/>
      <c r="H734" s="119"/>
      <c r="I734" s="26"/>
      <c r="J734" s="101"/>
      <c r="K734" s="37"/>
      <c r="L734" s="26"/>
      <c r="M734" s="26"/>
      <c r="N734" s="26"/>
      <c r="O734" s="95"/>
      <c r="P734" s="97"/>
      <c r="Q734" s="197"/>
    </row>
    <row r="735" spans="3:17" x14ac:dyDescent="0.25">
      <c r="C735" s="215"/>
      <c r="D735" s="133"/>
      <c r="E735" s="134"/>
      <c r="F735" s="93"/>
      <c r="H735" s="117"/>
      <c r="I735" s="40"/>
      <c r="J735" s="121"/>
      <c r="L735" s="31"/>
      <c r="M735" s="31"/>
      <c r="N735" s="31"/>
      <c r="O735" s="122"/>
      <c r="P735" s="98"/>
      <c r="Q735" s="213"/>
    </row>
    <row r="736" spans="3:17" x14ac:dyDescent="0.25">
      <c r="O736" s="6" t="s">
        <v>255</v>
      </c>
      <c r="P736" s="144">
        <f>SUM(P22:P735)</f>
        <v>3727430.605666515</v>
      </c>
      <c r="Q736" s="208"/>
    </row>
  </sheetData>
  <conditionalFormatting sqref="F22:F735">
    <cfRule type="containsText" dxfId="8" priority="2" operator="containsText" text="ERROR">
      <formula>NOT(ISERROR(SEARCH("ERROR",F22)))</formula>
    </cfRule>
  </conditionalFormatting>
  <conditionalFormatting sqref="J22:J735">
    <cfRule type="cellIs" dxfId="7" priority="3"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Q902"/>
  <sheetViews>
    <sheetView showGridLines="0" zoomScale="85" zoomScaleNormal="85" workbookViewId="0">
      <pane ySplit="21" topLeftCell="A22" activePane="bottomLeft" state="frozen"/>
      <selection activeCell="F22" sqref="F22"/>
      <selection pane="bottomLeft" activeCell="C22" sqref="C22"/>
    </sheetView>
  </sheetViews>
  <sheetFormatPr defaultRowHeight="11.5" outlineLevelRow="1" x14ac:dyDescent="0.25"/>
  <cols>
    <col min="1" max="1" width="2.69921875" style="254" customWidth="1"/>
    <col min="2" max="2" width="12" style="254" bestFit="1" customWidth="1"/>
    <col min="3" max="3" width="22.59765625" customWidth="1"/>
    <col min="4" max="4" width="49.69921875" customWidth="1"/>
    <col min="5" max="5" width="18.1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5.8984375" style="212" customWidth="1"/>
    <col min="18" max="18" width="9.09765625" customWidth="1"/>
  </cols>
  <sheetData>
    <row r="1" spans="3:17" x14ac:dyDescent="0.25">
      <c r="E1" s="32"/>
    </row>
    <row r="2" spans="3:17" x14ac:dyDescent="0.25">
      <c r="E2" s="32"/>
    </row>
    <row r="3" spans="3:17" ht="20" x14ac:dyDescent="0.4">
      <c r="C3" s="59" t="s">
        <v>256</v>
      </c>
    </row>
    <row r="4" spans="3:17" hidden="1" outlineLevel="1" x14ac:dyDescent="0.25"/>
    <row r="5" spans="3:17" hidden="1" outlineLevel="1" x14ac:dyDescent="0.25">
      <c r="D5" s="32"/>
    </row>
    <row r="6" spans="3:17" ht="12" hidden="1" customHeight="1" outlineLevel="1" x14ac:dyDescent="0.25">
      <c r="C6" s="214"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Q6" s="208"/>
    </row>
    <row r="7" spans="3:17" hidden="1" outlineLevel="1" x14ac:dyDescent="0.25">
      <c r="C7" s="132" t="str">
        <f ca="1">"Hyperlink to the '"&amp;MID(CELL("filename",'Asset exclusions'!A1),FIND("]",CELL("filename",'Asset exclusions'!A1))+1,255)&amp;"' worksheet:"</f>
        <v>Hyperlink to the 'Asset exclusions' worksheet:</v>
      </c>
      <c r="E7" s="163" t="s">
        <v>175</v>
      </c>
      <c r="Q7" s="208"/>
    </row>
    <row r="8" spans="3:17" hidden="1" outlineLevel="1" x14ac:dyDescent="0.25">
      <c r="C8" s="132"/>
      <c r="E8" s="163"/>
      <c r="Q8" s="208"/>
    </row>
    <row r="9" spans="3:17" hidden="1" outlineLevel="1" x14ac:dyDescent="0.25">
      <c r="C9" s="132" t="s">
        <v>176</v>
      </c>
      <c r="E9" s="163"/>
      <c r="Q9" s="208"/>
    </row>
    <row r="10" spans="3:17" hidden="1" outlineLevel="1" x14ac:dyDescent="0.25">
      <c r="C10" s="132" t="s">
        <v>177</v>
      </c>
      <c r="E10" s="163"/>
      <c r="Q10" s="208"/>
    </row>
    <row r="11" spans="3:17" hidden="1" outlineLevel="1" x14ac:dyDescent="0.25">
      <c r="C11" s="132" t="s">
        <v>178</v>
      </c>
      <c r="E11" s="163"/>
      <c r="Q11" s="208"/>
    </row>
    <row r="12" spans="3:17" hidden="1" outlineLevel="1" x14ac:dyDescent="0.25">
      <c r="C12" s="132" t="s">
        <v>179</v>
      </c>
      <c r="E12" s="163"/>
      <c r="Q12" s="208"/>
    </row>
    <row r="13" spans="3:17" collapsed="1" x14ac:dyDescent="0.25">
      <c r="Q13" s="208"/>
    </row>
    <row r="14" spans="3:17" ht="12" x14ac:dyDescent="0.3">
      <c r="C14" s="6" t="s">
        <v>180</v>
      </c>
      <c r="H14" s="198" t="s">
        <v>181</v>
      </c>
      <c r="L14" s="205" t="s">
        <v>257</v>
      </c>
      <c r="M14" s="288"/>
      <c r="N14" s="288"/>
      <c r="Q14" s="208"/>
    </row>
    <row r="15" spans="3:17" ht="12" x14ac:dyDescent="0.3">
      <c r="C15" s="65" t="s">
        <v>182</v>
      </c>
      <c r="E15" s="89">
        <f>'General inputs'!$H$24+1</f>
        <v>35065</v>
      </c>
      <c r="H15" s="199" t="s">
        <v>183</v>
      </c>
      <c r="I15" s="200">
        <f>SUMIF($B$22:$B$900,H15,$P$22:$P$900)/$J$22</f>
        <v>18315899.697019391</v>
      </c>
      <c r="L15" s="200">
        <f>'Pre-1996 assets'!I15+I15</f>
        <v>63447314.335641973</v>
      </c>
      <c r="M15" s="289"/>
      <c r="N15" s="206"/>
      <c r="P15" s="217"/>
      <c r="Q15" s="208"/>
    </row>
    <row r="16" spans="3:17" ht="12" x14ac:dyDescent="0.3">
      <c r="C16" s="65" t="s">
        <v>184</v>
      </c>
      <c r="E16" s="90">
        <f>'General inputs'!$H$18</f>
        <v>44377</v>
      </c>
      <c r="H16" s="201" t="s">
        <v>185</v>
      </c>
      <c r="I16" s="202">
        <f>SUMIF($B$22:$B$900,H16,$P$22:$P$900)/$J$22</f>
        <v>689515.50332032586</v>
      </c>
      <c r="L16" s="202">
        <f>'Pre-1996 assets'!I16+I16</f>
        <v>689515.50332032586</v>
      </c>
      <c r="M16" s="289"/>
      <c r="N16" s="206"/>
      <c r="Q16" s="208"/>
    </row>
    <row r="17" spans="1:17" ht="12" x14ac:dyDescent="0.3">
      <c r="H17" s="201" t="s">
        <v>186</v>
      </c>
      <c r="I17" s="202">
        <f>SUMIF($B$22:$B$3746,H17,$P$22:$P$3746)/$J$22</f>
        <v>2898807.2969418564</v>
      </c>
      <c r="L17" s="202">
        <f>'Pre-1996 assets'!I17+I17</f>
        <v>7134595.3868969679</v>
      </c>
      <c r="M17" s="289"/>
      <c r="N17" s="206"/>
      <c r="Q17" s="208"/>
    </row>
    <row r="18" spans="1:17" ht="15.5" x14ac:dyDescent="0.35">
      <c r="C18" s="2" t="s">
        <v>258</v>
      </c>
      <c r="H18" s="203" t="s">
        <v>188</v>
      </c>
      <c r="I18" s="204">
        <f>SUMIF($B$22:$B$3746,H18,$P$22:$P$3746)/$J$22</f>
        <v>713614.34249740478</v>
      </c>
      <c r="L18" s="204">
        <f>'Pre-1996 assets'!I18+I18</f>
        <v>31464888.633455262</v>
      </c>
      <c r="M18" s="289"/>
      <c r="N18" s="206"/>
      <c r="Q18" s="208"/>
    </row>
    <row r="19" spans="1:17" ht="12" x14ac:dyDescent="0.3">
      <c r="H19" s="201" t="s">
        <v>259</v>
      </c>
      <c r="I19" s="202">
        <f>SUMIF($B$22:$B$791,H19,$P$22:$P$791)/$J$22</f>
        <v>673082</v>
      </c>
      <c r="L19" s="202">
        <f>'Pre-1996 assets'!I19+I19</f>
        <v>673082</v>
      </c>
      <c r="M19" s="289"/>
      <c r="N19" s="289"/>
      <c r="Q19" s="208"/>
    </row>
    <row r="20" spans="1:17" x14ac:dyDescent="0.25">
      <c r="C20" s="6" t="s">
        <v>189</v>
      </c>
      <c r="H20" s="6" t="s">
        <v>190</v>
      </c>
      <c r="L20" s="6" t="s">
        <v>191</v>
      </c>
      <c r="M20" s="6"/>
      <c r="Q20" s="208"/>
    </row>
    <row r="21" spans="1:17" ht="46" x14ac:dyDescent="0.25">
      <c r="C21" s="24" t="s">
        <v>192</v>
      </c>
      <c r="D21" s="24" t="s">
        <v>193</v>
      </c>
      <c r="E21" s="24" t="s">
        <v>194</v>
      </c>
      <c r="F21" s="24" t="s">
        <v>260</v>
      </c>
      <c r="H21" s="24" t="s">
        <v>196</v>
      </c>
      <c r="I21" s="24" t="s">
        <v>197</v>
      </c>
      <c r="J21" s="24" t="s">
        <v>198</v>
      </c>
      <c r="L21" s="24" t="s">
        <v>199</v>
      </c>
      <c r="M21" s="24" t="s">
        <v>200</v>
      </c>
      <c r="N21" s="24" t="str">
        <f>"MEERA value per unit/measure of length (B) 
("&amp;'General inputs'!$H$42&amp;" as at 1 July "&amp;LEFT('General inputs'!$I$40,4)&amp;")"</f>
        <v>MEERA value per unit/measure of length (B) 
($ as at 1 July 2021)</v>
      </c>
      <c r="O21" s="24" t="str">
        <f>"Total MEERA value (A x B)
("&amp;'General inputs'!$H$42&amp;", $"&amp;'General inputs'!$I$40&amp;")"</f>
        <v>Total MEERA value (A x B)
($, $2021-22)</v>
      </c>
      <c r="P21" s="24" t="str">
        <f>"MEERA value to be recovered via DSP ("&amp;'General inputs'!$H$42&amp;", $"&amp;'General inputs'!$I$40&amp;")"</f>
        <v>MEERA value to be recovered via DSP ($, $2021-22)</v>
      </c>
      <c r="Q21" s="211" t="s">
        <v>201</v>
      </c>
    </row>
    <row r="22" spans="1:17" x14ac:dyDescent="0.25">
      <c r="A22" s="254">
        <v>1996</v>
      </c>
      <c r="B22" s="254" t="s">
        <v>183</v>
      </c>
      <c r="C22" s="209"/>
      <c r="D22" s="114" t="s">
        <v>261</v>
      </c>
      <c r="E22" s="33">
        <f t="shared" ref="E22:E85" si="0">IF(A22&lt;2022,DATEVALUE("30 Jun "&amp;A22),A22)</f>
        <v>35246</v>
      </c>
      <c r="F22" s="99" t="str">
        <f>IF(E22="","-",IF(OR(E22&lt;$E$15,E22&gt;$E$16),"ERROR - date outside of range",IF(MONTH(E22)&gt;=7,YEAR(E22)&amp;"-"&amp;IF(YEAR(E22)=1999,"00",IF(AND(YEAR(E22)&gt;=2000,YEAR(E22)&lt;2009),"0","")&amp;RIGHT(YEAR(E22),2)+1),RIGHT(YEAR(E22),4)-1&amp;"-"&amp;RIGHT(YEAR(E22),2))))</f>
        <v>1995-96</v>
      </c>
      <c r="H22" s="118"/>
      <c r="I22" s="25"/>
      <c r="J22" s="100">
        <f>'ET inputs'!AP21</f>
        <v>0.84443766578674484</v>
      </c>
      <c r="K22" s="37"/>
      <c r="L22" s="25">
        <v>4461</v>
      </c>
      <c r="M22" s="25" t="s">
        <v>204</v>
      </c>
      <c r="N22" s="25">
        <v>1756.7101215366704</v>
      </c>
      <c r="O22" s="94">
        <f t="shared" ref="O22:O85" si="1">IF(N22="","-",L22*N22)</f>
        <v>7836683.8521750867</v>
      </c>
      <c r="P22" s="96">
        <f t="shared" ref="P22:P85" si="2">IF(O22="-","-",IF(OR(E22&lt;$E$15,E22&gt;$E$16),0,O22*J22))*Q22</f>
        <v>661759.10196394066</v>
      </c>
      <c r="Q22" s="197">
        <v>0.1</v>
      </c>
    </row>
    <row r="23" spans="1:17" x14ac:dyDescent="0.25">
      <c r="A23" s="254">
        <v>1996</v>
      </c>
      <c r="B23" s="254" t="s">
        <v>183</v>
      </c>
      <c r="C23" s="210"/>
      <c r="D23" s="115" t="s">
        <v>261</v>
      </c>
      <c r="E23" s="34">
        <f t="shared" si="0"/>
        <v>35246</v>
      </c>
      <c r="F23" s="108" t="str">
        <f t="shared" ref="F23:F86" si="3">IF(E23="","-",IF(OR(E23&lt;$E$15,E23&gt;$E$16),"ERROR - date outside of range",IF(MONTH(E23)&gt;=7,YEAR(E23)&amp;"-"&amp;IF(YEAR(E23)=1999,"00",IF(AND(YEAR(E23)&gt;=2000,YEAR(E23)&lt;2009),"0","")&amp;RIGHT(YEAR(E23),2)+1),RIGHT(YEAR(E23),4)-1&amp;"-"&amp;RIGHT(YEAR(E23),2))))</f>
        <v>1995-96</v>
      </c>
      <c r="H23" s="119"/>
      <c r="I23" s="26"/>
      <c r="J23" s="101">
        <f t="shared" ref="J23:J85" si="4">J22</f>
        <v>0.84443766578674484</v>
      </c>
      <c r="K23" s="37"/>
      <c r="L23" s="141">
        <v>434</v>
      </c>
      <c r="M23" s="26" t="s">
        <v>204</v>
      </c>
      <c r="N23" s="26">
        <v>1756.7101215366704</v>
      </c>
      <c r="O23" s="95">
        <f t="shared" si="1"/>
        <v>762412.19274691492</v>
      </c>
      <c r="P23" s="97">
        <f t="shared" si="2"/>
        <v>64380.957241055861</v>
      </c>
      <c r="Q23" s="197">
        <v>0.1</v>
      </c>
    </row>
    <row r="24" spans="1:17" x14ac:dyDescent="0.25">
      <c r="A24" s="254">
        <v>1996</v>
      </c>
      <c r="B24" s="254" t="s">
        <v>183</v>
      </c>
      <c r="C24" s="210"/>
      <c r="D24" s="115" t="s">
        <v>261</v>
      </c>
      <c r="E24" s="34">
        <f t="shared" si="0"/>
        <v>35246</v>
      </c>
      <c r="F24" s="108" t="str">
        <f t="shared" si="3"/>
        <v>1995-96</v>
      </c>
      <c r="H24" s="119"/>
      <c r="I24" s="26"/>
      <c r="J24" s="101">
        <f t="shared" si="4"/>
        <v>0.84443766578674484</v>
      </c>
      <c r="K24" s="37"/>
      <c r="L24" s="26">
        <v>15</v>
      </c>
      <c r="M24" s="26" t="s">
        <v>204</v>
      </c>
      <c r="N24" s="26">
        <v>1285.3180833527358</v>
      </c>
      <c r="O24" s="95">
        <f t="shared" si="1"/>
        <v>19279.771250291036</v>
      </c>
      <c r="P24" s="97">
        <f t="shared" si="2"/>
        <v>1628.0565031498154</v>
      </c>
      <c r="Q24" s="197">
        <v>0.1</v>
      </c>
    </row>
    <row r="25" spans="1:17" x14ac:dyDescent="0.25">
      <c r="A25" s="254">
        <v>1996</v>
      </c>
      <c r="B25" s="254" t="s">
        <v>183</v>
      </c>
      <c r="C25" s="210"/>
      <c r="D25" s="115" t="s">
        <v>261</v>
      </c>
      <c r="E25" s="34">
        <f t="shared" si="0"/>
        <v>35246</v>
      </c>
      <c r="F25" s="108" t="str">
        <f t="shared" si="3"/>
        <v>1995-96</v>
      </c>
      <c r="H25" s="119"/>
      <c r="I25" s="26"/>
      <c r="J25" s="101">
        <f t="shared" si="4"/>
        <v>0.84443766578674484</v>
      </c>
      <c r="K25" s="37"/>
      <c r="L25" s="26">
        <v>14</v>
      </c>
      <c r="M25" s="26" t="s">
        <v>204</v>
      </c>
      <c r="N25" s="26">
        <v>895.48176111757846</v>
      </c>
      <c r="O25" s="95">
        <f t="shared" si="1"/>
        <v>12536.744655646098</v>
      </c>
      <c r="P25" s="97">
        <f t="shared" si="2"/>
        <v>1058.649939357824</v>
      </c>
      <c r="Q25" s="197">
        <v>0.1</v>
      </c>
    </row>
    <row r="26" spans="1:17" x14ac:dyDescent="0.25">
      <c r="A26" s="254">
        <v>1996</v>
      </c>
      <c r="B26" s="254" t="s">
        <v>183</v>
      </c>
      <c r="C26" s="210"/>
      <c r="D26" s="115" t="s">
        <v>261</v>
      </c>
      <c r="E26" s="34">
        <f t="shared" si="0"/>
        <v>35246</v>
      </c>
      <c r="F26" s="108" t="str">
        <f t="shared" si="3"/>
        <v>1995-96</v>
      </c>
      <c r="H26" s="119"/>
      <c r="I26" s="26"/>
      <c r="J26" s="101">
        <f t="shared" si="4"/>
        <v>0.84443766578674484</v>
      </c>
      <c r="K26" s="37"/>
      <c r="L26" s="26">
        <v>5</v>
      </c>
      <c r="M26" s="26" t="s">
        <v>204</v>
      </c>
      <c r="N26" s="26">
        <v>789.45933038416763</v>
      </c>
      <c r="O26" s="95">
        <f t="shared" si="1"/>
        <v>3947.296651920838</v>
      </c>
      <c r="P26" s="97">
        <f t="shared" si="2"/>
        <v>333.32459709158661</v>
      </c>
      <c r="Q26" s="197">
        <v>0.1</v>
      </c>
    </row>
    <row r="27" spans="1:17" x14ac:dyDescent="0.25">
      <c r="A27" s="254">
        <v>1996</v>
      </c>
      <c r="B27" s="254" t="s">
        <v>183</v>
      </c>
      <c r="C27" s="210"/>
      <c r="D27" s="115" t="s">
        <v>261</v>
      </c>
      <c r="E27" s="34">
        <f t="shared" si="0"/>
        <v>35246</v>
      </c>
      <c r="F27" s="108" t="str">
        <f t="shared" si="3"/>
        <v>1995-96</v>
      </c>
      <c r="H27" s="119"/>
      <c r="I27" s="26"/>
      <c r="J27" s="101">
        <f t="shared" si="4"/>
        <v>0.84443766578674484</v>
      </c>
      <c r="K27" s="37"/>
      <c r="L27" s="26">
        <v>89</v>
      </c>
      <c r="M27" s="26" t="s">
        <v>204</v>
      </c>
      <c r="N27" s="26">
        <v>528.48103934807921</v>
      </c>
      <c r="O27" s="95">
        <f t="shared" si="1"/>
        <v>47034.812501979046</v>
      </c>
      <c r="P27" s="97">
        <f t="shared" si="2"/>
        <v>3971.7967279888394</v>
      </c>
      <c r="Q27" s="197">
        <v>0.1</v>
      </c>
    </row>
    <row r="28" spans="1:17" x14ac:dyDescent="0.25">
      <c r="A28" s="254">
        <v>1996</v>
      </c>
      <c r="B28" s="254" t="s">
        <v>183</v>
      </c>
      <c r="C28" s="210"/>
      <c r="D28" s="115" t="s">
        <v>261</v>
      </c>
      <c r="E28" s="34">
        <f t="shared" si="0"/>
        <v>35246</v>
      </c>
      <c r="F28" s="108" t="str">
        <f t="shared" si="3"/>
        <v>1995-96</v>
      </c>
      <c r="H28" s="119"/>
      <c r="I28" s="26"/>
      <c r="J28" s="101">
        <f t="shared" si="4"/>
        <v>0.84443766578674484</v>
      </c>
      <c r="K28" s="37"/>
      <c r="L28" s="26">
        <v>1582</v>
      </c>
      <c r="M28" s="26" t="s">
        <v>204</v>
      </c>
      <c r="N28" s="26">
        <v>2911.5390593713619</v>
      </c>
      <c r="O28" s="95">
        <f t="shared" si="1"/>
        <v>4606054.7919254946</v>
      </c>
      <c r="P28" s="97">
        <f t="shared" si="2"/>
        <v>388952.61569794151</v>
      </c>
      <c r="Q28" s="197">
        <v>0.1</v>
      </c>
    </row>
    <row r="29" spans="1:17" x14ac:dyDescent="0.25">
      <c r="A29" s="254">
        <v>1996</v>
      </c>
      <c r="B29" s="254" t="s">
        <v>183</v>
      </c>
      <c r="C29" s="210"/>
      <c r="D29" s="115" t="s">
        <v>262</v>
      </c>
      <c r="E29" s="34">
        <f t="shared" si="0"/>
        <v>35246</v>
      </c>
      <c r="F29" s="108" t="str">
        <f t="shared" si="3"/>
        <v>1995-96</v>
      </c>
      <c r="H29" s="119"/>
      <c r="I29" s="26"/>
      <c r="J29" s="101">
        <f t="shared" si="4"/>
        <v>0.84443766578674484</v>
      </c>
      <c r="K29" s="37"/>
      <c r="L29" s="26">
        <v>48</v>
      </c>
      <c r="M29" s="26" t="s">
        <v>204</v>
      </c>
      <c r="N29" s="26">
        <v>528.48103934807921</v>
      </c>
      <c r="O29" s="95">
        <f t="shared" si="1"/>
        <v>25367.0898887078</v>
      </c>
      <c r="P29" s="97">
        <f t="shared" si="2"/>
        <v>2142.0926173422954</v>
      </c>
      <c r="Q29" s="197">
        <v>0.1</v>
      </c>
    </row>
    <row r="30" spans="1:17" x14ac:dyDescent="0.25">
      <c r="A30" s="254">
        <v>1997</v>
      </c>
      <c r="B30" s="254" t="s">
        <v>183</v>
      </c>
      <c r="C30" s="210"/>
      <c r="D30" s="115" t="s">
        <v>262</v>
      </c>
      <c r="E30" s="34">
        <f t="shared" si="0"/>
        <v>35611</v>
      </c>
      <c r="F30" s="108" t="str">
        <f t="shared" si="3"/>
        <v>1996-97</v>
      </c>
      <c r="H30" s="119"/>
      <c r="I30" s="26"/>
      <c r="J30" s="101">
        <f t="shared" si="4"/>
        <v>0.84443766578674484</v>
      </c>
      <c r="K30" s="37"/>
      <c r="L30" s="26">
        <v>181</v>
      </c>
      <c r="M30" s="26" t="s">
        <v>204</v>
      </c>
      <c r="N30" s="26">
        <v>2755.8150789289875</v>
      </c>
      <c r="O30" s="95">
        <f t="shared" si="1"/>
        <v>498802.52928614675</v>
      </c>
      <c r="P30" s="97">
        <f t="shared" si="2"/>
        <v>42120.764351891819</v>
      </c>
      <c r="Q30" s="197">
        <v>0.1</v>
      </c>
    </row>
    <row r="31" spans="1:17" x14ac:dyDescent="0.25">
      <c r="A31" s="254">
        <v>1997</v>
      </c>
      <c r="B31" s="254" t="s">
        <v>183</v>
      </c>
      <c r="C31" s="210"/>
      <c r="D31" s="115" t="s">
        <v>262</v>
      </c>
      <c r="E31" s="34">
        <f t="shared" si="0"/>
        <v>35611</v>
      </c>
      <c r="F31" s="108" t="str">
        <f t="shared" si="3"/>
        <v>1996-97</v>
      </c>
      <c r="H31" s="119"/>
      <c r="I31" s="26"/>
      <c r="J31" s="101">
        <f t="shared" si="4"/>
        <v>0.84443766578674484</v>
      </c>
      <c r="K31" s="37"/>
      <c r="L31" s="26">
        <v>66</v>
      </c>
      <c r="M31" s="26" t="s">
        <v>204</v>
      </c>
      <c r="N31" s="26">
        <v>2755.8150789289875</v>
      </c>
      <c r="O31" s="95">
        <f t="shared" si="1"/>
        <v>181883.79520931319</v>
      </c>
      <c r="P31" s="97">
        <f t="shared" si="2"/>
        <v>15358.952747098678</v>
      </c>
      <c r="Q31" s="197">
        <v>0.1</v>
      </c>
    </row>
    <row r="32" spans="1:17" x14ac:dyDescent="0.25">
      <c r="A32" s="254">
        <v>1997</v>
      </c>
      <c r="B32" s="254" t="s">
        <v>183</v>
      </c>
      <c r="C32" s="210"/>
      <c r="D32" s="115" t="s">
        <v>262</v>
      </c>
      <c r="E32" s="34">
        <f t="shared" si="0"/>
        <v>35611</v>
      </c>
      <c r="F32" s="108" t="str">
        <f t="shared" si="3"/>
        <v>1996-97</v>
      </c>
      <c r="H32" s="119"/>
      <c r="I32" s="26"/>
      <c r="J32" s="101">
        <f t="shared" si="4"/>
        <v>0.84443766578674484</v>
      </c>
      <c r="K32" s="37"/>
      <c r="L32" s="26">
        <v>562</v>
      </c>
      <c r="M32" s="26" t="s">
        <v>204</v>
      </c>
      <c r="N32" s="26">
        <v>2148.6015869615835</v>
      </c>
      <c r="O32" s="95">
        <f t="shared" si="1"/>
        <v>1207514.0918724099</v>
      </c>
      <c r="P32" s="97">
        <f t="shared" si="2"/>
        <v>101967.03811453388</v>
      </c>
      <c r="Q32" s="197">
        <v>0.1</v>
      </c>
    </row>
    <row r="33" spans="1:17" x14ac:dyDescent="0.25">
      <c r="A33" s="254">
        <v>1997</v>
      </c>
      <c r="B33" s="254" t="s">
        <v>183</v>
      </c>
      <c r="C33" s="210"/>
      <c r="D33" s="115" t="s">
        <v>262</v>
      </c>
      <c r="E33" s="34">
        <f t="shared" si="0"/>
        <v>35611</v>
      </c>
      <c r="F33" s="108" t="str">
        <f t="shared" si="3"/>
        <v>1996-97</v>
      </c>
      <c r="H33" s="119"/>
      <c r="I33" s="26"/>
      <c r="J33" s="101">
        <f t="shared" si="4"/>
        <v>0.84443766578674484</v>
      </c>
      <c r="K33" s="37"/>
      <c r="L33" s="26">
        <v>61</v>
      </c>
      <c r="M33" s="26" t="s">
        <v>204</v>
      </c>
      <c r="N33" s="26">
        <v>2148.6015869615835</v>
      </c>
      <c r="O33" s="95">
        <f t="shared" si="1"/>
        <v>131064.69680465659</v>
      </c>
      <c r="P33" s="97">
        <f t="shared" si="2"/>
        <v>11067.596663677165</v>
      </c>
      <c r="Q33" s="197">
        <v>0.1</v>
      </c>
    </row>
    <row r="34" spans="1:17" x14ac:dyDescent="0.25">
      <c r="A34" s="254">
        <v>1997</v>
      </c>
      <c r="B34" s="254" t="s">
        <v>183</v>
      </c>
      <c r="C34" s="210"/>
      <c r="D34" s="115" t="s">
        <v>262</v>
      </c>
      <c r="E34" s="34">
        <f t="shared" si="0"/>
        <v>35611</v>
      </c>
      <c r="F34" s="108" t="str">
        <f t="shared" si="3"/>
        <v>1996-97</v>
      </c>
      <c r="H34" s="119"/>
      <c r="I34" s="26"/>
      <c r="J34" s="101">
        <f t="shared" si="4"/>
        <v>0.84443766578674484</v>
      </c>
      <c r="K34" s="37"/>
      <c r="L34" s="26">
        <v>190</v>
      </c>
      <c r="M34" s="26" t="s">
        <v>204</v>
      </c>
      <c r="N34" s="26">
        <v>1473.7409685681025</v>
      </c>
      <c r="O34" s="95">
        <f t="shared" si="1"/>
        <v>280010.78402793949</v>
      </c>
      <c r="P34" s="97">
        <f t="shared" si="2"/>
        <v>23645.165285966956</v>
      </c>
      <c r="Q34" s="197">
        <v>0.1</v>
      </c>
    </row>
    <row r="35" spans="1:17" x14ac:dyDescent="0.25">
      <c r="A35" s="254">
        <v>1997</v>
      </c>
      <c r="B35" s="254" t="s">
        <v>183</v>
      </c>
      <c r="C35" s="210"/>
      <c r="D35" s="115" t="s">
        <v>262</v>
      </c>
      <c r="E35" s="34">
        <f t="shared" si="0"/>
        <v>35611</v>
      </c>
      <c r="F35" s="108" t="str">
        <f t="shared" si="3"/>
        <v>1996-97</v>
      </c>
      <c r="H35" s="119"/>
      <c r="I35" s="26"/>
      <c r="J35" s="101">
        <f t="shared" si="4"/>
        <v>0.84443766578674484</v>
      </c>
      <c r="K35" s="37"/>
      <c r="L35" s="26">
        <v>515</v>
      </c>
      <c r="M35" s="26" t="s">
        <v>204</v>
      </c>
      <c r="N35" s="26">
        <v>1264.3570058207217</v>
      </c>
      <c r="O35" s="95">
        <f t="shared" si="1"/>
        <v>651143.8579976717</v>
      </c>
      <c r="P35" s="97">
        <f t="shared" si="2"/>
        <v>54985.039953892963</v>
      </c>
      <c r="Q35" s="197">
        <v>0.1</v>
      </c>
    </row>
    <row r="36" spans="1:17" x14ac:dyDescent="0.25">
      <c r="A36" s="254">
        <v>1997</v>
      </c>
      <c r="B36" s="254" t="s">
        <v>183</v>
      </c>
      <c r="C36" s="210"/>
      <c r="D36" s="115" t="s">
        <v>262</v>
      </c>
      <c r="E36" s="34">
        <f t="shared" si="0"/>
        <v>35611</v>
      </c>
      <c r="F36" s="108" t="str">
        <f t="shared" si="3"/>
        <v>1996-97</v>
      </c>
      <c r="H36" s="119"/>
      <c r="I36" s="26"/>
      <c r="J36" s="101">
        <f t="shared" si="4"/>
        <v>0.84443766578674484</v>
      </c>
      <c r="K36" s="37"/>
      <c r="L36" s="26">
        <v>43</v>
      </c>
      <c r="M36" s="26" t="s">
        <v>204</v>
      </c>
      <c r="N36" s="26">
        <v>1264.3570058207217</v>
      </c>
      <c r="O36" s="95">
        <f t="shared" si="1"/>
        <v>54367.351250291031</v>
      </c>
      <c r="P36" s="97">
        <f t="shared" si="2"/>
        <v>4590.9839184803823</v>
      </c>
      <c r="Q36" s="197">
        <v>0.1</v>
      </c>
    </row>
    <row r="37" spans="1:17" x14ac:dyDescent="0.25">
      <c r="A37" s="254">
        <v>1997</v>
      </c>
      <c r="B37" s="254" t="s">
        <v>183</v>
      </c>
      <c r="C37" s="210"/>
      <c r="D37" s="115" t="s">
        <v>262</v>
      </c>
      <c r="E37" s="34">
        <f t="shared" si="0"/>
        <v>35611</v>
      </c>
      <c r="F37" s="108" t="str">
        <f t="shared" si="3"/>
        <v>1996-97</v>
      </c>
      <c r="H37" s="119"/>
      <c r="I37" s="26"/>
      <c r="J37" s="101">
        <f t="shared" si="4"/>
        <v>0.84443766578674484</v>
      </c>
      <c r="K37" s="37"/>
      <c r="L37" s="26">
        <v>271</v>
      </c>
      <c r="M37" s="26" t="s">
        <v>204</v>
      </c>
      <c r="N37" s="26">
        <v>911.6255608847498</v>
      </c>
      <c r="O37" s="95">
        <f t="shared" si="1"/>
        <v>247050.5269997672</v>
      </c>
      <c r="P37" s="97">
        <f t="shared" si="2"/>
        <v>20861.877035106863</v>
      </c>
      <c r="Q37" s="197">
        <v>0.1</v>
      </c>
    </row>
    <row r="38" spans="1:17" x14ac:dyDescent="0.25">
      <c r="A38" s="254">
        <v>1997</v>
      </c>
      <c r="B38" s="254" t="s">
        <v>183</v>
      </c>
      <c r="C38" s="210"/>
      <c r="D38" s="115" t="s">
        <v>262</v>
      </c>
      <c r="E38" s="34">
        <f t="shared" si="0"/>
        <v>35611</v>
      </c>
      <c r="F38" s="108" t="str">
        <f t="shared" si="3"/>
        <v>1996-97</v>
      </c>
      <c r="H38" s="119"/>
      <c r="I38" s="26"/>
      <c r="J38" s="101">
        <f t="shared" si="4"/>
        <v>0.84443766578674484</v>
      </c>
      <c r="K38" s="37"/>
      <c r="L38" s="26">
        <v>797</v>
      </c>
      <c r="M38" s="26" t="s">
        <v>204</v>
      </c>
      <c r="N38" s="26">
        <v>911.6255608847498</v>
      </c>
      <c r="O38" s="95">
        <f t="shared" si="1"/>
        <v>726565.57202514564</v>
      </c>
      <c r="P38" s="97">
        <f t="shared" si="2"/>
        <v>61353.933568192508</v>
      </c>
      <c r="Q38" s="197">
        <v>0.1</v>
      </c>
    </row>
    <row r="39" spans="1:17" x14ac:dyDescent="0.25">
      <c r="A39" s="254">
        <v>1997</v>
      </c>
      <c r="B39" s="254" t="s">
        <v>183</v>
      </c>
      <c r="C39" s="210"/>
      <c r="D39" s="115" t="s">
        <v>262</v>
      </c>
      <c r="E39" s="34">
        <f t="shared" si="0"/>
        <v>35611</v>
      </c>
      <c r="F39" s="108" t="str">
        <f t="shared" si="3"/>
        <v>1996-97</v>
      </c>
      <c r="H39" s="119"/>
      <c r="I39" s="26"/>
      <c r="J39" s="101">
        <f t="shared" si="4"/>
        <v>0.84443766578674484</v>
      </c>
      <c r="K39" s="37"/>
      <c r="L39" s="26">
        <v>354</v>
      </c>
      <c r="M39" s="26" t="s">
        <v>204</v>
      </c>
      <c r="N39" s="26">
        <v>713.51611920838184</v>
      </c>
      <c r="O39" s="95">
        <f t="shared" si="1"/>
        <v>252584.70619976718</v>
      </c>
      <c r="P39" s="97">
        <f t="shared" si="2"/>
        <v>21329.203971676216</v>
      </c>
      <c r="Q39" s="197">
        <v>0.1</v>
      </c>
    </row>
    <row r="40" spans="1:17" x14ac:dyDescent="0.25">
      <c r="A40" s="254">
        <v>1997</v>
      </c>
      <c r="B40" s="254" t="s">
        <v>183</v>
      </c>
      <c r="C40" s="210"/>
      <c r="D40" s="115" t="s">
        <v>262</v>
      </c>
      <c r="E40" s="34">
        <f t="shared" si="0"/>
        <v>35611</v>
      </c>
      <c r="F40" s="108" t="str">
        <f t="shared" si="3"/>
        <v>1996-97</v>
      </c>
      <c r="H40" s="119"/>
      <c r="I40" s="26"/>
      <c r="J40" s="101">
        <f t="shared" si="4"/>
        <v>0.84443766578674484</v>
      </c>
      <c r="K40" s="37"/>
      <c r="L40" s="26">
        <v>816</v>
      </c>
      <c r="M40" s="26" t="s">
        <v>204</v>
      </c>
      <c r="N40" s="26">
        <v>615.26672130384168</v>
      </c>
      <c r="O40" s="95">
        <f t="shared" si="1"/>
        <v>502057.6445839348</v>
      </c>
      <c r="P40" s="97">
        <f t="shared" si="2"/>
        <v>42395.638548284915</v>
      </c>
      <c r="Q40" s="197">
        <v>0.1</v>
      </c>
    </row>
    <row r="41" spans="1:17" x14ac:dyDescent="0.25">
      <c r="A41" s="254">
        <v>1997</v>
      </c>
      <c r="B41" s="254" t="s">
        <v>183</v>
      </c>
      <c r="C41" s="210"/>
      <c r="D41" s="115" t="s">
        <v>262</v>
      </c>
      <c r="E41" s="34">
        <f t="shared" si="0"/>
        <v>35611</v>
      </c>
      <c r="F41" s="108" t="str">
        <f t="shared" si="3"/>
        <v>1996-97</v>
      </c>
      <c r="H41" s="119"/>
      <c r="I41" s="26"/>
      <c r="J41" s="101">
        <f t="shared" si="4"/>
        <v>0.84443766578674484</v>
      </c>
      <c r="K41" s="37"/>
      <c r="L41" s="26">
        <v>735</v>
      </c>
      <c r="M41" s="26" t="s">
        <v>204</v>
      </c>
      <c r="N41" s="26">
        <v>615.26672130384168</v>
      </c>
      <c r="O41" s="95">
        <f t="shared" si="1"/>
        <v>452221.04015832365</v>
      </c>
      <c r="P41" s="97">
        <f t="shared" si="2"/>
        <v>38187.247957094864</v>
      </c>
      <c r="Q41" s="197">
        <v>0.1</v>
      </c>
    </row>
    <row r="42" spans="1:17" x14ac:dyDescent="0.25">
      <c r="A42" s="254">
        <v>1997</v>
      </c>
      <c r="B42" s="254" t="s">
        <v>183</v>
      </c>
      <c r="C42" s="210"/>
      <c r="D42" s="115" t="s">
        <v>262</v>
      </c>
      <c r="E42" s="34">
        <f t="shared" si="0"/>
        <v>35611</v>
      </c>
      <c r="F42" s="108" t="str">
        <f t="shared" si="3"/>
        <v>1996-97</v>
      </c>
      <c r="H42" s="119"/>
      <c r="I42" s="26"/>
      <c r="J42" s="101">
        <f t="shared" si="4"/>
        <v>0.84443766578674484</v>
      </c>
      <c r="K42" s="37"/>
      <c r="L42" s="26">
        <v>30</v>
      </c>
      <c r="M42" s="26" t="s">
        <v>204</v>
      </c>
      <c r="N42" s="26">
        <v>615.26672130384168</v>
      </c>
      <c r="O42" s="95">
        <f t="shared" si="1"/>
        <v>18458.001639115249</v>
      </c>
      <c r="P42" s="97">
        <f t="shared" si="2"/>
        <v>1558.6631819222393</v>
      </c>
      <c r="Q42" s="197">
        <v>0.1</v>
      </c>
    </row>
    <row r="43" spans="1:17" x14ac:dyDescent="0.25">
      <c r="A43" s="254">
        <v>1997</v>
      </c>
      <c r="B43" s="254" t="s">
        <v>183</v>
      </c>
      <c r="C43" s="210"/>
      <c r="D43" s="115" t="s">
        <v>262</v>
      </c>
      <c r="E43" s="34">
        <f t="shared" si="0"/>
        <v>35611</v>
      </c>
      <c r="F43" s="108" t="str">
        <f t="shared" si="3"/>
        <v>1996-97</v>
      </c>
      <c r="H43" s="119"/>
      <c r="I43" s="26"/>
      <c r="J43" s="101">
        <f t="shared" si="4"/>
        <v>0.84443766578674484</v>
      </c>
      <c r="K43" s="37"/>
      <c r="L43" s="26">
        <v>549</v>
      </c>
      <c r="M43" s="26" t="s">
        <v>204</v>
      </c>
      <c r="N43" s="26">
        <v>526.68119860302681</v>
      </c>
      <c r="O43" s="95">
        <f t="shared" si="1"/>
        <v>289147.97803306172</v>
      </c>
      <c r="P43" s="97">
        <f t="shared" si="2"/>
        <v>24416.744363719565</v>
      </c>
      <c r="Q43" s="197">
        <v>0.1</v>
      </c>
    </row>
    <row r="44" spans="1:17" x14ac:dyDescent="0.25">
      <c r="A44" s="254">
        <v>1997</v>
      </c>
      <c r="B44" s="254" t="s">
        <v>183</v>
      </c>
      <c r="C44" s="210"/>
      <c r="D44" s="115" t="s">
        <v>262</v>
      </c>
      <c r="E44" s="34">
        <f t="shared" si="0"/>
        <v>35611</v>
      </c>
      <c r="F44" s="108" t="str">
        <f t="shared" si="3"/>
        <v>1996-97</v>
      </c>
      <c r="H44" s="119"/>
      <c r="I44" s="26"/>
      <c r="J44" s="101">
        <f t="shared" si="4"/>
        <v>0.84443766578674484</v>
      </c>
      <c r="K44" s="37"/>
      <c r="L44" s="26">
        <v>157</v>
      </c>
      <c r="M44" s="26" t="s">
        <v>204</v>
      </c>
      <c r="N44" s="26">
        <v>526.68119860302681</v>
      </c>
      <c r="O44" s="95">
        <f t="shared" si="1"/>
        <v>82688.948180675216</v>
      </c>
      <c r="P44" s="97">
        <f t="shared" si="2"/>
        <v>6982.5662388050478</v>
      </c>
      <c r="Q44" s="197">
        <v>0.1</v>
      </c>
    </row>
    <row r="45" spans="1:17" x14ac:dyDescent="0.25">
      <c r="A45" s="254">
        <v>1997</v>
      </c>
      <c r="B45" s="254" t="s">
        <v>183</v>
      </c>
      <c r="C45" s="210"/>
      <c r="D45" s="115" t="s">
        <v>262</v>
      </c>
      <c r="E45" s="34">
        <f t="shared" si="0"/>
        <v>35611</v>
      </c>
      <c r="F45" s="108" t="str">
        <f t="shared" si="3"/>
        <v>1996-97</v>
      </c>
      <c r="H45" s="119"/>
      <c r="I45" s="26"/>
      <c r="J45" s="101">
        <f t="shared" si="4"/>
        <v>0.84443766578674484</v>
      </c>
      <c r="K45" s="37"/>
      <c r="L45" s="26">
        <v>3060</v>
      </c>
      <c r="M45" s="26" t="s">
        <v>204</v>
      </c>
      <c r="N45" s="26">
        <v>459.03407217694991</v>
      </c>
      <c r="O45" s="95">
        <f t="shared" si="1"/>
        <v>1404644.2608614666</v>
      </c>
      <c r="P45" s="97">
        <f t="shared" si="2"/>
        <v>118613.45209026044</v>
      </c>
      <c r="Q45" s="197">
        <v>0.1</v>
      </c>
    </row>
    <row r="46" spans="1:17" x14ac:dyDescent="0.25">
      <c r="A46" s="254">
        <v>1997</v>
      </c>
      <c r="B46" s="254" t="s">
        <v>183</v>
      </c>
      <c r="C46" s="210"/>
      <c r="D46" s="115" t="s">
        <v>262</v>
      </c>
      <c r="E46" s="34">
        <f t="shared" si="0"/>
        <v>35611</v>
      </c>
      <c r="F46" s="108" t="str">
        <f t="shared" si="3"/>
        <v>1996-97</v>
      </c>
      <c r="H46" s="119"/>
      <c r="I46" s="26"/>
      <c r="J46" s="101">
        <f t="shared" si="4"/>
        <v>0.84443766578674484</v>
      </c>
      <c r="K46" s="37"/>
      <c r="L46" s="26">
        <v>127</v>
      </c>
      <c r="M46" s="26" t="s">
        <v>204</v>
      </c>
      <c r="N46" s="26">
        <v>459.03407217694991</v>
      </c>
      <c r="O46" s="95">
        <f t="shared" si="1"/>
        <v>58297.327166472634</v>
      </c>
      <c r="P46" s="97">
        <f t="shared" si="2"/>
        <v>4922.8458874062344</v>
      </c>
      <c r="Q46" s="197">
        <v>0.1</v>
      </c>
    </row>
    <row r="47" spans="1:17" x14ac:dyDescent="0.25">
      <c r="A47" s="254">
        <v>2002</v>
      </c>
      <c r="B47" s="254" t="s">
        <v>183</v>
      </c>
      <c r="C47" s="210"/>
      <c r="D47" s="115" t="s">
        <v>263</v>
      </c>
      <c r="E47" s="34">
        <f t="shared" si="0"/>
        <v>37437</v>
      </c>
      <c r="F47" s="108" t="str">
        <f t="shared" si="3"/>
        <v>2001-02</v>
      </c>
      <c r="H47" s="119"/>
      <c r="I47" s="26"/>
      <c r="J47" s="101">
        <f t="shared" si="4"/>
        <v>0.84443766578674484</v>
      </c>
      <c r="K47" s="37"/>
      <c r="L47" s="26">
        <v>172</v>
      </c>
      <c r="M47" s="26" t="s">
        <v>204</v>
      </c>
      <c r="N47" s="26">
        <v>370.44854947613504</v>
      </c>
      <c r="O47" s="95">
        <f t="shared" si="1"/>
        <v>63717.150509895226</v>
      </c>
      <c r="P47" s="97">
        <f t="shared" si="2"/>
        <v>27440.632542050898</v>
      </c>
      <c r="Q47" s="197">
        <v>0.51</v>
      </c>
    </row>
    <row r="48" spans="1:17" x14ac:dyDescent="0.25">
      <c r="A48" s="254">
        <v>2003</v>
      </c>
      <c r="B48" s="254" t="s">
        <v>183</v>
      </c>
      <c r="C48" s="210"/>
      <c r="D48" s="115" t="s">
        <v>264</v>
      </c>
      <c r="E48" s="34">
        <f t="shared" si="0"/>
        <v>37802</v>
      </c>
      <c r="F48" s="108" t="str">
        <f t="shared" si="3"/>
        <v>2002-03</v>
      </c>
      <c r="H48" s="119"/>
      <c r="I48" s="26"/>
      <c r="J48" s="101">
        <f t="shared" si="4"/>
        <v>0.84443766578674484</v>
      </c>
      <c r="K48" s="37"/>
      <c r="L48" s="26">
        <v>594</v>
      </c>
      <c r="M48" s="26" t="s">
        <v>204</v>
      </c>
      <c r="N48" s="26">
        <v>459.03407217694991</v>
      </c>
      <c r="O48" s="95">
        <f t="shared" si="1"/>
        <v>272666.23887310823</v>
      </c>
      <c r="P48" s="97">
        <f t="shared" si="2"/>
        <v>4604.9928458571703</v>
      </c>
      <c r="Q48" s="197">
        <v>0.02</v>
      </c>
    </row>
    <row r="49" spans="1:17" x14ac:dyDescent="0.25">
      <c r="A49" s="254">
        <v>40444</v>
      </c>
      <c r="B49" s="254" t="s">
        <v>183</v>
      </c>
      <c r="C49" s="210">
        <v>10283681</v>
      </c>
      <c r="D49" s="115" t="s">
        <v>265</v>
      </c>
      <c r="E49" s="34">
        <f t="shared" si="0"/>
        <v>40444</v>
      </c>
      <c r="F49" s="108" t="str">
        <f t="shared" si="3"/>
        <v>2010-11</v>
      </c>
      <c r="H49" s="119"/>
      <c r="I49" s="26"/>
      <c r="J49" s="101">
        <f t="shared" si="4"/>
        <v>0.84443766578674484</v>
      </c>
      <c r="K49" s="37"/>
      <c r="L49" s="26">
        <v>9.9485230191700005</v>
      </c>
      <c r="M49" s="26" t="s">
        <v>204</v>
      </c>
      <c r="N49" s="26">
        <v>514.18436487804865</v>
      </c>
      <c r="O49" s="95">
        <f t="shared" si="1"/>
        <v>5115.3749900865741</v>
      </c>
      <c r="P49" s="97">
        <f t="shared" si="2"/>
        <v>1852.0574458707729</v>
      </c>
      <c r="Q49" s="197">
        <v>0.42875518079176783</v>
      </c>
    </row>
    <row r="50" spans="1:17" x14ac:dyDescent="0.25">
      <c r="A50" s="254">
        <v>40444</v>
      </c>
      <c r="B50" s="254" t="s">
        <v>183</v>
      </c>
      <c r="C50" s="210">
        <v>10283723</v>
      </c>
      <c r="D50" s="115" t="s">
        <v>265</v>
      </c>
      <c r="E50" s="34">
        <f t="shared" si="0"/>
        <v>40444</v>
      </c>
      <c r="F50" s="108" t="str">
        <f t="shared" si="3"/>
        <v>2010-11</v>
      </c>
      <c r="H50" s="119"/>
      <c r="I50" s="26"/>
      <c r="J50" s="101">
        <f t="shared" si="4"/>
        <v>0.84443766578674484</v>
      </c>
      <c r="K50" s="37"/>
      <c r="L50" s="26">
        <v>5.9994536417899997</v>
      </c>
      <c r="M50" s="26" t="s">
        <v>204</v>
      </c>
      <c r="N50" s="26">
        <v>916.52160117073151</v>
      </c>
      <c r="O50" s="95">
        <f t="shared" si="1"/>
        <v>5498.6288579229467</v>
      </c>
      <c r="P50" s="97">
        <f t="shared" si="2"/>
        <v>1990.8172007197743</v>
      </c>
      <c r="Q50" s="197">
        <v>0.42875518079176783</v>
      </c>
    </row>
    <row r="51" spans="1:17" x14ac:dyDescent="0.25">
      <c r="A51" s="254">
        <v>40444</v>
      </c>
      <c r="B51" s="254" t="s">
        <v>183</v>
      </c>
      <c r="C51" s="210">
        <v>10283576</v>
      </c>
      <c r="D51" s="115" t="s">
        <v>265</v>
      </c>
      <c r="E51" s="34">
        <f t="shared" si="0"/>
        <v>40444</v>
      </c>
      <c r="F51" s="108" t="str">
        <f t="shared" si="3"/>
        <v>2010-11</v>
      </c>
      <c r="H51" s="119"/>
      <c r="I51" s="26"/>
      <c r="J51" s="101">
        <f t="shared" si="4"/>
        <v>0.84443766578674484</v>
      </c>
      <c r="K51" s="37"/>
      <c r="L51" s="26">
        <v>41.052987711</v>
      </c>
      <c r="M51" s="26" t="s">
        <v>204</v>
      </c>
      <c r="N51" s="26">
        <v>470.74786858536584</v>
      </c>
      <c r="O51" s="95">
        <f t="shared" si="1"/>
        <v>19325.606464014465</v>
      </c>
      <c r="P51" s="97">
        <f t="shared" si="2"/>
        <v>6996.9715645500646</v>
      </c>
      <c r="Q51" s="197">
        <v>0.42875518079176783</v>
      </c>
    </row>
    <row r="52" spans="1:17" x14ac:dyDescent="0.25">
      <c r="A52" s="254">
        <v>40444</v>
      </c>
      <c r="B52" s="254" t="s">
        <v>183</v>
      </c>
      <c r="C52" s="210">
        <v>10283654</v>
      </c>
      <c r="D52" s="115" t="s">
        <v>265</v>
      </c>
      <c r="E52" s="34">
        <f t="shared" si="0"/>
        <v>40444</v>
      </c>
      <c r="F52" s="108" t="str">
        <f t="shared" si="3"/>
        <v>2010-11</v>
      </c>
      <c r="H52" s="119"/>
      <c r="I52" s="26"/>
      <c r="J52" s="101">
        <f t="shared" si="4"/>
        <v>0.84443766578674484</v>
      </c>
      <c r="K52" s="37"/>
      <c r="L52" s="26">
        <v>20.1410751849</v>
      </c>
      <c r="M52" s="26" t="s">
        <v>204</v>
      </c>
      <c r="N52" s="26">
        <v>621.96155034146341</v>
      </c>
      <c r="O52" s="95">
        <f t="shared" si="1"/>
        <v>12526.974347544381</v>
      </c>
      <c r="P52" s="97">
        <f t="shared" si="2"/>
        <v>4535.4790527701043</v>
      </c>
      <c r="Q52" s="197">
        <v>0.42875518079176783</v>
      </c>
    </row>
    <row r="53" spans="1:17" x14ac:dyDescent="0.25">
      <c r="A53" s="254">
        <v>40444</v>
      </c>
      <c r="B53" s="254" t="s">
        <v>183</v>
      </c>
      <c r="C53" s="210">
        <v>10283629</v>
      </c>
      <c r="D53" s="115" t="s">
        <v>265</v>
      </c>
      <c r="E53" s="34">
        <f t="shared" si="0"/>
        <v>40444</v>
      </c>
      <c r="F53" s="108" t="str">
        <f t="shared" si="3"/>
        <v>2010-11</v>
      </c>
      <c r="H53" s="119"/>
      <c r="I53" s="26"/>
      <c r="J53" s="101">
        <f t="shared" si="4"/>
        <v>0.84443766578674484</v>
      </c>
      <c r="K53" s="37"/>
      <c r="L53" s="26">
        <v>67.130037665700002</v>
      </c>
      <c r="M53" s="26" t="s">
        <v>204</v>
      </c>
      <c r="N53" s="26">
        <v>621.96155034146341</v>
      </c>
      <c r="O53" s="95">
        <f t="shared" si="1"/>
        <v>41752.302301039606</v>
      </c>
      <c r="P53" s="97">
        <f t="shared" si="2"/>
        <v>15116.714318841967</v>
      </c>
      <c r="Q53" s="197">
        <v>0.42875518079176783</v>
      </c>
    </row>
    <row r="54" spans="1:17" x14ac:dyDescent="0.25">
      <c r="A54" s="254">
        <v>40444</v>
      </c>
      <c r="B54" s="254" t="s">
        <v>183</v>
      </c>
      <c r="C54" s="210">
        <v>10283631</v>
      </c>
      <c r="D54" s="115" t="s">
        <v>265</v>
      </c>
      <c r="E54" s="34">
        <f t="shared" si="0"/>
        <v>40444</v>
      </c>
      <c r="F54" s="108" t="str">
        <f t="shared" si="3"/>
        <v>2010-11</v>
      </c>
      <c r="H54" s="119"/>
      <c r="I54" s="26"/>
      <c r="J54" s="101">
        <f t="shared" si="4"/>
        <v>0.84443766578674484</v>
      </c>
      <c r="K54" s="37"/>
      <c r="L54" s="26">
        <v>76.150245479500001</v>
      </c>
      <c r="M54" s="26" t="s">
        <v>204</v>
      </c>
      <c r="N54" s="26">
        <v>796.67902439024385</v>
      </c>
      <c r="O54" s="95">
        <f t="shared" si="1"/>
        <v>60667.303275685641</v>
      </c>
      <c r="P54" s="97">
        <f t="shared" si="2"/>
        <v>21965.023281847869</v>
      </c>
      <c r="Q54" s="197">
        <v>0.42875518079176783</v>
      </c>
    </row>
    <row r="55" spans="1:17" x14ac:dyDescent="0.25">
      <c r="A55" s="254">
        <v>40444</v>
      </c>
      <c r="B55" s="254" t="s">
        <v>183</v>
      </c>
      <c r="C55" s="210">
        <v>10283694</v>
      </c>
      <c r="D55" s="115" t="s">
        <v>265</v>
      </c>
      <c r="E55" s="34">
        <f t="shared" si="0"/>
        <v>40444</v>
      </c>
      <c r="F55" s="108" t="str">
        <f t="shared" si="3"/>
        <v>2010-11</v>
      </c>
      <c r="H55" s="119"/>
      <c r="I55" s="26"/>
      <c r="J55" s="101">
        <f t="shared" si="4"/>
        <v>0.84443766578674484</v>
      </c>
      <c r="K55" s="37"/>
      <c r="L55" s="26">
        <v>68.120199139999997</v>
      </c>
      <c r="M55" s="26" t="s">
        <v>204</v>
      </c>
      <c r="N55" s="26">
        <v>621.96155034146341</v>
      </c>
      <c r="O55" s="95">
        <f t="shared" si="1"/>
        <v>42368.14466668362</v>
      </c>
      <c r="P55" s="97">
        <f t="shared" si="2"/>
        <v>15339.684373038201</v>
      </c>
      <c r="Q55" s="197">
        <v>0.42875518079176783</v>
      </c>
    </row>
    <row r="56" spans="1:17" x14ac:dyDescent="0.25">
      <c r="A56" s="254">
        <v>40444</v>
      </c>
      <c r="B56" s="254" t="s">
        <v>183</v>
      </c>
      <c r="C56" s="210">
        <v>10283587</v>
      </c>
      <c r="D56" s="115" t="s">
        <v>265</v>
      </c>
      <c r="E56" s="34">
        <f t="shared" si="0"/>
        <v>40444</v>
      </c>
      <c r="F56" s="108" t="str">
        <f t="shared" si="3"/>
        <v>2010-11</v>
      </c>
      <c r="H56" s="119"/>
      <c r="I56" s="26"/>
      <c r="J56" s="101">
        <f t="shared" si="4"/>
        <v>0.84443766578674484</v>
      </c>
      <c r="K56" s="37"/>
      <c r="L56" s="26">
        <v>13.8397563941</v>
      </c>
      <c r="M56" s="26" t="s">
        <v>204</v>
      </c>
      <c r="N56" s="26">
        <v>470.74786858536584</v>
      </c>
      <c r="O56" s="95">
        <f t="shared" si="1"/>
        <v>6515.0358242632637</v>
      </c>
      <c r="P56" s="97">
        <f t="shared" si="2"/>
        <v>2358.8144821886053</v>
      </c>
      <c r="Q56" s="197">
        <v>0.42875518079176783</v>
      </c>
    </row>
    <row r="57" spans="1:17" x14ac:dyDescent="0.25">
      <c r="A57" s="254">
        <v>40444</v>
      </c>
      <c r="B57" s="254" t="s">
        <v>183</v>
      </c>
      <c r="C57" s="210">
        <v>10283698</v>
      </c>
      <c r="D57" s="115" t="s">
        <v>265</v>
      </c>
      <c r="E57" s="34">
        <f t="shared" si="0"/>
        <v>40444</v>
      </c>
      <c r="F57" s="108" t="str">
        <f t="shared" si="3"/>
        <v>2010-11</v>
      </c>
      <c r="H57" s="119"/>
      <c r="I57" s="26"/>
      <c r="J57" s="101">
        <f t="shared" si="4"/>
        <v>0.84443766578674484</v>
      </c>
      <c r="K57" s="37"/>
      <c r="L57" s="26">
        <v>8.1995595011599995</v>
      </c>
      <c r="M57" s="26" t="s">
        <v>204</v>
      </c>
      <c r="N57" s="26">
        <v>470.74786858536584</v>
      </c>
      <c r="O57" s="95">
        <f t="shared" si="1"/>
        <v>3859.9251585099555</v>
      </c>
      <c r="P57" s="97">
        <f t="shared" si="2"/>
        <v>1397.5130159912867</v>
      </c>
      <c r="Q57" s="197">
        <v>0.42875518079176783</v>
      </c>
    </row>
    <row r="58" spans="1:17" x14ac:dyDescent="0.25">
      <c r="A58" s="254">
        <v>40444</v>
      </c>
      <c r="B58" s="254" t="s">
        <v>183</v>
      </c>
      <c r="C58" s="210">
        <v>10283732</v>
      </c>
      <c r="D58" s="115" t="s">
        <v>265</v>
      </c>
      <c r="E58" s="34">
        <f t="shared" si="0"/>
        <v>40444</v>
      </c>
      <c r="F58" s="108" t="str">
        <f t="shared" si="3"/>
        <v>2010-11</v>
      </c>
      <c r="H58" s="119"/>
      <c r="I58" s="26"/>
      <c r="J58" s="101">
        <f t="shared" si="4"/>
        <v>0.84443766578674484</v>
      </c>
      <c r="K58" s="37"/>
      <c r="L58" s="26">
        <v>4.5880085499799996</v>
      </c>
      <c r="M58" s="26" t="s">
        <v>204</v>
      </c>
      <c r="N58" s="26">
        <v>916.52160117073151</v>
      </c>
      <c r="O58" s="95">
        <f t="shared" si="1"/>
        <v>4205.0089424126754</v>
      </c>
      <c r="P58" s="97">
        <f t="shared" si="2"/>
        <v>1522.4530238430816</v>
      </c>
      <c r="Q58" s="197">
        <v>0.42875518079176783</v>
      </c>
    </row>
    <row r="59" spans="1:17" x14ac:dyDescent="0.25">
      <c r="A59" s="254">
        <v>40444</v>
      </c>
      <c r="B59" s="254" t="s">
        <v>183</v>
      </c>
      <c r="C59" s="210">
        <v>10283583</v>
      </c>
      <c r="D59" s="115" t="s">
        <v>265</v>
      </c>
      <c r="E59" s="34">
        <f t="shared" si="0"/>
        <v>40444</v>
      </c>
      <c r="F59" s="108" t="str">
        <f t="shared" si="3"/>
        <v>2010-11</v>
      </c>
      <c r="H59" s="119"/>
      <c r="I59" s="26"/>
      <c r="J59" s="101">
        <f t="shared" si="4"/>
        <v>0.84443766578674484</v>
      </c>
      <c r="K59" s="37"/>
      <c r="L59" s="26">
        <v>1.6432994249399999</v>
      </c>
      <c r="M59" s="26" t="s">
        <v>204</v>
      </c>
      <c r="N59" s="26">
        <v>621.96155034146341</v>
      </c>
      <c r="O59" s="95">
        <f t="shared" si="1"/>
        <v>1022.0690580109176</v>
      </c>
      <c r="P59" s="97">
        <f t="shared" si="2"/>
        <v>370.04728152905369</v>
      </c>
      <c r="Q59" s="197">
        <v>0.42875518079176783</v>
      </c>
    </row>
    <row r="60" spans="1:17" x14ac:dyDescent="0.25">
      <c r="A60" s="254">
        <v>40444</v>
      </c>
      <c r="B60" s="254" t="s">
        <v>183</v>
      </c>
      <c r="C60" s="210">
        <v>10283746</v>
      </c>
      <c r="D60" s="115" t="s">
        <v>265</v>
      </c>
      <c r="E60" s="34">
        <f t="shared" si="0"/>
        <v>40444</v>
      </c>
      <c r="F60" s="108" t="str">
        <f t="shared" si="3"/>
        <v>2010-11</v>
      </c>
      <c r="H60" s="119"/>
      <c r="I60" s="26"/>
      <c r="J60" s="101">
        <f t="shared" si="4"/>
        <v>0.84443766578674484</v>
      </c>
      <c r="K60" s="37"/>
      <c r="L60" s="26">
        <v>3.0480910243500001</v>
      </c>
      <c r="M60" s="26" t="s">
        <v>204</v>
      </c>
      <c r="N60" s="26">
        <v>621.96155034146341</v>
      </c>
      <c r="O60" s="95">
        <f t="shared" si="1"/>
        <v>1895.7954190866253</v>
      </c>
      <c r="P60" s="97">
        <f t="shared" si="2"/>
        <v>686.38604766444757</v>
      </c>
      <c r="Q60" s="197">
        <v>0.42875518079176783</v>
      </c>
    </row>
    <row r="61" spans="1:17" x14ac:dyDescent="0.25">
      <c r="A61" s="254">
        <v>40444</v>
      </c>
      <c r="B61" s="254" t="s">
        <v>183</v>
      </c>
      <c r="C61" s="210">
        <v>10283589</v>
      </c>
      <c r="D61" s="115" t="s">
        <v>265</v>
      </c>
      <c r="E61" s="34">
        <f t="shared" si="0"/>
        <v>40444</v>
      </c>
      <c r="F61" s="108" t="str">
        <f t="shared" si="3"/>
        <v>2010-11</v>
      </c>
      <c r="H61" s="119"/>
      <c r="I61" s="26"/>
      <c r="J61" s="101">
        <f t="shared" si="4"/>
        <v>0.84443766578674484</v>
      </c>
      <c r="K61" s="37"/>
      <c r="L61" s="26">
        <v>106.834765459</v>
      </c>
      <c r="M61" s="26" t="s">
        <v>204</v>
      </c>
      <c r="N61" s="26">
        <v>514.18436487804865</v>
      </c>
      <c r="O61" s="95">
        <f t="shared" si="1"/>
        <v>54932.766024431206</v>
      </c>
      <c r="P61" s="97">
        <f t="shared" si="2"/>
        <v>19888.793790287302</v>
      </c>
      <c r="Q61" s="197">
        <v>0.42875518079176783</v>
      </c>
    </row>
    <row r="62" spans="1:17" x14ac:dyDescent="0.25">
      <c r="A62" s="254">
        <v>40444</v>
      </c>
      <c r="B62" s="254" t="s">
        <v>183</v>
      </c>
      <c r="C62" s="210">
        <v>10283663</v>
      </c>
      <c r="D62" s="115" t="s">
        <v>265</v>
      </c>
      <c r="E62" s="34">
        <f t="shared" si="0"/>
        <v>40444</v>
      </c>
      <c r="F62" s="108" t="str">
        <f t="shared" si="3"/>
        <v>2010-11</v>
      </c>
      <c r="H62" s="119"/>
      <c r="I62" s="26"/>
      <c r="J62" s="101">
        <f t="shared" si="4"/>
        <v>0.84443766578674484</v>
      </c>
      <c r="K62" s="37"/>
      <c r="L62" s="26">
        <v>16.306816093799998</v>
      </c>
      <c r="M62" s="26" t="s">
        <v>204</v>
      </c>
      <c r="N62" s="26">
        <v>514.18436487804865</v>
      </c>
      <c r="O62" s="95">
        <f t="shared" si="1"/>
        <v>8384.709876373694</v>
      </c>
      <c r="P62" s="97">
        <f t="shared" si="2"/>
        <v>3035.7431054612266</v>
      </c>
      <c r="Q62" s="197">
        <v>0.42875518079176783</v>
      </c>
    </row>
    <row r="63" spans="1:17" x14ac:dyDescent="0.25">
      <c r="A63" s="254">
        <v>40444</v>
      </c>
      <c r="B63" s="254" t="s">
        <v>183</v>
      </c>
      <c r="C63" s="210">
        <v>10283590</v>
      </c>
      <c r="D63" s="115" t="s">
        <v>265</v>
      </c>
      <c r="E63" s="34">
        <f t="shared" si="0"/>
        <v>40444</v>
      </c>
      <c r="F63" s="108" t="str">
        <f t="shared" si="3"/>
        <v>2010-11</v>
      </c>
      <c r="H63" s="119"/>
      <c r="I63" s="26"/>
      <c r="J63" s="101">
        <f t="shared" si="4"/>
        <v>0.84443766578674484</v>
      </c>
      <c r="K63" s="37"/>
      <c r="L63" s="26">
        <v>37.678661906499997</v>
      </c>
      <c r="M63" s="26" t="s">
        <v>204</v>
      </c>
      <c r="N63" s="26">
        <v>514.18436487804865</v>
      </c>
      <c r="O63" s="95">
        <f t="shared" si="1"/>
        <v>19373.778841848427</v>
      </c>
      <c r="P63" s="97">
        <f t="shared" si="2"/>
        <v>7014.4127123106073</v>
      </c>
      <c r="Q63" s="197">
        <v>0.42875518079176783</v>
      </c>
    </row>
    <row r="64" spans="1:17" x14ac:dyDescent="0.25">
      <c r="A64" s="254">
        <v>40444</v>
      </c>
      <c r="B64" s="254" t="s">
        <v>183</v>
      </c>
      <c r="C64" s="210">
        <v>10283690</v>
      </c>
      <c r="D64" s="115" t="s">
        <v>265</v>
      </c>
      <c r="E64" s="34">
        <f t="shared" si="0"/>
        <v>40444</v>
      </c>
      <c r="F64" s="108" t="str">
        <f t="shared" si="3"/>
        <v>2010-11</v>
      </c>
      <c r="H64" s="119"/>
      <c r="I64" s="26"/>
      <c r="J64" s="101">
        <f t="shared" si="4"/>
        <v>0.84443766578674484</v>
      </c>
      <c r="K64" s="37"/>
      <c r="L64" s="26">
        <v>220.16868111100001</v>
      </c>
      <c r="M64" s="26" t="s">
        <v>204</v>
      </c>
      <c r="N64" s="26">
        <v>621.96155034146341</v>
      </c>
      <c r="O64" s="95">
        <f t="shared" si="1"/>
        <v>136936.45424043282</v>
      </c>
      <c r="P64" s="97">
        <f t="shared" si="2"/>
        <v>49578.805107862434</v>
      </c>
      <c r="Q64" s="197">
        <v>0.42875518079176783</v>
      </c>
    </row>
    <row r="65" spans="1:17" x14ac:dyDescent="0.25">
      <c r="A65" s="254">
        <v>40444</v>
      </c>
      <c r="B65" s="254" t="s">
        <v>183</v>
      </c>
      <c r="C65" s="210">
        <v>10283724</v>
      </c>
      <c r="D65" s="115" t="s">
        <v>265</v>
      </c>
      <c r="E65" s="34">
        <f t="shared" si="0"/>
        <v>40444</v>
      </c>
      <c r="F65" s="108" t="str">
        <f t="shared" si="3"/>
        <v>2010-11</v>
      </c>
      <c r="H65" s="119"/>
      <c r="I65" s="26"/>
      <c r="J65" s="101">
        <f t="shared" si="4"/>
        <v>0.84443766578674484</v>
      </c>
      <c r="K65" s="37"/>
      <c r="L65" s="26">
        <v>82.947993647000004</v>
      </c>
      <c r="M65" s="26" t="s">
        <v>204</v>
      </c>
      <c r="N65" s="26">
        <v>621.96155034146341</v>
      </c>
      <c r="O65" s="95">
        <f t="shared" si="1"/>
        <v>51590.46272640198</v>
      </c>
      <c r="P65" s="97">
        <f t="shared" si="2"/>
        <v>18678.689404690987</v>
      </c>
      <c r="Q65" s="197">
        <v>0.42875518079176783</v>
      </c>
    </row>
    <row r="66" spans="1:17" x14ac:dyDescent="0.25">
      <c r="A66" s="254">
        <v>40490</v>
      </c>
      <c r="B66" s="254" t="s">
        <v>183</v>
      </c>
      <c r="C66" s="210">
        <v>10246912</v>
      </c>
      <c r="D66" s="115" t="s">
        <v>266</v>
      </c>
      <c r="E66" s="34">
        <f t="shared" si="0"/>
        <v>40490</v>
      </c>
      <c r="F66" s="108" t="str">
        <f t="shared" si="3"/>
        <v>2010-11</v>
      </c>
      <c r="H66" s="119"/>
      <c r="I66" s="26"/>
      <c r="J66" s="101">
        <f t="shared" si="4"/>
        <v>0.84443766578674484</v>
      </c>
      <c r="K66" s="37"/>
      <c r="L66" s="26">
        <v>36.402080232599999</v>
      </c>
      <c r="M66" s="26" t="s">
        <v>204</v>
      </c>
      <c r="N66" s="26">
        <v>627.42926829268276</v>
      </c>
      <c r="O66" s="95">
        <f t="shared" si="1"/>
        <v>22839.73056467175</v>
      </c>
      <c r="P66" s="97">
        <f t="shared" si="2"/>
        <v>19286.728765229585</v>
      </c>
      <c r="Q66" s="197">
        <v>1</v>
      </c>
    </row>
    <row r="67" spans="1:17" x14ac:dyDescent="0.25">
      <c r="A67" s="254">
        <v>40490</v>
      </c>
      <c r="B67" s="254" t="s">
        <v>183</v>
      </c>
      <c r="C67" s="210">
        <v>10246914</v>
      </c>
      <c r="D67" s="115" t="s">
        <v>266</v>
      </c>
      <c r="E67" s="34">
        <f t="shared" si="0"/>
        <v>40490</v>
      </c>
      <c r="F67" s="108" t="str">
        <f t="shared" si="3"/>
        <v>2010-11</v>
      </c>
      <c r="H67" s="119"/>
      <c r="I67" s="26"/>
      <c r="J67" s="101">
        <f t="shared" si="4"/>
        <v>0.84443766578674484</v>
      </c>
      <c r="K67" s="37"/>
      <c r="L67" s="26">
        <v>1.5003179662999999</v>
      </c>
      <c r="M67" s="26" t="s">
        <v>204</v>
      </c>
      <c r="N67" s="26">
        <v>627.42926829268276</v>
      </c>
      <c r="O67" s="95">
        <f t="shared" si="1"/>
        <v>941.34340380197477</v>
      </c>
      <c r="P67" s="97">
        <f t="shared" si="2"/>
        <v>794.90582661028873</v>
      </c>
      <c r="Q67" s="197">
        <v>1</v>
      </c>
    </row>
    <row r="68" spans="1:17" x14ac:dyDescent="0.25">
      <c r="A68" s="254">
        <v>40490</v>
      </c>
      <c r="B68" s="254" t="s">
        <v>183</v>
      </c>
      <c r="C68" s="210">
        <v>10246905</v>
      </c>
      <c r="D68" s="115" t="s">
        <v>266</v>
      </c>
      <c r="E68" s="34">
        <f t="shared" si="0"/>
        <v>40490</v>
      </c>
      <c r="F68" s="108" t="str">
        <f t="shared" si="3"/>
        <v>2010-11</v>
      </c>
      <c r="H68" s="119"/>
      <c r="I68" s="26"/>
      <c r="J68" s="101">
        <f t="shared" si="4"/>
        <v>0.84443766578674484</v>
      </c>
      <c r="K68" s="37"/>
      <c r="L68" s="26">
        <v>2.6482086642299998</v>
      </c>
      <c r="M68" s="26" t="s">
        <v>204</v>
      </c>
      <c r="N68" s="26">
        <v>627.42926829268276</v>
      </c>
      <c r="O68" s="95">
        <f t="shared" si="1"/>
        <v>1661.5636244841717</v>
      </c>
      <c r="P68" s="97">
        <f t="shared" si="2"/>
        <v>1403.0869086155774</v>
      </c>
      <c r="Q68" s="197">
        <v>1</v>
      </c>
    </row>
    <row r="69" spans="1:17" x14ac:dyDescent="0.25">
      <c r="A69" s="254">
        <v>40490</v>
      </c>
      <c r="B69" s="254" t="s">
        <v>183</v>
      </c>
      <c r="C69" s="210">
        <v>10246913</v>
      </c>
      <c r="D69" s="115" t="s">
        <v>266</v>
      </c>
      <c r="E69" s="34">
        <f t="shared" si="0"/>
        <v>40490</v>
      </c>
      <c r="F69" s="108" t="str">
        <f t="shared" si="3"/>
        <v>2010-11</v>
      </c>
      <c r="H69" s="119"/>
      <c r="I69" s="26"/>
      <c r="J69" s="101">
        <f t="shared" si="4"/>
        <v>0.84443766578674484</v>
      </c>
      <c r="K69" s="37"/>
      <c r="L69" s="26">
        <v>1.5003179662999999</v>
      </c>
      <c r="M69" s="26" t="s">
        <v>204</v>
      </c>
      <c r="N69" s="26">
        <v>627.42926829268276</v>
      </c>
      <c r="O69" s="95">
        <f t="shared" si="1"/>
        <v>941.34340380197477</v>
      </c>
      <c r="P69" s="97">
        <f t="shared" si="2"/>
        <v>794.90582661028873</v>
      </c>
      <c r="Q69" s="197">
        <v>1</v>
      </c>
    </row>
    <row r="70" spans="1:17" x14ac:dyDescent="0.25">
      <c r="A70" s="254">
        <v>40490</v>
      </c>
      <c r="B70" s="254" t="s">
        <v>183</v>
      </c>
      <c r="C70" s="210">
        <v>10246902</v>
      </c>
      <c r="D70" s="115" t="s">
        <v>266</v>
      </c>
      <c r="E70" s="34">
        <f t="shared" si="0"/>
        <v>40490</v>
      </c>
      <c r="F70" s="108" t="str">
        <f t="shared" si="3"/>
        <v>2010-11</v>
      </c>
      <c r="H70" s="119"/>
      <c r="I70" s="26"/>
      <c r="J70" s="101">
        <f t="shared" si="4"/>
        <v>0.84443766578674484</v>
      </c>
      <c r="K70" s="37"/>
      <c r="L70" s="26">
        <v>2.6482086642299998</v>
      </c>
      <c r="M70" s="26" t="s">
        <v>204</v>
      </c>
      <c r="N70" s="26">
        <v>627.42926829268276</v>
      </c>
      <c r="O70" s="95">
        <f t="shared" si="1"/>
        <v>1661.5636244841717</v>
      </c>
      <c r="P70" s="97">
        <f t="shared" si="2"/>
        <v>1403.0869086155774</v>
      </c>
      <c r="Q70" s="197">
        <v>1</v>
      </c>
    </row>
    <row r="71" spans="1:17" x14ac:dyDescent="0.25">
      <c r="A71" s="254">
        <v>40490</v>
      </c>
      <c r="B71" s="254" t="s">
        <v>183</v>
      </c>
      <c r="C71" s="210">
        <v>10246904</v>
      </c>
      <c r="D71" s="115" t="s">
        <v>266</v>
      </c>
      <c r="E71" s="34">
        <f t="shared" si="0"/>
        <v>40490</v>
      </c>
      <c r="F71" s="108" t="str">
        <f t="shared" si="3"/>
        <v>2010-11</v>
      </c>
      <c r="H71" s="119"/>
      <c r="I71" s="26"/>
      <c r="J71" s="101">
        <f t="shared" si="4"/>
        <v>0.84443766578674484</v>
      </c>
      <c r="K71" s="37"/>
      <c r="L71" s="26">
        <v>2.6485894452499998</v>
      </c>
      <c r="M71" s="26" t="s">
        <v>204</v>
      </c>
      <c r="N71" s="26">
        <v>627.42926829268276</v>
      </c>
      <c r="O71" s="95">
        <f t="shared" si="1"/>
        <v>1661.80253764093</v>
      </c>
      <c r="P71" s="97">
        <f t="shared" si="2"/>
        <v>1403.2886558839962</v>
      </c>
      <c r="Q71" s="197">
        <v>1</v>
      </c>
    </row>
    <row r="72" spans="1:17" x14ac:dyDescent="0.25">
      <c r="A72" s="254">
        <v>40420</v>
      </c>
      <c r="B72" s="254" t="s">
        <v>183</v>
      </c>
      <c r="C72" s="210">
        <v>9474625</v>
      </c>
      <c r="D72" s="115" t="s">
        <v>267</v>
      </c>
      <c r="E72" s="34">
        <f t="shared" si="0"/>
        <v>40420</v>
      </c>
      <c r="F72" s="108" t="str">
        <f t="shared" si="3"/>
        <v>2010-11</v>
      </c>
      <c r="H72" s="119"/>
      <c r="I72" s="26"/>
      <c r="J72" s="101">
        <f t="shared" si="4"/>
        <v>0.84443766578674484</v>
      </c>
      <c r="K72" s="37"/>
      <c r="L72" s="26">
        <v>3.4979422522400001</v>
      </c>
      <c r="M72" s="26" t="s">
        <v>204</v>
      </c>
      <c r="N72" s="26">
        <v>696.6467060487804</v>
      </c>
      <c r="O72" s="95">
        <f t="shared" si="1"/>
        <v>2436.829947971848</v>
      </c>
      <c r="P72" s="97">
        <f t="shared" si="2"/>
        <v>2057.7509931845821</v>
      </c>
      <c r="Q72" s="197">
        <v>1</v>
      </c>
    </row>
    <row r="73" spans="1:17" x14ac:dyDescent="0.25">
      <c r="A73" s="254">
        <v>40420</v>
      </c>
      <c r="B73" s="254" t="s">
        <v>183</v>
      </c>
      <c r="C73" s="210">
        <v>2421022</v>
      </c>
      <c r="D73" s="115" t="s">
        <v>267</v>
      </c>
      <c r="E73" s="34">
        <f t="shared" si="0"/>
        <v>40420</v>
      </c>
      <c r="F73" s="108" t="str">
        <f t="shared" si="3"/>
        <v>2010-11</v>
      </c>
      <c r="H73" s="119"/>
      <c r="I73" s="26"/>
      <c r="J73" s="101">
        <f t="shared" si="4"/>
        <v>0.84443766578674484</v>
      </c>
      <c r="K73" s="37"/>
      <c r="L73" s="26">
        <v>1.0000005000000001</v>
      </c>
      <c r="M73" s="26" t="s">
        <v>204</v>
      </c>
      <c r="N73" s="26">
        <v>1181.2618378536583</v>
      </c>
      <c r="O73" s="95">
        <f t="shared" si="1"/>
        <v>1181.2624284845774</v>
      </c>
      <c r="P73" s="97">
        <f t="shared" si="2"/>
        <v>997.50248779109813</v>
      </c>
      <c r="Q73" s="197">
        <v>1</v>
      </c>
    </row>
    <row r="74" spans="1:17" x14ac:dyDescent="0.25">
      <c r="A74" s="254">
        <v>40444</v>
      </c>
      <c r="B74" s="254" t="s">
        <v>183</v>
      </c>
      <c r="C74" s="210">
        <v>10283736</v>
      </c>
      <c r="D74" s="115" t="s">
        <v>265</v>
      </c>
      <c r="E74" s="34">
        <f t="shared" si="0"/>
        <v>40444</v>
      </c>
      <c r="F74" s="108" t="str">
        <f t="shared" si="3"/>
        <v>2010-11</v>
      </c>
      <c r="H74" s="119"/>
      <c r="I74" s="26"/>
      <c r="J74" s="101">
        <f t="shared" si="4"/>
        <v>0.84443766578674484</v>
      </c>
      <c r="K74" s="37"/>
      <c r="L74" s="26">
        <v>106.03114095700001</v>
      </c>
      <c r="M74" s="26" t="s">
        <v>204</v>
      </c>
      <c r="N74" s="26">
        <v>621.96155034146341</v>
      </c>
      <c r="O74" s="95">
        <f t="shared" si="1"/>
        <v>65947.29281408996</v>
      </c>
      <c r="P74" s="97">
        <f t="shared" si="2"/>
        <v>23876.680581199838</v>
      </c>
      <c r="Q74" s="197">
        <v>0.42875518079176783</v>
      </c>
    </row>
    <row r="75" spans="1:17" x14ac:dyDescent="0.25">
      <c r="A75" s="254">
        <v>40444</v>
      </c>
      <c r="B75" s="254" t="s">
        <v>183</v>
      </c>
      <c r="C75" s="210">
        <v>10283731</v>
      </c>
      <c r="D75" s="115" t="s">
        <v>265</v>
      </c>
      <c r="E75" s="34">
        <f t="shared" si="0"/>
        <v>40444</v>
      </c>
      <c r="F75" s="108" t="str">
        <f t="shared" si="3"/>
        <v>2010-11</v>
      </c>
      <c r="H75" s="119"/>
      <c r="I75" s="26"/>
      <c r="J75" s="101">
        <f t="shared" si="4"/>
        <v>0.84443766578674484</v>
      </c>
      <c r="K75" s="37"/>
      <c r="L75" s="26">
        <v>1.4995632697600001</v>
      </c>
      <c r="M75" s="26" t="s">
        <v>204</v>
      </c>
      <c r="N75" s="26">
        <v>514.18436487804865</v>
      </c>
      <c r="O75" s="95">
        <f t="shared" si="1"/>
        <v>771.05198745599557</v>
      </c>
      <c r="P75" s="97">
        <f t="shared" si="2"/>
        <v>279.16478797523416</v>
      </c>
      <c r="Q75" s="197">
        <v>0.42875518079176783</v>
      </c>
    </row>
    <row r="76" spans="1:17" x14ac:dyDescent="0.25">
      <c r="A76" s="254">
        <v>40620</v>
      </c>
      <c r="B76" s="254" t="s">
        <v>183</v>
      </c>
      <c r="C76" s="210">
        <v>10309445</v>
      </c>
      <c r="D76" s="115" t="s">
        <v>268</v>
      </c>
      <c r="E76" s="34">
        <f t="shared" si="0"/>
        <v>40620</v>
      </c>
      <c r="F76" s="108" t="str">
        <f t="shared" si="3"/>
        <v>2010-11</v>
      </c>
      <c r="H76" s="119"/>
      <c r="I76" s="26"/>
      <c r="J76" s="101">
        <f t="shared" si="4"/>
        <v>0.84443766578674484</v>
      </c>
      <c r="K76" s="37"/>
      <c r="L76" s="26">
        <v>83.371182920600006</v>
      </c>
      <c r="M76" s="26" t="s">
        <v>204</v>
      </c>
      <c r="N76" s="26">
        <v>470.74786858536584</v>
      </c>
      <c r="O76" s="95">
        <f t="shared" si="1"/>
        <v>39246.806661313109</v>
      </c>
      <c r="P76" s="97">
        <f t="shared" si="2"/>
        <v>1114.3912084323786</v>
      </c>
      <c r="Q76" s="197">
        <v>3.3625268023119485E-2</v>
      </c>
    </row>
    <row r="77" spans="1:17" x14ac:dyDescent="0.25">
      <c r="A77" s="254">
        <v>40620</v>
      </c>
      <c r="B77" s="254" t="s">
        <v>183</v>
      </c>
      <c r="C77" s="210">
        <v>10309399</v>
      </c>
      <c r="D77" s="115" t="s">
        <v>268</v>
      </c>
      <c r="E77" s="34">
        <f t="shared" si="0"/>
        <v>40620</v>
      </c>
      <c r="F77" s="108" t="str">
        <f t="shared" si="3"/>
        <v>2010-11</v>
      </c>
      <c r="H77" s="119"/>
      <c r="I77" s="26"/>
      <c r="J77" s="101">
        <f t="shared" si="4"/>
        <v>0.84443766578674484</v>
      </c>
      <c r="K77" s="37"/>
      <c r="L77" s="26">
        <v>63.553759960500003</v>
      </c>
      <c r="M77" s="26" t="s">
        <v>204</v>
      </c>
      <c r="N77" s="26">
        <v>470.74786858536584</v>
      </c>
      <c r="O77" s="95">
        <f t="shared" si="1"/>
        <v>29917.79704199134</v>
      </c>
      <c r="P77" s="97">
        <f t="shared" si="2"/>
        <v>849.49917803437108</v>
      </c>
      <c r="Q77" s="197">
        <v>3.3625268023119485E-2</v>
      </c>
    </row>
    <row r="78" spans="1:17" x14ac:dyDescent="0.25">
      <c r="A78" s="254">
        <v>40620</v>
      </c>
      <c r="B78" s="254" t="s">
        <v>183</v>
      </c>
      <c r="C78" s="210">
        <v>10309453</v>
      </c>
      <c r="D78" s="115" t="s">
        <v>268</v>
      </c>
      <c r="E78" s="34">
        <f t="shared" si="0"/>
        <v>40620</v>
      </c>
      <c r="F78" s="108" t="str">
        <f t="shared" si="3"/>
        <v>2010-11</v>
      </c>
      <c r="H78" s="119"/>
      <c r="I78" s="26"/>
      <c r="J78" s="101">
        <f t="shared" si="4"/>
        <v>0.84443766578674484</v>
      </c>
      <c r="K78" s="37"/>
      <c r="L78" s="26">
        <v>7.4214033731800004</v>
      </c>
      <c r="M78" s="26" t="s">
        <v>204</v>
      </c>
      <c r="N78" s="26">
        <v>470.74786858536584</v>
      </c>
      <c r="O78" s="95">
        <f t="shared" si="1"/>
        <v>3493.6098198367295</v>
      </c>
      <c r="P78" s="97">
        <f t="shared" si="2"/>
        <v>99.199104337749404</v>
      </c>
      <c r="Q78" s="197">
        <v>3.3625268023119485E-2</v>
      </c>
    </row>
    <row r="79" spans="1:17" x14ac:dyDescent="0.25">
      <c r="A79" s="254">
        <v>40620</v>
      </c>
      <c r="B79" s="254" t="s">
        <v>183</v>
      </c>
      <c r="C79" s="210">
        <v>10309404</v>
      </c>
      <c r="D79" s="115" t="s">
        <v>268</v>
      </c>
      <c r="E79" s="34">
        <f t="shared" si="0"/>
        <v>40620</v>
      </c>
      <c r="F79" s="108" t="str">
        <f t="shared" si="3"/>
        <v>2010-11</v>
      </c>
      <c r="H79" s="119"/>
      <c r="I79" s="26"/>
      <c r="J79" s="101">
        <f t="shared" si="4"/>
        <v>0.84443766578674484</v>
      </c>
      <c r="K79" s="37"/>
      <c r="L79" s="26">
        <v>3.3894392620099998</v>
      </c>
      <c r="M79" s="26" t="s">
        <v>204</v>
      </c>
      <c r="N79" s="26">
        <v>470.74786858536584</v>
      </c>
      <c r="O79" s="95">
        <f t="shared" si="1"/>
        <v>1595.5713082907628</v>
      </c>
      <c r="P79" s="97">
        <f t="shared" si="2"/>
        <v>45.305358311836812</v>
      </c>
      <c r="Q79" s="197">
        <v>3.3625268023119485E-2</v>
      </c>
    </row>
    <row r="80" spans="1:17" x14ac:dyDescent="0.25">
      <c r="A80" s="254">
        <v>41243</v>
      </c>
      <c r="B80" s="254" t="s">
        <v>183</v>
      </c>
      <c r="C80" s="210">
        <v>10607979</v>
      </c>
      <c r="D80" s="115" t="s">
        <v>269</v>
      </c>
      <c r="E80" s="34">
        <f t="shared" si="0"/>
        <v>41243</v>
      </c>
      <c r="F80" s="108" t="str">
        <f t="shared" si="3"/>
        <v>2012-13</v>
      </c>
      <c r="H80" s="119"/>
      <c r="I80" s="26"/>
      <c r="J80" s="101">
        <f t="shared" si="4"/>
        <v>0.84443766578674484</v>
      </c>
      <c r="K80" s="37"/>
      <c r="L80" s="26">
        <v>3.3799707988200001</v>
      </c>
      <c r="M80" s="26" t="s">
        <v>204</v>
      </c>
      <c r="N80" s="26">
        <v>771.6404230243902</v>
      </c>
      <c r="O80" s="95">
        <f t="shared" si="1"/>
        <v>2608.122097011551</v>
      </c>
      <c r="P80" s="97">
        <f t="shared" si="2"/>
        <v>2202.3965356872641</v>
      </c>
      <c r="Q80" s="197">
        <v>1</v>
      </c>
    </row>
    <row r="81" spans="1:17" x14ac:dyDescent="0.25">
      <c r="A81" s="254">
        <v>41140</v>
      </c>
      <c r="B81" s="254" t="s">
        <v>183</v>
      </c>
      <c r="C81" s="210">
        <v>10453913</v>
      </c>
      <c r="D81" s="115" t="s">
        <v>270</v>
      </c>
      <c r="E81" s="34">
        <f t="shared" si="0"/>
        <v>41140</v>
      </c>
      <c r="F81" s="108" t="str">
        <f t="shared" si="3"/>
        <v>2012-13</v>
      </c>
      <c r="H81" s="119"/>
      <c r="I81" s="26"/>
      <c r="J81" s="101">
        <f t="shared" si="4"/>
        <v>0.84443766578674484</v>
      </c>
      <c r="K81" s="37"/>
      <c r="L81" s="26">
        <v>65.486189320799994</v>
      </c>
      <c r="M81" s="26" t="s">
        <v>204</v>
      </c>
      <c r="N81" s="26">
        <v>470.74786858536584</v>
      </c>
      <c r="O81" s="95">
        <f t="shared" si="1"/>
        <v>30827.484044544344</v>
      </c>
      <c r="P81" s="97">
        <f t="shared" si="2"/>
        <v>25825.271090291659</v>
      </c>
      <c r="Q81" s="197">
        <v>0.99206290480912007</v>
      </c>
    </row>
    <row r="82" spans="1:17" x14ac:dyDescent="0.25">
      <c r="A82" s="254">
        <v>41184</v>
      </c>
      <c r="B82" s="254" t="s">
        <v>183</v>
      </c>
      <c r="C82" s="210">
        <v>10532290</v>
      </c>
      <c r="D82" s="115" t="s">
        <v>271</v>
      </c>
      <c r="E82" s="34">
        <f t="shared" si="0"/>
        <v>41184</v>
      </c>
      <c r="F82" s="108" t="str">
        <f t="shared" si="3"/>
        <v>2012-13</v>
      </c>
      <c r="H82" s="119"/>
      <c r="I82" s="26"/>
      <c r="J82" s="101">
        <f t="shared" si="4"/>
        <v>0.84443766578674484</v>
      </c>
      <c r="K82" s="37"/>
      <c r="L82" s="26">
        <v>5.9997358221999999</v>
      </c>
      <c r="M82" s="26" t="s">
        <v>204</v>
      </c>
      <c r="N82" s="26">
        <v>3608.751988975609</v>
      </c>
      <c r="O82" s="95">
        <f t="shared" si="1"/>
        <v>21651.558581692461</v>
      </c>
      <c r="P82" s="97">
        <f t="shared" si="2"/>
        <v>18283.391589369345</v>
      </c>
      <c r="Q82" s="197">
        <v>1</v>
      </c>
    </row>
    <row r="83" spans="1:17" x14ac:dyDescent="0.25">
      <c r="A83" s="254">
        <v>41338</v>
      </c>
      <c r="B83" s="254" t="s">
        <v>183</v>
      </c>
      <c r="C83" s="210">
        <v>10534434</v>
      </c>
      <c r="D83" s="115" t="s">
        <v>272</v>
      </c>
      <c r="E83" s="34">
        <f t="shared" si="0"/>
        <v>41338</v>
      </c>
      <c r="F83" s="108" t="str">
        <f t="shared" si="3"/>
        <v>2012-13</v>
      </c>
      <c r="H83" s="119"/>
      <c r="I83" s="26"/>
      <c r="J83" s="101">
        <f t="shared" si="4"/>
        <v>0.84443766578674484</v>
      </c>
      <c r="K83" s="37"/>
      <c r="L83" s="26">
        <v>2.0336816449800001</v>
      </c>
      <c r="M83" s="26" t="s">
        <v>204</v>
      </c>
      <c r="N83" s="26">
        <v>621.96155034146341</v>
      </c>
      <c r="O83" s="95">
        <f t="shared" si="1"/>
        <v>1264.8717888127385</v>
      </c>
      <c r="P83" s="97">
        <f t="shared" si="2"/>
        <v>1068.1053808645333</v>
      </c>
      <c r="Q83" s="197">
        <v>1</v>
      </c>
    </row>
    <row r="84" spans="1:17" x14ac:dyDescent="0.25">
      <c r="A84" s="254">
        <v>41338</v>
      </c>
      <c r="B84" s="254" t="s">
        <v>183</v>
      </c>
      <c r="C84" s="210">
        <v>10534428</v>
      </c>
      <c r="D84" s="115" t="s">
        <v>272</v>
      </c>
      <c r="E84" s="34">
        <f t="shared" si="0"/>
        <v>41338</v>
      </c>
      <c r="F84" s="108" t="str">
        <f t="shared" si="3"/>
        <v>2012-13</v>
      </c>
      <c r="H84" s="119"/>
      <c r="I84" s="26"/>
      <c r="J84" s="101">
        <f t="shared" si="4"/>
        <v>0.84443766578674484</v>
      </c>
      <c r="K84" s="37"/>
      <c r="L84" s="26">
        <v>21.2364256621</v>
      </c>
      <c r="M84" s="26" t="s">
        <v>204</v>
      </c>
      <c r="N84" s="26">
        <v>621.96155034146341</v>
      </c>
      <c r="O84" s="95">
        <f t="shared" si="1"/>
        <v>13208.240228510955</v>
      </c>
      <c r="P84" s="97">
        <f t="shared" si="2"/>
        <v>11153.535547714371</v>
      </c>
      <c r="Q84" s="197">
        <v>1</v>
      </c>
    </row>
    <row r="85" spans="1:17" x14ac:dyDescent="0.25">
      <c r="A85" s="254">
        <v>41338</v>
      </c>
      <c r="B85" s="254" t="s">
        <v>183</v>
      </c>
      <c r="C85" s="210">
        <v>10534426</v>
      </c>
      <c r="D85" s="115" t="s">
        <v>272</v>
      </c>
      <c r="E85" s="34">
        <f t="shared" si="0"/>
        <v>41338</v>
      </c>
      <c r="F85" s="108" t="str">
        <f t="shared" si="3"/>
        <v>2012-13</v>
      </c>
      <c r="H85" s="119"/>
      <c r="I85" s="26"/>
      <c r="J85" s="101">
        <f t="shared" si="4"/>
        <v>0.84443766578674484</v>
      </c>
      <c r="K85" s="37"/>
      <c r="L85" s="26">
        <v>1.49772761208</v>
      </c>
      <c r="M85" s="26" t="s">
        <v>204</v>
      </c>
      <c r="N85" s="26">
        <v>621.96155034146341</v>
      </c>
      <c r="O85" s="95">
        <f t="shared" si="1"/>
        <v>931.52898759849472</v>
      </c>
      <c r="P85" s="97">
        <f t="shared" si="2"/>
        <v>786.61816390036245</v>
      </c>
      <c r="Q85" s="197">
        <v>1</v>
      </c>
    </row>
    <row r="86" spans="1:17" x14ac:dyDescent="0.25">
      <c r="A86" s="254">
        <v>41607</v>
      </c>
      <c r="B86" s="254" t="s">
        <v>183</v>
      </c>
      <c r="C86" s="210">
        <v>10660595</v>
      </c>
      <c r="D86" s="115" t="s">
        <v>273</v>
      </c>
      <c r="E86" s="34">
        <f t="shared" ref="E86:E149" si="5">IF(A86&lt;2022,DATEVALUE("30 Jun "&amp;A86),A86)</f>
        <v>41607</v>
      </c>
      <c r="F86" s="108" t="str">
        <f t="shared" si="3"/>
        <v>2013-14</v>
      </c>
      <c r="H86" s="119"/>
      <c r="I86" s="26"/>
      <c r="J86" s="101">
        <f t="shared" ref="J86:J149" si="6">J85</f>
        <v>0.84443766578674484</v>
      </c>
      <c r="K86" s="37"/>
      <c r="L86" s="26">
        <v>7.6957934613700001</v>
      </c>
      <c r="M86" s="26" t="s">
        <v>204</v>
      </c>
      <c r="N86" s="26">
        <v>916.52160117073151</v>
      </c>
      <c r="O86" s="95">
        <f t="shared" ref="O86:O149" si="7">IF(N86="","-",L86*N86)</f>
        <v>7053.3609454940788</v>
      </c>
      <c r="P86" s="97">
        <f t="shared" ref="P86:P149" si="8">IF(O86="-","-",IF(OR(E86&lt;$E$15,E86&gt;$E$16),0,O86*J86))*Q86</f>
        <v>3606.9982203150889</v>
      </c>
      <c r="Q86" s="197">
        <v>0.60559491887663841</v>
      </c>
    </row>
    <row r="87" spans="1:17" x14ac:dyDescent="0.25">
      <c r="A87" s="254">
        <v>41607</v>
      </c>
      <c r="B87" s="254" t="s">
        <v>183</v>
      </c>
      <c r="C87" s="210">
        <v>10660596</v>
      </c>
      <c r="D87" s="115" t="s">
        <v>273</v>
      </c>
      <c r="E87" s="34">
        <f t="shared" si="5"/>
        <v>41607</v>
      </c>
      <c r="F87" s="108" t="str">
        <f t="shared" ref="F87:F150" si="9">IF(E87="","-",IF(OR(E87&lt;$E$15,E87&gt;$E$16),"ERROR - date outside of range",IF(MONTH(E87)&gt;=7,YEAR(E87)&amp;"-"&amp;IF(YEAR(E87)=1999,"00",IF(AND(YEAR(E87)&gt;=2000,YEAR(E87)&lt;2009),"0","")&amp;RIGHT(YEAR(E87),2)+1),RIGHT(YEAR(E87),4)-1&amp;"-"&amp;RIGHT(YEAR(E87),2))))</f>
        <v>2013-14</v>
      </c>
      <c r="H87" s="119"/>
      <c r="I87" s="26"/>
      <c r="J87" s="101">
        <f t="shared" si="6"/>
        <v>0.84443766578674484</v>
      </c>
      <c r="K87" s="37"/>
      <c r="L87" s="26">
        <v>5.3975613021499997</v>
      </c>
      <c r="M87" s="26" t="s">
        <v>204</v>
      </c>
      <c r="N87" s="26">
        <v>1422.8466506341463</v>
      </c>
      <c r="O87" s="95">
        <f t="shared" si="7"/>
        <v>7679.9020203566079</v>
      </c>
      <c r="P87" s="97">
        <f t="shared" si="8"/>
        <v>3927.403281029749</v>
      </c>
      <c r="Q87" s="197">
        <v>0.60559491887663841</v>
      </c>
    </row>
    <row r="88" spans="1:17" x14ac:dyDescent="0.25">
      <c r="A88" s="254">
        <v>41607</v>
      </c>
      <c r="B88" s="254" t="s">
        <v>183</v>
      </c>
      <c r="C88" s="210">
        <v>10660589</v>
      </c>
      <c r="D88" s="115" t="s">
        <v>273</v>
      </c>
      <c r="E88" s="34">
        <f t="shared" si="5"/>
        <v>41607</v>
      </c>
      <c r="F88" s="108" t="str">
        <f t="shared" si="9"/>
        <v>2013-14</v>
      </c>
      <c r="H88" s="119"/>
      <c r="I88" s="26"/>
      <c r="J88" s="101">
        <f t="shared" si="6"/>
        <v>0.84443766578674484</v>
      </c>
      <c r="K88" s="37"/>
      <c r="L88" s="26">
        <v>1.49930817379</v>
      </c>
      <c r="M88" s="26" t="s">
        <v>204</v>
      </c>
      <c r="N88" s="26">
        <v>696.6467060487804</v>
      </c>
      <c r="O88" s="95">
        <f t="shared" si="7"/>
        <v>1044.4881006228159</v>
      </c>
      <c r="P88" s="97">
        <f t="shared" si="8"/>
        <v>534.13780312682945</v>
      </c>
      <c r="Q88" s="197">
        <v>0.60559491887663841</v>
      </c>
    </row>
    <row r="89" spans="1:17" x14ac:dyDescent="0.25">
      <c r="A89" s="254">
        <v>41607</v>
      </c>
      <c r="B89" s="254" t="s">
        <v>183</v>
      </c>
      <c r="C89" s="210">
        <v>10660602</v>
      </c>
      <c r="D89" s="115" t="s">
        <v>273</v>
      </c>
      <c r="E89" s="34">
        <f t="shared" si="5"/>
        <v>41607</v>
      </c>
      <c r="F89" s="108" t="str">
        <f t="shared" si="9"/>
        <v>2013-14</v>
      </c>
      <c r="H89" s="119"/>
      <c r="I89" s="26"/>
      <c r="J89" s="101">
        <f t="shared" si="6"/>
        <v>0.84443766578674484</v>
      </c>
      <c r="K89" s="37"/>
      <c r="L89" s="26">
        <v>1.19944653903</v>
      </c>
      <c r="M89" s="26" t="s">
        <v>204</v>
      </c>
      <c r="N89" s="26">
        <v>621.96155034146341</v>
      </c>
      <c r="O89" s="95">
        <f t="shared" si="7"/>
        <v>746.00962896680142</v>
      </c>
      <c r="P89" s="97">
        <f t="shared" si="8"/>
        <v>381.49974527252567</v>
      </c>
      <c r="Q89" s="197">
        <v>0.60559491887663841</v>
      </c>
    </row>
    <row r="90" spans="1:17" x14ac:dyDescent="0.25">
      <c r="A90" s="254">
        <v>41607</v>
      </c>
      <c r="B90" s="254" t="s">
        <v>183</v>
      </c>
      <c r="C90" s="210">
        <v>10660594</v>
      </c>
      <c r="D90" s="115" t="s">
        <v>273</v>
      </c>
      <c r="E90" s="34">
        <f t="shared" si="5"/>
        <v>41607</v>
      </c>
      <c r="F90" s="108" t="str">
        <f t="shared" si="9"/>
        <v>2013-14</v>
      </c>
      <c r="H90" s="119"/>
      <c r="I90" s="26"/>
      <c r="J90" s="101">
        <f t="shared" si="6"/>
        <v>0.84443766578674484</v>
      </c>
      <c r="K90" s="37"/>
      <c r="L90" s="26">
        <v>3.7399352101400001</v>
      </c>
      <c r="M90" s="26" t="s">
        <v>204</v>
      </c>
      <c r="N90" s="26">
        <v>621.96155034146341</v>
      </c>
      <c r="O90" s="95">
        <f t="shared" si="7"/>
        <v>2326.0959014753012</v>
      </c>
      <c r="P90" s="97">
        <f t="shared" si="8"/>
        <v>1189.5355762650408</v>
      </c>
      <c r="Q90" s="197">
        <v>0.60559491887663841</v>
      </c>
    </row>
    <row r="91" spans="1:17" x14ac:dyDescent="0.25">
      <c r="A91" s="254">
        <v>41607</v>
      </c>
      <c r="B91" s="254" t="s">
        <v>183</v>
      </c>
      <c r="C91" s="210">
        <v>10660604</v>
      </c>
      <c r="D91" s="115" t="s">
        <v>273</v>
      </c>
      <c r="E91" s="34">
        <f t="shared" si="5"/>
        <v>41607</v>
      </c>
      <c r="F91" s="108" t="str">
        <f t="shared" si="9"/>
        <v>2013-14</v>
      </c>
      <c r="H91" s="119"/>
      <c r="I91" s="26"/>
      <c r="J91" s="101">
        <f t="shared" si="6"/>
        <v>0.84443766578674484</v>
      </c>
      <c r="K91" s="37"/>
      <c r="L91" s="26">
        <v>2.3986967214399999</v>
      </c>
      <c r="M91" s="26" t="s">
        <v>204</v>
      </c>
      <c r="N91" s="26">
        <v>621.96155034146341</v>
      </c>
      <c r="O91" s="95">
        <f t="shared" si="7"/>
        <v>1491.8971316658078</v>
      </c>
      <c r="P91" s="97">
        <f t="shared" si="8"/>
        <v>762.93703673983794</v>
      </c>
      <c r="Q91" s="197">
        <v>0.60559491887663841</v>
      </c>
    </row>
    <row r="92" spans="1:17" x14ac:dyDescent="0.25">
      <c r="A92" s="254">
        <v>41607</v>
      </c>
      <c r="B92" s="254" t="s">
        <v>183</v>
      </c>
      <c r="C92" s="210">
        <v>10660600</v>
      </c>
      <c r="D92" s="115" t="s">
        <v>273</v>
      </c>
      <c r="E92" s="34">
        <f t="shared" si="5"/>
        <v>41607</v>
      </c>
      <c r="F92" s="108" t="str">
        <f t="shared" si="9"/>
        <v>2013-14</v>
      </c>
      <c r="H92" s="119"/>
      <c r="I92" s="26"/>
      <c r="J92" s="101">
        <f t="shared" si="6"/>
        <v>0.84443766578674484</v>
      </c>
      <c r="K92" s="37"/>
      <c r="L92" s="26">
        <v>38.380910637600003</v>
      </c>
      <c r="M92" s="26" t="s">
        <v>204</v>
      </c>
      <c r="N92" s="26">
        <v>621.96155034146341</v>
      </c>
      <c r="O92" s="95">
        <f t="shared" si="7"/>
        <v>23871.450683678864</v>
      </c>
      <c r="P92" s="97">
        <f t="shared" si="8"/>
        <v>12207.553363248104</v>
      </c>
      <c r="Q92" s="197">
        <v>0.60559491887663841</v>
      </c>
    </row>
    <row r="93" spans="1:17" x14ac:dyDescent="0.25">
      <c r="A93" s="254">
        <v>41607</v>
      </c>
      <c r="B93" s="254" t="s">
        <v>183</v>
      </c>
      <c r="C93" s="210">
        <v>10660593</v>
      </c>
      <c r="D93" s="115" t="s">
        <v>273</v>
      </c>
      <c r="E93" s="34">
        <f t="shared" si="5"/>
        <v>41607</v>
      </c>
      <c r="F93" s="108" t="str">
        <f t="shared" si="9"/>
        <v>2013-14</v>
      </c>
      <c r="H93" s="119"/>
      <c r="I93" s="26"/>
      <c r="J93" s="101">
        <f t="shared" si="6"/>
        <v>0.84443766578674484</v>
      </c>
      <c r="K93" s="37"/>
      <c r="L93" s="26">
        <v>2.0982511824499999</v>
      </c>
      <c r="M93" s="26" t="s">
        <v>204</v>
      </c>
      <c r="N93" s="26">
        <v>514.18436487804865</v>
      </c>
      <c r="O93" s="95">
        <f t="shared" si="7"/>
        <v>1078.8879516026677</v>
      </c>
      <c r="P93" s="97">
        <f t="shared" si="8"/>
        <v>551.72944521381157</v>
      </c>
      <c r="Q93" s="197">
        <v>0.60559491887663841</v>
      </c>
    </row>
    <row r="94" spans="1:17" x14ac:dyDescent="0.25">
      <c r="A94" s="254">
        <v>41607</v>
      </c>
      <c r="B94" s="254" t="s">
        <v>183</v>
      </c>
      <c r="C94" s="210">
        <v>10660588</v>
      </c>
      <c r="D94" s="115" t="s">
        <v>273</v>
      </c>
      <c r="E94" s="34">
        <f t="shared" si="5"/>
        <v>41607</v>
      </c>
      <c r="F94" s="108" t="str">
        <f t="shared" si="9"/>
        <v>2013-14</v>
      </c>
      <c r="H94" s="119"/>
      <c r="I94" s="26"/>
      <c r="J94" s="101">
        <f t="shared" si="6"/>
        <v>0.84443766578674484</v>
      </c>
      <c r="K94" s="37"/>
      <c r="L94" s="26">
        <v>3.09888251373</v>
      </c>
      <c r="M94" s="26" t="s">
        <v>204</v>
      </c>
      <c r="N94" s="26">
        <v>621.96155034146341</v>
      </c>
      <c r="O94" s="95">
        <f t="shared" si="7"/>
        <v>1927.3857725655621</v>
      </c>
      <c r="P94" s="97">
        <f t="shared" si="8"/>
        <v>985.64033589487894</v>
      </c>
      <c r="Q94" s="197">
        <v>0.60559491887663841</v>
      </c>
    </row>
    <row r="95" spans="1:17" x14ac:dyDescent="0.25">
      <c r="A95" s="254">
        <v>41351</v>
      </c>
      <c r="B95" s="254" t="s">
        <v>183</v>
      </c>
      <c r="C95" s="210">
        <v>10537806</v>
      </c>
      <c r="D95" s="115" t="s">
        <v>274</v>
      </c>
      <c r="E95" s="34">
        <f t="shared" si="5"/>
        <v>41351</v>
      </c>
      <c r="F95" s="108" t="str">
        <f t="shared" si="9"/>
        <v>2012-13</v>
      </c>
      <c r="H95" s="119"/>
      <c r="I95" s="26"/>
      <c r="J95" s="101">
        <f t="shared" si="6"/>
        <v>0.84443766578674484</v>
      </c>
      <c r="K95" s="37"/>
      <c r="L95" s="26">
        <v>323.31301550400002</v>
      </c>
      <c r="M95" s="26" t="s">
        <v>204</v>
      </c>
      <c r="N95" s="26">
        <v>470.74786858536584</v>
      </c>
      <c r="O95" s="95">
        <f t="shared" si="7"/>
        <v>152198.91293441536</v>
      </c>
      <c r="P95" s="97">
        <f t="shared" si="8"/>
        <v>1986.1733181310942</v>
      </c>
      <c r="Q95" s="197">
        <v>1.5453896390897039E-2</v>
      </c>
    </row>
    <row r="96" spans="1:17" x14ac:dyDescent="0.25">
      <c r="A96" s="254">
        <v>41351</v>
      </c>
      <c r="B96" s="254" t="s">
        <v>183</v>
      </c>
      <c r="C96" s="210">
        <v>10537801</v>
      </c>
      <c r="D96" s="115" t="s">
        <v>274</v>
      </c>
      <c r="E96" s="34">
        <f t="shared" si="5"/>
        <v>41351</v>
      </c>
      <c r="F96" s="108" t="str">
        <f t="shared" si="9"/>
        <v>2012-13</v>
      </c>
      <c r="H96" s="119"/>
      <c r="I96" s="26"/>
      <c r="J96" s="101">
        <f t="shared" si="6"/>
        <v>0.84443766578674484</v>
      </c>
      <c r="K96" s="37"/>
      <c r="L96" s="26">
        <v>57.845772210100002</v>
      </c>
      <c r="M96" s="26" t="s">
        <v>204</v>
      </c>
      <c r="N96" s="26">
        <v>514.18436487804865</v>
      </c>
      <c r="O96" s="95">
        <f t="shared" si="7"/>
        <v>29743.391644730546</v>
      </c>
      <c r="P96" s="97">
        <f t="shared" si="8"/>
        <v>388.14686476074638</v>
      </c>
      <c r="Q96" s="197">
        <v>1.5453896390897039E-2</v>
      </c>
    </row>
    <row r="97" spans="1:17" x14ac:dyDescent="0.25">
      <c r="A97" s="254">
        <v>41351</v>
      </c>
      <c r="B97" s="254" t="s">
        <v>183</v>
      </c>
      <c r="C97" s="210">
        <v>10537812</v>
      </c>
      <c r="D97" s="115" t="s">
        <v>274</v>
      </c>
      <c r="E97" s="34">
        <f t="shared" si="5"/>
        <v>41351</v>
      </c>
      <c r="F97" s="108" t="str">
        <f t="shared" si="9"/>
        <v>2012-13</v>
      </c>
      <c r="H97" s="119"/>
      <c r="I97" s="26"/>
      <c r="J97" s="101">
        <f t="shared" si="6"/>
        <v>0.84443766578674484</v>
      </c>
      <c r="K97" s="37"/>
      <c r="L97" s="26">
        <v>18.263792572500002</v>
      </c>
      <c r="M97" s="26" t="s">
        <v>204</v>
      </c>
      <c r="N97" s="26">
        <v>470.74786858536584</v>
      </c>
      <c r="O97" s="95">
        <f t="shared" si="7"/>
        <v>8597.6414257896122</v>
      </c>
      <c r="P97" s="97">
        <f t="shared" si="8"/>
        <v>112.19794983765995</v>
      </c>
      <c r="Q97" s="197">
        <v>1.5453896390897039E-2</v>
      </c>
    </row>
    <row r="98" spans="1:17" x14ac:dyDescent="0.25">
      <c r="A98" s="254">
        <v>41351</v>
      </c>
      <c r="B98" s="254" t="s">
        <v>183</v>
      </c>
      <c r="C98" s="210">
        <v>10537834</v>
      </c>
      <c r="D98" s="115" t="s">
        <v>274</v>
      </c>
      <c r="E98" s="34">
        <f t="shared" si="5"/>
        <v>41351</v>
      </c>
      <c r="F98" s="108" t="str">
        <f t="shared" si="9"/>
        <v>2012-13</v>
      </c>
      <c r="H98" s="119"/>
      <c r="I98" s="26"/>
      <c r="J98" s="101">
        <f t="shared" si="6"/>
        <v>0.84443766578674484</v>
      </c>
      <c r="K98" s="37"/>
      <c r="L98" s="26">
        <v>19.778329178100002</v>
      </c>
      <c r="M98" s="26" t="s">
        <v>204</v>
      </c>
      <c r="N98" s="26">
        <v>470.74786858536584</v>
      </c>
      <c r="O98" s="95">
        <f t="shared" si="7"/>
        <v>9310.6063047703265</v>
      </c>
      <c r="P98" s="97">
        <f t="shared" si="8"/>
        <v>121.50203612904011</v>
      </c>
      <c r="Q98" s="197">
        <v>1.5453896390897039E-2</v>
      </c>
    </row>
    <row r="99" spans="1:17" x14ac:dyDescent="0.25">
      <c r="A99" s="254">
        <v>41351</v>
      </c>
      <c r="B99" s="254" t="s">
        <v>183</v>
      </c>
      <c r="C99" s="210">
        <v>10537809</v>
      </c>
      <c r="D99" s="115" t="s">
        <v>274</v>
      </c>
      <c r="E99" s="34">
        <f t="shared" si="5"/>
        <v>41351</v>
      </c>
      <c r="F99" s="108" t="str">
        <f t="shared" si="9"/>
        <v>2012-13</v>
      </c>
      <c r="H99" s="119"/>
      <c r="I99" s="26"/>
      <c r="J99" s="101">
        <f t="shared" si="6"/>
        <v>0.84443766578674484</v>
      </c>
      <c r="K99" s="37"/>
      <c r="L99" s="26">
        <v>3.9419553523599999</v>
      </c>
      <c r="M99" s="26" t="s">
        <v>204</v>
      </c>
      <c r="N99" s="26">
        <v>470.74786858536584</v>
      </c>
      <c r="O99" s="95">
        <f t="shared" si="7"/>
        <v>1855.6670801821447</v>
      </c>
      <c r="P99" s="97">
        <f t="shared" si="8"/>
        <v>24.216181120690521</v>
      </c>
      <c r="Q99" s="197">
        <v>1.5453896390897039E-2</v>
      </c>
    </row>
    <row r="100" spans="1:17" x14ac:dyDescent="0.25">
      <c r="A100" s="254">
        <v>41383</v>
      </c>
      <c r="B100" s="254" t="s">
        <v>183</v>
      </c>
      <c r="C100" s="210">
        <v>10579188</v>
      </c>
      <c r="D100" s="115" t="s">
        <v>275</v>
      </c>
      <c r="E100" s="34">
        <f t="shared" si="5"/>
        <v>41383</v>
      </c>
      <c r="F100" s="108" t="str">
        <f t="shared" si="9"/>
        <v>2012-13</v>
      </c>
      <c r="H100" s="119"/>
      <c r="I100" s="26"/>
      <c r="J100" s="101">
        <f t="shared" si="6"/>
        <v>0.84443766578674484</v>
      </c>
      <c r="K100" s="37"/>
      <c r="L100" s="26">
        <v>3.6894586397600002</v>
      </c>
      <c r="M100" s="26" t="s">
        <v>204</v>
      </c>
      <c r="N100" s="26">
        <v>514.18436487804865</v>
      </c>
      <c r="O100" s="95">
        <f t="shared" si="7"/>
        <v>1897.0619474288251</v>
      </c>
      <c r="P100" s="97">
        <f t="shared" si="8"/>
        <v>1601.9505627396536</v>
      </c>
      <c r="Q100" s="197">
        <v>1</v>
      </c>
    </row>
    <row r="101" spans="1:17" x14ac:dyDescent="0.25">
      <c r="A101" s="254">
        <v>41383</v>
      </c>
      <c r="B101" s="254" t="s">
        <v>183</v>
      </c>
      <c r="C101" s="210">
        <v>10579192</v>
      </c>
      <c r="D101" s="115" t="s">
        <v>275</v>
      </c>
      <c r="E101" s="34">
        <f t="shared" si="5"/>
        <v>41383</v>
      </c>
      <c r="F101" s="108" t="str">
        <f t="shared" si="9"/>
        <v>2012-13</v>
      </c>
      <c r="H101" s="119"/>
      <c r="I101" s="26"/>
      <c r="J101" s="101">
        <f t="shared" si="6"/>
        <v>0.84443766578674484</v>
      </c>
      <c r="K101" s="37"/>
      <c r="L101" s="26">
        <v>1.9964771486399999</v>
      </c>
      <c r="M101" s="26" t="s">
        <v>204</v>
      </c>
      <c r="N101" s="26">
        <v>696.6467060487804</v>
      </c>
      <c r="O101" s="95">
        <f t="shared" si="7"/>
        <v>1390.8392293017173</v>
      </c>
      <c r="P101" s="97">
        <f t="shared" si="8"/>
        <v>1174.4770322761774</v>
      </c>
      <c r="Q101" s="197">
        <v>1</v>
      </c>
    </row>
    <row r="102" spans="1:17" x14ac:dyDescent="0.25">
      <c r="A102" s="254">
        <v>38920</v>
      </c>
      <c r="B102" s="254" t="s">
        <v>183</v>
      </c>
      <c r="C102" s="210">
        <v>9134814</v>
      </c>
      <c r="D102" s="115" t="s">
        <v>276</v>
      </c>
      <c r="E102" s="34">
        <f t="shared" si="5"/>
        <v>38920</v>
      </c>
      <c r="F102" s="108" t="str">
        <f t="shared" si="9"/>
        <v>2006-07</v>
      </c>
      <c r="H102" s="119"/>
      <c r="I102" s="26"/>
      <c r="J102" s="101">
        <f t="shared" si="6"/>
        <v>0.84443766578674484</v>
      </c>
      <c r="K102" s="37"/>
      <c r="L102" s="26">
        <v>2.9989113628699999</v>
      </c>
      <c r="M102" s="26" t="s">
        <v>204</v>
      </c>
      <c r="N102" s="26">
        <v>621.96155034146341</v>
      </c>
      <c r="O102" s="95">
        <f t="shared" si="7"/>
        <v>1865.207560587256</v>
      </c>
      <c r="P102" s="97">
        <f t="shared" si="8"/>
        <v>1575.0515186700909</v>
      </c>
      <c r="Q102" s="197">
        <v>1</v>
      </c>
    </row>
    <row r="103" spans="1:17" x14ac:dyDescent="0.25">
      <c r="A103" s="254">
        <v>39716</v>
      </c>
      <c r="B103" s="254" t="s">
        <v>183</v>
      </c>
      <c r="C103" s="210">
        <v>9286995</v>
      </c>
      <c r="D103" s="115" t="s">
        <v>270</v>
      </c>
      <c r="E103" s="34">
        <f t="shared" si="5"/>
        <v>39716</v>
      </c>
      <c r="F103" s="108" t="str">
        <f t="shared" si="9"/>
        <v>2008-09</v>
      </c>
      <c r="H103" s="119"/>
      <c r="I103" s="26"/>
      <c r="J103" s="101">
        <f t="shared" si="6"/>
        <v>0.84443766578674484</v>
      </c>
      <c r="K103" s="37"/>
      <c r="L103" s="26">
        <v>77.218831408499994</v>
      </c>
      <c r="M103" s="26" t="s">
        <v>204</v>
      </c>
      <c r="N103" s="26">
        <v>798.44393414634135</v>
      </c>
      <c r="O103" s="95">
        <f t="shared" si="7"/>
        <v>61654.907539985805</v>
      </c>
      <c r="P103" s="97">
        <f t="shared" si="8"/>
        <v>20757.448604292833</v>
      </c>
      <c r="Q103" s="197">
        <v>0.39869310393994006</v>
      </c>
    </row>
    <row r="104" spans="1:17" x14ac:dyDescent="0.25">
      <c r="A104" s="254">
        <v>39716</v>
      </c>
      <c r="B104" s="254" t="s">
        <v>183</v>
      </c>
      <c r="C104" s="210">
        <v>9286735</v>
      </c>
      <c r="D104" s="115" t="s">
        <v>270</v>
      </c>
      <c r="E104" s="34">
        <f t="shared" si="5"/>
        <v>39716</v>
      </c>
      <c r="F104" s="108" t="str">
        <f t="shared" si="9"/>
        <v>2008-09</v>
      </c>
      <c r="H104" s="119"/>
      <c r="I104" s="26"/>
      <c r="J104" s="101">
        <f t="shared" si="6"/>
        <v>0.84443766578674484</v>
      </c>
      <c r="K104" s="37"/>
      <c r="L104" s="26">
        <v>87.262355514600003</v>
      </c>
      <c r="M104" s="26" t="s">
        <v>204</v>
      </c>
      <c r="N104" s="26">
        <v>514.18436487804865</v>
      </c>
      <c r="O104" s="95">
        <f t="shared" si="7"/>
        <v>44868.938848037091</v>
      </c>
      <c r="P104" s="97">
        <f t="shared" si="8"/>
        <v>15106.091781311306</v>
      </c>
      <c r="Q104" s="197">
        <v>0.39869310393994006</v>
      </c>
    </row>
    <row r="105" spans="1:17" x14ac:dyDescent="0.25">
      <c r="A105" s="254">
        <v>39716</v>
      </c>
      <c r="B105" s="254" t="s">
        <v>183</v>
      </c>
      <c r="C105" s="210">
        <v>9286996</v>
      </c>
      <c r="D105" s="115" t="s">
        <v>270</v>
      </c>
      <c r="E105" s="34">
        <f t="shared" si="5"/>
        <v>39716</v>
      </c>
      <c r="F105" s="108" t="str">
        <f t="shared" si="9"/>
        <v>2008-09</v>
      </c>
      <c r="H105" s="119"/>
      <c r="I105" s="26"/>
      <c r="J105" s="101">
        <f t="shared" si="6"/>
        <v>0.84443766578674484</v>
      </c>
      <c r="K105" s="37"/>
      <c r="L105" s="26">
        <v>50.580150876600001</v>
      </c>
      <c r="M105" s="26" t="s">
        <v>204</v>
      </c>
      <c r="N105" s="26">
        <v>470.74786858536584</v>
      </c>
      <c r="O105" s="95">
        <f t="shared" si="7"/>
        <v>23810.498217885674</v>
      </c>
      <c r="P105" s="97">
        <f t="shared" si="8"/>
        <v>8016.3155330308318</v>
      </c>
      <c r="Q105" s="197">
        <v>0.39869310393994006</v>
      </c>
    </row>
    <row r="106" spans="1:17" x14ac:dyDescent="0.25">
      <c r="A106" s="254">
        <v>39716</v>
      </c>
      <c r="B106" s="254" t="s">
        <v>183</v>
      </c>
      <c r="C106" s="210">
        <v>9286898</v>
      </c>
      <c r="D106" s="115" t="s">
        <v>270</v>
      </c>
      <c r="E106" s="34">
        <f t="shared" si="5"/>
        <v>39716</v>
      </c>
      <c r="F106" s="108" t="str">
        <f t="shared" si="9"/>
        <v>2008-09</v>
      </c>
      <c r="H106" s="119"/>
      <c r="I106" s="26"/>
      <c r="J106" s="101">
        <f t="shared" si="6"/>
        <v>0.84443766578674484</v>
      </c>
      <c r="K106" s="37"/>
      <c r="L106" s="26">
        <v>4.8388445995899998</v>
      </c>
      <c r="M106" s="26" t="s">
        <v>204</v>
      </c>
      <c r="N106" s="26">
        <v>470.74786858536584</v>
      </c>
      <c r="O106" s="95">
        <f t="shared" si="7"/>
        <v>2277.8757816728003</v>
      </c>
      <c r="P106" s="97">
        <f t="shared" si="8"/>
        <v>766.89579713296257</v>
      </c>
      <c r="Q106" s="197">
        <v>0.39869310393994006</v>
      </c>
    </row>
    <row r="107" spans="1:17" x14ac:dyDescent="0.25">
      <c r="A107" s="254">
        <v>39716</v>
      </c>
      <c r="B107" s="254" t="s">
        <v>183</v>
      </c>
      <c r="C107" s="210">
        <v>9286893</v>
      </c>
      <c r="D107" s="115" t="s">
        <v>270</v>
      </c>
      <c r="E107" s="34">
        <f t="shared" si="5"/>
        <v>39716</v>
      </c>
      <c r="F107" s="108" t="str">
        <f t="shared" si="9"/>
        <v>2008-09</v>
      </c>
      <c r="H107" s="119"/>
      <c r="I107" s="26"/>
      <c r="J107" s="101">
        <f t="shared" si="6"/>
        <v>0.84443766578674484</v>
      </c>
      <c r="K107" s="37"/>
      <c r="L107" s="26">
        <v>2.97472015567</v>
      </c>
      <c r="M107" s="26" t="s">
        <v>204</v>
      </c>
      <c r="N107" s="26">
        <v>470.74786858536584</v>
      </c>
      <c r="O107" s="95">
        <f t="shared" si="7"/>
        <v>1400.3431729195802</v>
      </c>
      <c r="P107" s="97">
        <f t="shared" si="8"/>
        <v>471.45560021153233</v>
      </c>
      <c r="Q107" s="197">
        <v>0.39869310393994006</v>
      </c>
    </row>
    <row r="108" spans="1:17" x14ac:dyDescent="0.25">
      <c r="A108" s="254">
        <v>39716</v>
      </c>
      <c r="B108" s="254" t="s">
        <v>183</v>
      </c>
      <c r="C108" s="210">
        <v>9474609</v>
      </c>
      <c r="D108" s="115" t="s">
        <v>270</v>
      </c>
      <c r="E108" s="34">
        <f t="shared" si="5"/>
        <v>39716</v>
      </c>
      <c r="F108" s="108" t="str">
        <f t="shared" si="9"/>
        <v>2008-09</v>
      </c>
      <c r="H108" s="119"/>
      <c r="I108" s="26"/>
      <c r="J108" s="101">
        <f t="shared" si="6"/>
        <v>0.84443766578674484</v>
      </c>
      <c r="K108" s="37"/>
      <c r="L108" s="26">
        <v>4.2977698269099998</v>
      </c>
      <c r="M108" s="26" t="s">
        <v>204</v>
      </c>
      <c r="N108" s="26">
        <v>470.74786858536584</v>
      </c>
      <c r="O108" s="95">
        <f t="shared" si="7"/>
        <v>2023.1659856883791</v>
      </c>
      <c r="P108" s="97">
        <f t="shared" si="8"/>
        <v>681.14227466230409</v>
      </c>
      <c r="Q108" s="197">
        <v>0.39869310393994006</v>
      </c>
    </row>
    <row r="109" spans="1:17" x14ac:dyDescent="0.25">
      <c r="A109" s="254">
        <v>39716</v>
      </c>
      <c r="B109" s="254" t="s">
        <v>183</v>
      </c>
      <c r="C109" s="210">
        <v>9286717</v>
      </c>
      <c r="D109" s="115" t="s">
        <v>270</v>
      </c>
      <c r="E109" s="34">
        <f t="shared" si="5"/>
        <v>39716</v>
      </c>
      <c r="F109" s="108" t="str">
        <f t="shared" si="9"/>
        <v>2008-09</v>
      </c>
      <c r="H109" s="119"/>
      <c r="I109" s="26"/>
      <c r="J109" s="101">
        <f t="shared" si="6"/>
        <v>0.84443766578674484</v>
      </c>
      <c r="K109" s="37"/>
      <c r="L109" s="26">
        <v>2.49876009253</v>
      </c>
      <c r="M109" s="26" t="s">
        <v>204</v>
      </c>
      <c r="N109" s="26">
        <v>470.74786858536584</v>
      </c>
      <c r="O109" s="95">
        <f t="shared" si="7"/>
        <v>1176.2859876646689</v>
      </c>
      <c r="P109" s="97">
        <f t="shared" si="8"/>
        <v>396.0219373788525</v>
      </c>
      <c r="Q109" s="197">
        <v>0.39869310393994006</v>
      </c>
    </row>
    <row r="110" spans="1:17" x14ac:dyDescent="0.25">
      <c r="A110" s="254">
        <v>39716</v>
      </c>
      <c r="B110" s="254" t="s">
        <v>183</v>
      </c>
      <c r="C110" s="210">
        <v>9286704</v>
      </c>
      <c r="D110" s="115" t="s">
        <v>270</v>
      </c>
      <c r="E110" s="34">
        <f t="shared" si="5"/>
        <v>39716</v>
      </c>
      <c r="F110" s="108" t="str">
        <f t="shared" si="9"/>
        <v>2008-09</v>
      </c>
      <c r="H110" s="119"/>
      <c r="I110" s="26"/>
      <c r="J110" s="101">
        <f t="shared" si="6"/>
        <v>0.84443766578674484</v>
      </c>
      <c r="K110" s="37"/>
      <c r="L110" s="26">
        <v>4.9979540865200001</v>
      </c>
      <c r="M110" s="26" t="s">
        <v>204</v>
      </c>
      <c r="N110" s="26">
        <v>749.70391609756098</v>
      </c>
      <c r="O110" s="95">
        <f t="shared" si="7"/>
        <v>3746.9857511398523</v>
      </c>
      <c r="P110" s="97">
        <f t="shared" si="8"/>
        <v>1261.5032161042627</v>
      </c>
      <c r="Q110" s="197">
        <v>0.39869310393994006</v>
      </c>
    </row>
    <row r="111" spans="1:17" x14ac:dyDescent="0.25">
      <c r="A111" s="254">
        <v>39716</v>
      </c>
      <c r="B111" s="254" t="s">
        <v>183</v>
      </c>
      <c r="C111" s="210">
        <v>9286707</v>
      </c>
      <c r="D111" s="115" t="s">
        <v>270</v>
      </c>
      <c r="E111" s="34">
        <f t="shared" si="5"/>
        <v>39716</v>
      </c>
      <c r="F111" s="108" t="str">
        <f t="shared" si="9"/>
        <v>2008-09</v>
      </c>
      <c r="H111" s="119"/>
      <c r="I111" s="26"/>
      <c r="J111" s="101">
        <f t="shared" si="6"/>
        <v>0.84443766578674484</v>
      </c>
      <c r="K111" s="37"/>
      <c r="L111" s="26">
        <v>3.49814041087</v>
      </c>
      <c r="M111" s="26" t="s">
        <v>204</v>
      </c>
      <c r="N111" s="26">
        <v>470.74786858536584</v>
      </c>
      <c r="O111" s="95">
        <f t="shared" si="7"/>
        <v>1646.7421424293884</v>
      </c>
      <c r="P111" s="97">
        <f t="shared" si="8"/>
        <v>554.41110448235645</v>
      </c>
      <c r="Q111" s="197">
        <v>0.39869310393994006</v>
      </c>
    </row>
    <row r="112" spans="1:17" x14ac:dyDescent="0.25">
      <c r="A112" s="254">
        <v>39716</v>
      </c>
      <c r="B112" s="254" t="s">
        <v>183</v>
      </c>
      <c r="C112" s="210">
        <v>9286740</v>
      </c>
      <c r="D112" s="115" t="s">
        <v>270</v>
      </c>
      <c r="E112" s="34">
        <f t="shared" si="5"/>
        <v>39716</v>
      </c>
      <c r="F112" s="108" t="str">
        <f t="shared" si="9"/>
        <v>2008-09</v>
      </c>
      <c r="H112" s="119"/>
      <c r="I112" s="26"/>
      <c r="J112" s="101">
        <f t="shared" si="6"/>
        <v>0.84443766578674484</v>
      </c>
      <c r="K112" s="37"/>
      <c r="L112" s="26">
        <v>2.4988069153099999</v>
      </c>
      <c r="M112" s="26" t="s">
        <v>204</v>
      </c>
      <c r="N112" s="26">
        <v>514.18436487804865</v>
      </c>
      <c r="O112" s="95">
        <f t="shared" si="7"/>
        <v>1284.8474467015483</v>
      </c>
      <c r="P112" s="97">
        <f t="shared" si="8"/>
        <v>432.57148381850288</v>
      </c>
      <c r="Q112" s="197">
        <v>0.39869310393994006</v>
      </c>
    </row>
    <row r="113" spans="1:17" x14ac:dyDescent="0.25">
      <c r="A113" s="254">
        <v>39716</v>
      </c>
      <c r="B113" s="254" t="s">
        <v>183</v>
      </c>
      <c r="C113" s="210">
        <v>9286687</v>
      </c>
      <c r="D113" s="115" t="s">
        <v>270</v>
      </c>
      <c r="E113" s="34">
        <f t="shared" si="5"/>
        <v>39716</v>
      </c>
      <c r="F113" s="108" t="str">
        <f t="shared" si="9"/>
        <v>2008-09</v>
      </c>
      <c r="H113" s="119"/>
      <c r="I113" s="26"/>
      <c r="J113" s="101">
        <f t="shared" si="6"/>
        <v>0.84443766578674484</v>
      </c>
      <c r="K113" s="37"/>
      <c r="L113" s="26">
        <v>3.9980782207700001</v>
      </c>
      <c r="M113" s="26" t="s">
        <v>204</v>
      </c>
      <c r="N113" s="26">
        <v>470.74786858536584</v>
      </c>
      <c r="O113" s="95">
        <f t="shared" si="7"/>
        <v>1882.0868008650493</v>
      </c>
      <c r="P113" s="97">
        <f t="shared" si="8"/>
        <v>633.64493754917044</v>
      </c>
      <c r="Q113" s="197">
        <v>0.39869310393994006</v>
      </c>
    </row>
    <row r="114" spans="1:17" x14ac:dyDescent="0.25">
      <c r="A114" s="254">
        <v>39716</v>
      </c>
      <c r="B114" s="254" t="s">
        <v>183</v>
      </c>
      <c r="C114" s="210">
        <v>9286876</v>
      </c>
      <c r="D114" s="115" t="s">
        <v>270</v>
      </c>
      <c r="E114" s="34">
        <f t="shared" si="5"/>
        <v>39716</v>
      </c>
      <c r="F114" s="108" t="str">
        <f t="shared" si="9"/>
        <v>2008-09</v>
      </c>
      <c r="H114" s="119"/>
      <c r="I114" s="26"/>
      <c r="J114" s="101">
        <f t="shared" si="6"/>
        <v>0.84443766578674484</v>
      </c>
      <c r="K114" s="37"/>
      <c r="L114" s="26">
        <v>6.4194157781100003</v>
      </c>
      <c r="M114" s="26" t="s">
        <v>204</v>
      </c>
      <c r="N114" s="26">
        <v>696.6467060487804</v>
      </c>
      <c r="O114" s="95">
        <f t="shared" si="7"/>
        <v>4472.0648565779002</v>
      </c>
      <c r="P114" s="97">
        <f t="shared" si="8"/>
        <v>1505.6166673395246</v>
      </c>
      <c r="Q114" s="197">
        <v>0.39869310393994006</v>
      </c>
    </row>
    <row r="115" spans="1:17" x14ac:dyDescent="0.25">
      <c r="A115" s="254">
        <v>39716</v>
      </c>
      <c r="B115" s="254" t="s">
        <v>183</v>
      </c>
      <c r="C115" s="210">
        <v>9474474</v>
      </c>
      <c r="D115" s="115" t="s">
        <v>270</v>
      </c>
      <c r="E115" s="34">
        <f t="shared" si="5"/>
        <v>39716</v>
      </c>
      <c r="F115" s="108" t="str">
        <f t="shared" si="9"/>
        <v>2008-09</v>
      </c>
      <c r="H115" s="119"/>
      <c r="I115" s="26"/>
      <c r="J115" s="101">
        <f t="shared" si="6"/>
        <v>0.84443766578674484</v>
      </c>
      <c r="K115" s="37"/>
      <c r="L115" s="26">
        <v>1.9808205370500001</v>
      </c>
      <c r="M115" s="26" t="s">
        <v>204</v>
      </c>
      <c r="N115" s="26">
        <v>696.6467060487804</v>
      </c>
      <c r="O115" s="95">
        <f t="shared" si="7"/>
        <v>1379.9321024096587</v>
      </c>
      <c r="P115" s="97">
        <f t="shared" si="8"/>
        <v>464.58377501588967</v>
      </c>
      <c r="Q115" s="197">
        <v>0.39869310393994006</v>
      </c>
    </row>
    <row r="116" spans="1:17" x14ac:dyDescent="0.25">
      <c r="A116" s="254">
        <v>39716</v>
      </c>
      <c r="B116" s="254" t="s">
        <v>183</v>
      </c>
      <c r="C116" s="210">
        <v>9286902</v>
      </c>
      <c r="D116" s="115" t="s">
        <v>270</v>
      </c>
      <c r="E116" s="34">
        <f t="shared" si="5"/>
        <v>39716</v>
      </c>
      <c r="F116" s="108" t="str">
        <f t="shared" si="9"/>
        <v>2008-09</v>
      </c>
      <c r="H116" s="119"/>
      <c r="I116" s="26"/>
      <c r="J116" s="101">
        <f t="shared" si="6"/>
        <v>0.84443766578674484</v>
      </c>
      <c r="K116" s="37"/>
      <c r="L116" s="26">
        <v>18.991320780799999</v>
      </c>
      <c r="M116" s="26" t="s">
        <v>204</v>
      </c>
      <c r="N116" s="26">
        <v>470.74786858536584</v>
      </c>
      <c r="O116" s="95">
        <f t="shared" si="7"/>
        <v>8940.1237791825661</v>
      </c>
      <c r="P116" s="97">
        <f t="shared" si="8"/>
        <v>3009.8846509833083</v>
      </c>
      <c r="Q116" s="197">
        <v>0.39869310393994006</v>
      </c>
    </row>
    <row r="117" spans="1:17" x14ac:dyDescent="0.25">
      <c r="A117" s="254">
        <v>39716</v>
      </c>
      <c r="B117" s="254" t="s">
        <v>183</v>
      </c>
      <c r="C117" s="210">
        <v>9286725</v>
      </c>
      <c r="D117" s="115" t="s">
        <v>270</v>
      </c>
      <c r="E117" s="34">
        <f t="shared" si="5"/>
        <v>39716</v>
      </c>
      <c r="F117" s="108" t="str">
        <f t="shared" si="9"/>
        <v>2008-09</v>
      </c>
      <c r="H117" s="119"/>
      <c r="I117" s="26"/>
      <c r="J117" s="101">
        <f t="shared" si="6"/>
        <v>0.84443766578674484</v>
      </c>
      <c r="K117" s="37"/>
      <c r="L117" s="26">
        <v>3.6812988335000001</v>
      </c>
      <c r="M117" s="26" t="s">
        <v>204</v>
      </c>
      <c r="N117" s="26">
        <v>470.74786858536584</v>
      </c>
      <c r="O117" s="95">
        <f t="shared" si="7"/>
        <v>1732.9635794959186</v>
      </c>
      <c r="P117" s="97">
        <f t="shared" si="8"/>
        <v>583.43940279479898</v>
      </c>
      <c r="Q117" s="197">
        <v>0.39869310393994006</v>
      </c>
    </row>
    <row r="118" spans="1:17" x14ac:dyDescent="0.25">
      <c r="A118" s="254">
        <v>39094</v>
      </c>
      <c r="B118" s="254" t="s">
        <v>183</v>
      </c>
      <c r="C118" s="210">
        <v>9231365</v>
      </c>
      <c r="D118" s="115" t="s">
        <v>277</v>
      </c>
      <c r="E118" s="34">
        <f t="shared" si="5"/>
        <v>39094</v>
      </c>
      <c r="F118" s="108" t="str">
        <f t="shared" si="9"/>
        <v>2006-07</v>
      </c>
      <c r="H118" s="119"/>
      <c r="I118" s="26"/>
      <c r="J118" s="101">
        <f t="shared" si="6"/>
        <v>0.84443766578674484</v>
      </c>
      <c r="K118" s="37"/>
      <c r="L118" s="26">
        <v>74.375896267900004</v>
      </c>
      <c r="M118" s="26" t="s">
        <v>204</v>
      </c>
      <c r="N118" s="26">
        <v>470.74786858536584</v>
      </c>
      <c r="O118" s="95">
        <f t="shared" si="7"/>
        <v>35012.294642240195</v>
      </c>
      <c r="P118" s="97">
        <f t="shared" si="8"/>
        <v>22686.855086940825</v>
      </c>
      <c r="Q118" s="197">
        <v>0.76733697526270883</v>
      </c>
    </row>
    <row r="119" spans="1:17" x14ac:dyDescent="0.25">
      <c r="A119" s="254">
        <v>39094</v>
      </c>
      <c r="B119" s="254" t="s">
        <v>183</v>
      </c>
      <c r="C119" s="210">
        <v>9231369</v>
      </c>
      <c r="D119" s="115" t="s">
        <v>277</v>
      </c>
      <c r="E119" s="34">
        <f t="shared" si="5"/>
        <v>39094</v>
      </c>
      <c r="F119" s="108" t="str">
        <f t="shared" si="9"/>
        <v>2006-07</v>
      </c>
      <c r="H119" s="119"/>
      <c r="I119" s="26"/>
      <c r="J119" s="101">
        <f t="shared" si="6"/>
        <v>0.84443766578674484</v>
      </c>
      <c r="K119" s="37"/>
      <c r="L119" s="26">
        <v>12.652246099599999</v>
      </c>
      <c r="M119" s="26" t="s">
        <v>204</v>
      </c>
      <c r="N119" s="26">
        <v>470.74786858536584</v>
      </c>
      <c r="O119" s="95">
        <f t="shared" si="7"/>
        <v>5956.0178842042078</v>
      </c>
      <c r="P119" s="97">
        <f t="shared" si="8"/>
        <v>3859.3104512250598</v>
      </c>
      <c r="Q119" s="197">
        <v>0.76733697526270883</v>
      </c>
    </row>
    <row r="120" spans="1:17" x14ac:dyDescent="0.25">
      <c r="A120" s="254">
        <v>39021</v>
      </c>
      <c r="B120" s="254" t="s">
        <v>183</v>
      </c>
      <c r="C120" s="210">
        <v>9207246</v>
      </c>
      <c r="D120" s="115" t="s">
        <v>278</v>
      </c>
      <c r="E120" s="34">
        <f t="shared" si="5"/>
        <v>39021</v>
      </c>
      <c r="F120" s="108" t="str">
        <f t="shared" si="9"/>
        <v>2006-07</v>
      </c>
      <c r="H120" s="119"/>
      <c r="I120" s="26"/>
      <c r="J120" s="101">
        <f t="shared" si="6"/>
        <v>0.84443766578674484</v>
      </c>
      <c r="K120" s="37"/>
      <c r="L120" s="26">
        <v>88.092207536199993</v>
      </c>
      <c r="M120" s="26" t="s">
        <v>204</v>
      </c>
      <c r="N120" s="26">
        <v>621.96155034146341</v>
      </c>
      <c r="O120" s="95">
        <f t="shared" si="7"/>
        <v>54789.965972216894</v>
      </c>
      <c r="P120" s="97">
        <f t="shared" si="8"/>
        <v>31314.186784510333</v>
      </c>
      <c r="Q120" s="197">
        <v>0.67681895093062605</v>
      </c>
    </row>
    <row r="121" spans="1:17" x14ac:dyDescent="0.25">
      <c r="A121" s="254">
        <v>39021</v>
      </c>
      <c r="B121" s="254" t="s">
        <v>183</v>
      </c>
      <c r="C121" s="210">
        <v>9207237</v>
      </c>
      <c r="D121" s="115" t="s">
        <v>278</v>
      </c>
      <c r="E121" s="34">
        <f t="shared" si="5"/>
        <v>39021</v>
      </c>
      <c r="F121" s="108" t="str">
        <f t="shared" si="9"/>
        <v>2006-07</v>
      </c>
      <c r="H121" s="119"/>
      <c r="I121" s="26"/>
      <c r="J121" s="101">
        <f t="shared" si="6"/>
        <v>0.84443766578674484</v>
      </c>
      <c r="K121" s="37"/>
      <c r="L121" s="26">
        <v>7.3229194481000004</v>
      </c>
      <c r="M121" s="26" t="s">
        <v>204</v>
      </c>
      <c r="N121" s="26">
        <v>470.74786858536584</v>
      </c>
      <c r="O121" s="95">
        <f t="shared" si="7"/>
        <v>3447.2487220153989</v>
      </c>
      <c r="P121" s="97">
        <f t="shared" si="8"/>
        <v>1970.2109402402862</v>
      </c>
      <c r="Q121" s="197">
        <v>0.67681895093062605</v>
      </c>
    </row>
    <row r="122" spans="1:17" x14ac:dyDescent="0.25">
      <c r="A122" s="254">
        <v>39021</v>
      </c>
      <c r="B122" s="254" t="s">
        <v>183</v>
      </c>
      <c r="C122" s="210">
        <v>9207233</v>
      </c>
      <c r="D122" s="115" t="s">
        <v>278</v>
      </c>
      <c r="E122" s="34">
        <f t="shared" si="5"/>
        <v>39021</v>
      </c>
      <c r="F122" s="108" t="str">
        <f t="shared" si="9"/>
        <v>2006-07</v>
      </c>
      <c r="H122" s="119"/>
      <c r="I122" s="26"/>
      <c r="J122" s="101">
        <f t="shared" si="6"/>
        <v>0.84443766578674484</v>
      </c>
      <c r="K122" s="37"/>
      <c r="L122" s="26">
        <v>6.22500786179</v>
      </c>
      <c r="M122" s="26" t="s">
        <v>204</v>
      </c>
      <c r="N122" s="26">
        <v>621.96155034146341</v>
      </c>
      <c r="O122" s="95">
        <f t="shared" si="7"/>
        <v>3871.7155406067068</v>
      </c>
      <c r="P122" s="97">
        <f t="shared" si="8"/>
        <v>2212.8070617260187</v>
      </c>
      <c r="Q122" s="197">
        <v>0.67681895093062605</v>
      </c>
    </row>
    <row r="123" spans="1:17" x14ac:dyDescent="0.25">
      <c r="A123" s="254">
        <v>39021</v>
      </c>
      <c r="B123" s="254" t="s">
        <v>183</v>
      </c>
      <c r="C123" s="210">
        <v>9207232</v>
      </c>
      <c r="D123" s="115" t="s">
        <v>278</v>
      </c>
      <c r="E123" s="34">
        <f t="shared" si="5"/>
        <v>39021</v>
      </c>
      <c r="F123" s="108" t="str">
        <f t="shared" si="9"/>
        <v>2006-07</v>
      </c>
      <c r="H123" s="119"/>
      <c r="I123" s="26"/>
      <c r="J123" s="101">
        <f t="shared" si="6"/>
        <v>0.84443766578674484</v>
      </c>
      <c r="K123" s="37"/>
      <c r="L123" s="26">
        <v>4.8759834468100003</v>
      </c>
      <c r="M123" s="26" t="s">
        <v>204</v>
      </c>
      <c r="N123" s="26">
        <v>470.74786858536584</v>
      </c>
      <c r="O123" s="95">
        <f t="shared" si="7"/>
        <v>2295.3588148433332</v>
      </c>
      <c r="P123" s="97">
        <f t="shared" si="8"/>
        <v>1311.8696715731528</v>
      </c>
      <c r="Q123" s="197">
        <v>0.67681895093062605</v>
      </c>
    </row>
    <row r="124" spans="1:17" x14ac:dyDescent="0.25">
      <c r="A124" s="254">
        <v>41240</v>
      </c>
      <c r="B124" s="254" t="s">
        <v>183</v>
      </c>
      <c r="C124" s="210">
        <v>11382455</v>
      </c>
      <c r="D124" s="115" t="s">
        <v>279</v>
      </c>
      <c r="E124" s="34">
        <f t="shared" si="5"/>
        <v>41240</v>
      </c>
      <c r="F124" s="108" t="str">
        <f t="shared" si="9"/>
        <v>2012-13</v>
      </c>
      <c r="H124" s="119"/>
      <c r="I124" s="26"/>
      <c r="J124" s="101">
        <f t="shared" si="6"/>
        <v>0.84443766578674484</v>
      </c>
      <c r="K124" s="37"/>
      <c r="L124" s="26">
        <v>72.960042407200007</v>
      </c>
      <c r="M124" s="26" t="s">
        <v>204</v>
      </c>
      <c r="N124" s="26">
        <v>621.96155034146341</v>
      </c>
      <c r="O124" s="95">
        <f t="shared" si="7"/>
        <v>45378.341088561036</v>
      </c>
      <c r="P124" s="97">
        <f t="shared" si="8"/>
        <v>36360.712776447654</v>
      </c>
      <c r="Q124" s="197">
        <v>0.94889066968881086</v>
      </c>
    </row>
    <row r="125" spans="1:17" x14ac:dyDescent="0.25">
      <c r="A125" s="254">
        <v>41240</v>
      </c>
      <c r="B125" s="254" t="s">
        <v>183</v>
      </c>
      <c r="C125" s="210">
        <v>11382440</v>
      </c>
      <c r="D125" s="115" t="s">
        <v>279</v>
      </c>
      <c r="E125" s="34">
        <f t="shared" si="5"/>
        <v>41240</v>
      </c>
      <c r="F125" s="108" t="str">
        <f t="shared" si="9"/>
        <v>2012-13</v>
      </c>
      <c r="H125" s="119"/>
      <c r="I125" s="26"/>
      <c r="J125" s="101">
        <f t="shared" si="6"/>
        <v>0.84443766578674484</v>
      </c>
      <c r="K125" s="37"/>
      <c r="L125" s="26">
        <v>5.1793120563499997</v>
      </c>
      <c r="M125" s="26" t="s">
        <v>204</v>
      </c>
      <c r="N125" s="26">
        <v>916.52160117073151</v>
      </c>
      <c r="O125" s="95">
        <f t="shared" si="7"/>
        <v>4746.9513788487757</v>
      </c>
      <c r="P125" s="97">
        <f t="shared" si="8"/>
        <v>3803.6325592693852</v>
      </c>
      <c r="Q125" s="197">
        <v>0.94889066968881086</v>
      </c>
    </row>
    <row r="126" spans="1:17" x14ac:dyDescent="0.25">
      <c r="A126" s="254">
        <v>41240</v>
      </c>
      <c r="B126" s="254" t="s">
        <v>183</v>
      </c>
      <c r="C126" s="210">
        <v>11382420</v>
      </c>
      <c r="D126" s="115" t="s">
        <v>279</v>
      </c>
      <c r="E126" s="34">
        <f t="shared" si="5"/>
        <v>41240</v>
      </c>
      <c r="F126" s="108" t="str">
        <f t="shared" si="9"/>
        <v>2012-13</v>
      </c>
      <c r="H126" s="119"/>
      <c r="I126" s="26"/>
      <c r="J126" s="101">
        <f t="shared" si="6"/>
        <v>0.84443766578674484</v>
      </c>
      <c r="K126" s="37"/>
      <c r="L126" s="26">
        <v>1.0028923172499999</v>
      </c>
      <c r="M126" s="26" t="s">
        <v>204</v>
      </c>
      <c r="N126" s="26">
        <v>621.96155034146341</v>
      </c>
      <c r="O126" s="95">
        <f t="shared" si="7"/>
        <v>623.76046046235274</v>
      </c>
      <c r="P126" s="97">
        <f t="shared" si="8"/>
        <v>499.80617184557252</v>
      </c>
      <c r="Q126" s="197">
        <v>0.94889066968881086</v>
      </c>
    </row>
    <row r="127" spans="1:17" x14ac:dyDescent="0.25">
      <c r="A127" s="254">
        <v>41240</v>
      </c>
      <c r="B127" s="254" t="s">
        <v>183</v>
      </c>
      <c r="C127" s="210">
        <v>11382431</v>
      </c>
      <c r="D127" s="115" t="s">
        <v>279</v>
      </c>
      <c r="E127" s="34">
        <f t="shared" si="5"/>
        <v>41240</v>
      </c>
      <c r="F127" s="108" t="str">
        <f t="shared" si="9"/>
        <v>2012-13</v>
      </c>
      <c r="H127" s="119"/>
      <c r="I127" s="26"/>
      <c r="J127" s="101">
        <f t="shared" si="6"/>
        <v>0.84443766578674484</v>
      </c>
      <c r="K127" s="37"/>
      <c r="L127" s="26">
        <v>2.5089092182599999</v>
      </c>
      <c r="M127" s="26" t="s">
        <v>204</v>
      </c>
      <c r="N127" s="26">
        <v>771.6404230243902</v>
      </c>
      <c r="O127" s="95">
        <f t="shared" si="7"/>
        <v>1935.9757705079385</v>
      </c>
      <c r="P127" s="97">
        <f t="shared" si="8"/>
        <v>1551.256772393248</v>
      </c>
      <c r="Q127" s="197">
        <v>0.94889066968881086</v>
      </c>
    </row>
    <row r="128" spans="1:17" x14ac:dyDescent="0.25">
      <c r="A128" s="254">
        <v>41240</v>
      </c>
      <c r="B128" s="254" t="s">
        <v>183</v>
      </c>
      <c r="C128" s="210">
        <v>11382419</v>
      </c>
      <c r="D128" s="115" t="s">
        <v>279</v>
      </c>
      <c r="E128" s="34">
        <f t="shared" si="5"/>
        <v>41240</v>
      </c>
      <c r="F128" s="108" t="str">
        <f t="shared" si="9"/>
        <v>2012-13</v>
      </c>
      <c r="H128" s="119"/>
      <c r="I128" s="26"/>
      <c r="J128" s="101">
        <f t="shared" si="6"/>
        <v>0.84443766578674484</v>
      </c>
      <c r="K128" s="37"/>
      <c r="L128" s="26">
        <v>2.2986952821100002</v>
      </c>
      <c r="M128" s="26" t="s">
        <v>204</v>
      </c>
      <c r="N128" s="26">
        <v>916.52160117073151</v>
      </c>
      <c r="O128" s="95">
        <f t="shared" si="7"/>
        <v>2106.8038805630636</v>
      </c>
      <c r="P128" s="97">
        <f t="shared" si="8"/>
        <v>1688.1377533822945</v>
      </c>
      <c r="Q128" s="197">
        <v>0.94889066968881086</v>
      </c>
    </row>
    <row r="129" spans="1:17" x14ac:dyDescent="0.25">
      <c r="A129" s="254">
        <v>41240</v>
      </c>
      <c r="B129" s="254" t="s">
        <v>183</v>
      </c>
      <c r="C129" s="210">
        <v>11382453</v>
      </c>
      <c r="D129" s="115" t="s">
        <v>279</v>
      </c>
      <c r="E129" s="34">
        <f t="shared" si="5"/>
        <v>41240</v>
      </c>
      <c r="F129" s="108" t="str">
        <f t="shared" si="9"/>
        <v>2012-13</v>
      </c>
      <c r="H129" s="119"/>
      <c r="I129" s="26"/>
      <c r="J129" s="101">
        <f t="shared" si="6"/>
        <v>0.84443766578674484</v>
      </c>
      <c r="K129" s="37"/>
      <c r="L129" s="26">
        <v>1.11157995664</v>
      </c>
      <c r="M129" s="26" t="s">
        <v>204</v>
      </c>
      <c r="N129" s="26">
        <v>621.96155034146341</v>
      </c>
      <c r="O129" s="95">
        <f t="shared" si="7"/>
        <v>691.35999316031109</v>
      </c>
      <c r="P129" s="97">
        <f t="shared" si="8"/>
        <v>553.97225930689115</v>
      </c>
      <c r="Q129" s="197">
        <v>0.94889066968881086</v>
      </c>
    </row>
    <row r="130" spans="1:17" x14ac:dyDescent="0.25">
      <c r="A130" s="254">
        <v>41240</v>
      </c>
      <c r="B130" s="254" t="s">
        <v>183</v>
      </c>
      <c r="C130" s="210">
        <v>11382329</v>
      </c>
      <c r="D130" s="115" t="s">
        <v>279</v>
      </c>
      <c r="E130" s="34">
        <f t="shared" si="5"/>
        <v>41240</v>
      </c>
      <c r="F130" s="108" t="str">
        <f t="shared" si="9"/>
        <v>2012-13</v>
      </c>
      <c r="H130" s="119"/>
      <c r="I130" s="26"/>
      <c r="J130" s="101">
        <f t="shared" si="6"/>
        <v>0.84443766578674484</v>
      </c>
      <c r="K130" s="37"/>
      <c r="L130" s="26">
        <v>68.843365347800002</v>
      </c>
      <c r="M130" s="26" t="s">
        <v>204</v>
      </c>
      <c r="N130" s="26">
        <v>621.96155034146341</v>
      </c>
      <c r="O130" s="95">
        <f t="shared" si="7"/>
        <v>42817.92624244147</v>
      </c>
      <c r="P130" s="97">
        <f t="shared" si="8"/>
        <v>34309.106072125571</v>
      </c>
      <c r="Q130" s="197">
        <v>0.94889066968881086</v>
      </c>
    </row>
    <row r="131" spans="1:17" x14ac:dyDescent="0.25">
      <c r="A131" s="254">
        <v>41240</v>
      </c>
      <c r="B131" s="254" t="s">
        <v>183</v>
      </c>
      <c r="C131" s="210">
        <v>11382438</v>
      </c>
      <c r="D131" s="115" t="s">
        <v>279</v>
      </c>
      <c r="E131" s="34">
        <f t="shared" si="5"/>
        <v>41240</v>
      </c>
      <c r="F131" s="108" t="str">
        <f t="shared" si="9"/>
        <v>2012-13</v>
      </c>
      <c r="H131" s="119"/>
      <c r="I131" s="26"/>
      <c r="J131" s="101">
        <f t="shared" si="6"/>
        <v>0.84443766578674484</v>
      </c>
      <c r="K131" s="37"/>
      <c r="L131" s="26">
        <v>2.9462236973999998</v>
      </c>
      <c r="M131" s="26" t="s">
        <v>204</v>
      </c>
      <c r="N131" s="26">
        <v>470.74786858536584</v>
      </c>
      <c r="O131" s="95">
        <f t="shared" si="7"/>
        <v>1386.9285259267458</v>
      </c>
      <c r="P131" s="97">
        <f t="shared" si="8"/>
        <v>1111.3167331142622</v>
      </c>
      <c r="Q131" s="197">
        <v>0.94889066968881086</v>
      </c>
    </row>
    <row r="132" spans="1:17" x14ac:dyDescent="0.25">
      <c r="A132" s="254">
        <v>39728</v>
      </c>
      <c r="B132" s="254" t="s">
        <v>183</v>
      </c>
      <c r="C132" s="210">
        <v>9372784</v>
      </c>
      <c r="D132" s="115" t="s">
        <v>280</v>
      </c>
      <c r="E132" s="34">
        <f t="shared" si="5"/>
        <v>39728</v>
      </c>
      <c r="F132" s="108" t="str">
        <f t="shared" si="9"/>
        <v>2008-09</v>
      </c>
      <c r="H132" s="119"/>
      <c r="I132" s="26"/>
      <c r="J132" s="101">
        <f t="shared" si="6"/>
        <v>0.84443766578674484</v>
      </c>
      <c r="K132" s="37"/>
      <c r="L132" s="26">
        <v>91.809968525299993</v>
      </c>
      <c r="M132" s="26" t="s">
        <v>204</v>
      </c>
      <c r="N132" s="26">
        <v>916.52160117073151</v>
      </c>
      <c r="O132" s="95">
        <f t="shared" si="7"/>
        <v>84145.819356242413</v>
      </c>
      <c r="P132" s="97">
        <f t="shared" si="8"/>
        <v>70607.427744359462</v>
      </c>
      <c r="Q132" s="197">
        <v>0.9936884686132329</v>
      </c>
    </row>
    <row r="133" spans="1:17" x14ac:dyDescent="0.25">
      <c r="A133" s="254">
        <v>39728</v>
      </c>
      <c r="B133" s="254" t="s">
        <v>183</v>
      </c>
      <c r="C133" s="210">
        <v>9372791</v>
      </c>
      <c r="D133" s="115" t="s">
        <v>280</v>
      </c>
      <c r="E133" s="34">
        <f t="shared" si="5"/>
        <v>39728</v>
      </c>
      <c r="F133" s="108" t="str">
        <f t="shared" si="9"/>
        <v>2008-09</v>
      </c>
      <c r="H133" s="119"/>
      <c r="I133" s="26"/>
      <c r="J133" s="101">
        <f t="shared" si="6"/>
        <v>0.84443766578674484</v>
      </c>
      <c r="K133" s="37"/>
      <c r="L133" s="26">
        <v>1.9991842360500001</v>
      </c>
      <c r="M133" s="26" t="s">
        <v>204</v>
      </c>
      <c r="N133" s="26">
        <v>916.52160117073151</v>
      </c>
      <c r="O133" s="95">
        <f t="shared" si="7"/>
        <v>1832.2955370598318</v>
      </c>
      <c r="P133" s="97">
        <f t="shared" si="8"/>
        <v>1537.4937902921106</v>
      </c>
      <c r="Q133" s="197">
        <v>0.9936884686132329</v>
      </c>
    </row>
    <row r="134" spans="1:17" x14ac:dyDescent="0.25">
      <c r="A134" s="254">
        <v>39728</v>
      </c>
      <c r="B134" s="254" t="s">
        <v>183</v>
      </c>
      <c r="C134" s="210">
        <v>9302400</v>
      </c>
      <c r="D134" s="115" t="s">
        <v>280</v>
      </c>
      <c r="E134" s="34">
        <f t="shared" si="5"/>
        <v>39728</v>
      </c>
      <c r="F134" s="108" t="str">
        <f t="shared" si="9"/>
        <v>2008-09</v>
      </c>
      <c r="H134" s="119"/>
      <c r="I134" s="26"/>
      <c r="J134" s="101">
        <f t="shared" si="6"/>
        <v>0.84443766578674484</v>
      </c>
      <c r="K134" s="37"/>
      <c r="L134" s="26">
        <v>0.61949092002999995</v>
      </c>
      <c r="M134" s="26" t="s">
        <v>204</v>
      </c>
      <c r="N134" s="26">
        <v>621.96155034146341</v>
      </c>
      <c r="O134" s="95">
        <f t="shared" si="7"/>
        <v>385.29953304431831</v>
      </c>
      <c r="P134" s="97">
        <f t="shared" si="8"/>
        <v>323.30790938271281</v>
      </c>
      <c r="Q134" s="197">
        <v>0.9936884686132329</v>
      </c>
    </row>
    <row r="135" spans="1:17" x14ac:dyDescent="0.25">
      <c r="A135" s="254">
        <v>39728</v>
      </c>
      <c r="B135" s="254" t="s">
        <v>183</v>
      </c>
      <c r="C135" s="210">
        <v>9302393</v>
      </c>
      <c r="D135" s="115" t="s">
        <v>280</v>
      </c>
      <c r="E135" s="34">
        <f t="shared" si="5"/>
        <v>39728</v>
      </c>
      <c r="F135" s="108" t="str">
        <f t="shared" si="9"/>
        <v>2008-09</v>
      </c>
      <c r="H135" s="119"/>
      <c r="I135" s="26"/>
      <c r="J135" s="101">
        <f t="shared" si="6"/>
        <v>0.84443766578674484</v>
      </c>
      <c r="K135" s="37"/>
      <c r="L135" s="26">
        <v>73.566098055400005</v>
      </c>
      <c r="M135" s="26" t="s">
        <v>204</v>
      </c>
      <c r="N135" s="26">
        <v>621.96155034146341</v>
      </c>
      <c r="O135" s="95">
        <f t="shared" si="7"/>
        <v>45755.284399108707</v>
      </c>
      <c r="P135" s="97">
        <f t="shared" si="8"/>
        <v>38393.623852603407</v>
      </c>
      <c r="Q135" s="197">
        <v>0.9936884686132329</v>
      </c>
    </row>
    <row r="136" spans="1:17" x14ac:dyDescent="0.25">
      <c r="A136" s="254">
        <v>39728</v>
      </c>
      <c r="B136" s="254" t="s">
        <v>183</v>
      </c>
      <c r="C136" s="210">
        <v>9371085</v>
      </c>
      <c r="D136" s="115" t="s">
        <v>280</v>
      </c>
      <c r="E136" s="34">
        <f t="shared" si="5"/>
        <v>39728</v>
      </c>
      <c r="F136" s="108" t="str">
        <f t="shared" si="9"/>
        <v>2008-09</v>
      </c>
      <c r="H136" s="119"/>
      <c r="I136" s="26"/>
      <c r="J136" s="101">
        <f t="shared" si="6"/>
        <v>0.84443766578674484</v>
      </c>
      <c r="K136" s="37"/>
      <c r="L136" s="26">
        <v>1.61234151249</v>
      </c>
      <c r="M136" s="26" t="s">
        <v>204</v>
      </c>
      <c r="N136" s="26">
        <v>621.96155034146341</v>
      </c>
      <c r="O136" s="95">
        <f t="shared" si="7"/>
        <v>1002.8144267881804</v>
      </c>
      <c r="P136" s="97">
        <f t="shared" si="8"/>
        <v>841.46957890659485</v>
      </c>
      <c r="Q136" s="197">
        <v>0.9936884686132329</v>
      </c>
    </row>
    <row r="137" spans="1:17" x14ac:dyDescent="0.25">
      <c r="A137" s="254">
        <v>39728</v>
      </c>
      <c r="B137" s="254" t="s">
        <v>183</v>
      </c>
      <c r="C137" s="210">
        <v>9371086</v>
      </c>
      <c r="D137" s="115" t="s">
        <v>280</v>
      </c>
      <c r="E137" s="34">
        <f t="shared" si="5"/>
        <v>39728</v>
      </c>
      <c r="F137" s="108" t="str">
        <f t="shared" si="9"/>
        <v>2008-09</v>
      </c>
      <c r="H137" s="119"/>
      <c r="I137" s="26"/>
      <c r="J137" s="101">
        <f t="shared" si="6"/>
        <v>0.84443766578674484</v>
      </c>
      <c r="K137" s="37"/>
      <c r="L137" s="26">
        <v>2.8856578700500002</v>
      </c>
      <c r="M137" s="26" t="s">
        <v>204</v>
      </c>
      <c r="N137" s="26">
        <v>621.96155034146341</v>
      </c>
      <c r="O137" s="95">
        <f t="shared" si="7"/>
        <v>1794.7682426113433</v>
      </c>
      <c r="P137" s="97">
        <f t="shared" si="8"/>
        <v>1506.0043383920097</v>
      </c>
      <c r="Q137" s="197">
        <v>0.9936884686132329</v>
      </c>
    </row>
    <row r="138" spans="1:17" x14ac:dyDescent="0.25">
      <c r="A138" s="254">
        <v>39728</v>
      </c>
      <c r="B138" s="254" t="s">
        <v>183</v>
      </c>
      <c r="C138" s="210">
        <v>9376095</v>
      </c>
      <c r="D138" s="115" t="s">
        <v>280</v>
      </c>
      <c r="E138" s="34">
        <f t="shared" si="5"/>
        <v>39728</v>
      </c>
      <c r="F138" s="108" t="str">
        <f t="shared" si="9"/>
        <v>2008-09</v>
      </c>
      <c r="H138" s="119"/>
      <c r="I138" s="26"/>
      <c r="J138" s="101">
        <f t="shared" si="6"/>
        <v>0.84443766578674484</v>
      </c>
      <c r="K138" s="37"/>
      <c r="L138" s="26">
        <v>1.9990210103899999</v>
      </c>
      <c r="M138" s="26" t="s">
        <v>204</v>
      </c>
      <c r="N138" s="26">
        <v>916.52160117073151</v>
      </c>
      <c r="O138" s="95">
        <f t="shared" si="7"/>
        <v>1832.1459372165762</v>
      </c>
      <c r="P138" s="97">
        <f t="shared" si="8"/>
        <v>1537.368259871181</v>
      </c>
      <c r="Q138" s="197">
        <v>0.9936884686132329</v>
      </c>
    </row>
    <row r="139" spans="1:17" x14ac:dyDescent="0.25">
      <c r="A139" s="254">
        <v>39728</v>
      </c>
      <c r="B139" s="254" t="s">
        <v>183</v>
      </c>
      <c r="C139" s="210">
        <v>9376091</v>
      </c>
      <c r="D139" s="115" t="s">
        <v>280</v>
      </c>
      <c r="E139" s="34">
        <f t="shared" si="5"/>
        <v>39728</v>
      </c>
      <c r="F139" s="108" t="str">
        <f t="shared" si="9"/>
        <v>2008-09</v>
      </c>
      <c r="H139" s="119"/>
      <c r="I139" s="26"/>
      <c r="J139" s="101">
        <f t="shared" si="6"/>
        <v>0.84443766578674484</v>
      </c>
      <c r="K139" s="37"/>
      <c r="L139" s="26">
        <v>2.4841142249899999</v>
      </c>
      <c r="M139" s="26" t="s">
        <v>204</v>
      </c>
      <c r="N139" s="26">
        <v>916.52160117073151</v>
      </c>
      <c r="O139" s="95">
        <f t="shared" si="7"/>
        <v>2276.7443469788254</v>
      </c>
      <c r="P139" s="97">
        <f t="shared" si="8"/>
        <v>1910.4343293765855</v>
      </c>
      <c r="Q139" s="197">
        <v>0.9936884686132329</v>
      </c>
    </row>
    <row r="140" spans="1:17" x14ac:dyDescent="0.25">
      <c r="A140" s="254">
        <v>39395</v>
      </c>
      <c r="B140" s="254" t="s">
        <v>183</v>
      </c>
      <c r="C140" s="210">
        <v>9230853</v>
      </c>
      <c r="D140" s="115" t="s">
        <v>281</v>
      </c>
      <c r="E140" s="34">
        <f t="shared" si="5"/>
        <v>39395</v>
      </c>
      <c r="F140" s="108" t="str">
        <f t="shared" si="9"/>
        <v>2007-08</v>
      </c>
      <c r="H140" s="119"/>
      <c r="I140" s="26"/>
      <c r="J140" s="101">
        <f t="shared" si="6"/>
        <v>0.84443766578674484</v>
      </c>
      <c r="K140" s="37"/>
      <c r="L140" s="26">
        <v>18.277293858299998</v>
      </c>
      <c r="M140" s="26" t="s">
        <v>204</v>
      </c>
      <c r="N140" s="26">
        <v>621.96155034146341</v>
      </c>
      <c r="O140" s="95">
        <f t="shared" si="7"/>
        <v>11367.774024154774</v>
      </c>
      <c r="P140" s="97">
        <f t="shared" si="8"/>
        <v>9646.2709849046696</v>
      </c>
      <c r="Q140" s="197">
        <v>1.0048851529526543</v>
      </c>
    </row>
    <row r="141" spans="1:17" x14ac:dyDescent="0.25">
      <c r="A141" s="254">
        <v>39395</v>
      </c>
      <c r="B141" s="254" t="s">
        <v>183</v>
      </c>
      <c r="C141" s="210">
        <v>9230855</v>
      </c>
      <c r="D141" s="115" t="s">
        <v>281</v>
      </c>
      <c r="E141" s="34">
        <f t="shared" si="5"/>
        <v>39395</v>
      </c>
      <c r="F141" s="108" t="str">
        <f t="shared" si="9"/>
        <v>2007-08</v>
      </c>
      <c r="H141" s="119"/>
      <c r="I141" s="26"/>
      <c r="J141" s="101">
        <f t="shared" si="6"/>
        <v>0.84443766578674484</v>
      </c>
      <c r="K141" s="37"/>
      <c r="L141" s="26">
        <v>188.52221680700001</v>
      </c>
      <c r="M141" s="26" t="s">
        <v>204</v>
      </c>
      <c r="N141" s="26">
        <v>621.96155034146341</v>
      </c>
      <c r="O141" s="95">
        <f t="shared" si="7"/>
        <v>117253.57023909122</v>
      </c>
      <c r="P141" s="97">
        <f t="shared" si="8"/>
        <v>99497.02642491828</v>
      </c>
      <c r="Q141" s="197">
        <v>1.0048851529526543</v>
      </c>
    </row>
    <row r="142" spans="1:17" x14ac:dyDescent="0.25">
      <c r="A142" s="254">
        <v>39728</v>
      </c>
      <c r="B142" s="254" t="s">
        <v>183</v>
      </c>
      <c r="C142" s="210">
        <v>9302507</v>
      </c>
      <c r="D142" s="115" t="s">
        <v>280</v>
      </c>
      <c r="E142" s="34">
        <f t="shared" si="5"/>
        <v>39728</v>
      </c>
      <c r="F142" s="108" t="str">
        <f t="shared" si="9"/>
        <v>2008-09</v>
      </c>
      <c r="H142" s="119"/>
      <c r="I142" s="26"/>
      <c r="J142" s="101">
        <f t="shared" si="6"/>
        <v>0.84443766578674484</v>
      </c>
      <c r="K142" s="37"/>
      <c r="L142" s="26">
        <v>76.215860468599999</v>
      </c>
      <c r="M142" s="26" t="s">
        <v>204</v>
      </c>
      <c r="N142" s="26">
        <v>621.96155034146341</v>
      </c>
      <c r="O142" s="95">
        <f t="shared" si="7"/>
        <v>47403.334737659112</v>
      </c>
      <c r="P142" s="97">
        <f t="shared" si="8"/>
        <v>39776.516028216072</v>
      </c>
      <c r="Q142" s="197">
        <v>0.9936884686132329</v>
      </c>
    </row>
    <row r="143" spans="1:17" x14ac:dyDescent="0.25">
      <c r="A143" s="254">
        <v>39728</v>
      </c>
      <c r="B143" s="254" t="s">
        <v>183</v>
      </c>
      <c r="C143" s="210">
        <v>9302481</v>
      </c>
      <c r="D143" s="115" t="s">
        <v>280</v>
      </c>
      <c r="E143" s="34">
        <f t="shared" si="5"/>
        <v>39728</v>
      </c>
      <c r="F143" s="108" t="str">
        <f t="shared" si="9"/>
        <v>2008-09</v>
      </c>
      <c r="H143" s="119"/>
      <c r="I143" s="26"/>
      <c r="J143" s="101">
        <f t="shared" si="6"/>
        <v>0.84443766578674484</v>
      </c>
      <c r="K143" s="37"/>
      <c r="L143" s="26">
        <v>2.9272311150500001</v>
      </c>
      <c r="M143" s="26" t="s">
        <v>204</v>
      </c>
      <c r="N143" s="26">
        <v>514.18436487804865</v>
      </c>
      <c r="O143" s="95">
        <f t="shared" si="7"/>
        <v>1505.1364717432464</v>
      </c>
      <c r="P143" s="97">
        <f t="shared" si="8"/>
        <v>1262.9720108147881</v>
      </c>
      <c r="Q143" s="197">
        <v>0.9936884686132329</v>
      </c>
    </row>
    <row r="144" spans="1:17" x14ac:dyDescent="0.25">
      <c r="A144" s="254">
        <v>39728</v>
      </c>
      <c r="B144" s="254" t="s">
        <v>183</v>
      </c>
      <c r="C144" s="210">
        <v>9302370</v>
      </c>
      <c r="D144" s="115" t="s">
        <v>280</v>
      </c>
      <c r="E144" s="34">
        <f t="shared" si="5"/>
        <v>39728</v>
      </c>
      <c r="F144" s="108" t="str">
        <f t="shared" si="9"/>
        <v>2008-09</v>
      </c>
      <c r="H144" s="119"/>
      <c r="I144" s="26"/>
      <c r="J144" s="101">
        <f t="shared" si="6"/>
        <v>0.84443766578674484</v>
      </c>
      <c r="K144" s="37"/>
      <c r="L144" s="26">
        <v>9.0206684661499992</v>
      </c>
      <c r="M144" s="26" t="s">
        <v>204</v>
      </c>
      <c r="N144" s="26">
        <v>514.18436487804865</v>
      </c>
      <c r="O144" s="95">
        <f t="shared" si="7"/>
        <v>4638.2866860427785</v>
      </c>
      <c r="P144" s="97">
        <f t="shared" si="8"/>
        <v>3892.0233298327776</v>
      </c>
      <c r="Q144" s="197">
        <v>0.9936884686132329</v>
      </c>
    </row>
    <row r="145" spans="1:17" x14ac:dyDescent="0.25">
      <c r="A145" s="254">
        <v>39728</v>
      </c>
      <c r="B145" s="254" t="s">
        <v>183</v>
      </c>
      <c r="C145" s="210">
        <v>9302367</v>
      </c>
      <c r="D145" s="115" t="s">
        <v>280</v>
      </c>
      <c r="E145" s="34">
        <f t="shared" si="5"/>
        <v>39728</v>
      </c>
      <c r="F145" s="108" t="str">
        <f t="shared" si="9"/>
        <v>2008-09</v>
      </c>
      <c r="H145" s="119"/>
      <c r="I145" s="26"/>
      <c r="J145" s="101">
        <f t="shared" si="6"/>
        <v>0.84443766578674484</v>
      </c>
      <c r="K145" s="37"/>
      <c r="L145" s="26">
        <v>15.076908213599999</v>
      </c>
      <c r="M145" s="26" t="s">
        <v>204</v>
      </c>
      <c r="N145" s="26">
        <v>514.18436487804865</v>
      </c>
      <c r="O145" s="95">
        <f t="shared" si="7"/>
        <v>7752.3104741345505</v>
      </c>
      <c r="P145" s="97">
        <f t="shared" si="8"/>
        <v>6505.0255121639539</v>
      </c>
      <c r="Q145" s="197">
        <v>0.9936884686132329</v>
      </c>
    </row>
    <row r="146" spans="1:17" x14ac:dyDescent="0.25">
      <c r="A146" s="254">
        <v>39728</v>
      </c>
      <c r="B146" s="254" t="s">
        <v>183</v>
      </c>
      <c r="C146" s="210">
        <v>9302501</v>
      </c>
      <c r="D146" s="115" t="s">
        <v>280</v>
      </c>
      <c r="E146" s="34">
        <f t="shared" si="5"/>
        <v>39728</v>
      </c>
      <c r="F146" s="108" t="str">
        <f t="shared" si="9"/>
        <v>2008-09</v>
      </c>
      <c r="H146" s="119"/>
      <c r="I146" s="26"/>
      <c r="J146" s="101">
        <f t="shared" si="6"/>
        <v>0.84443766578674484</v>
      </c>
      <c r="K146" s="37"/>
      <c r="L146" s="26">
        <v>2.6309075138</v>
      </c>
      <c r="M146" s="26" t="s">
        <v>204</v>
      </c>
      <c r="N146" s="26">
        <v>514.18436487804865</v>
      </c>
      <c r="O146" s="95">
        <f t="shared" si="7"/>
        <v>1352.7715090361389</v>
      </c>
      <c r="P146" s="97">
        <f t="shared" si="8"/>
        <v>1135.1213561129985</v>
      </c>
      <c r="Q146" s="197">
        <v>0.9936884686132329</v>
      </c>
    </row>
    <row r="147" spans="1:17" x14ac:dyDescent="0.25">
      <c r="A147" s="254">
        <v>39728</v>
      </c>
      <c r="B147" s="254" t="s">
        <v>183</v>
      </c>
      <c r="C147" s="210">
        <v>9371089</v>
      </c>
      <c r="D147" s="115" t="s">
        <v>280</v>
      </c>
      <c r="E147" s="34">
        <f t="shared" si="5"/>
        <v>39728</v>
      </c>
      <c r="F147" s="108" t="str">
        <f t="shared" si="9"/>
        <v>2008-09</v>
      </c>
      <c r="H147" s="119"/>
      <c r="I147" s="26"/>
      <c r="J147" s="101">
        <f t="shared" si="6"/>
        <v>0.84443766578674484</v>
      </c>
      <c r="K147" s="37"/>
      <c r="L147" s="26">
        <v>12.149572195499999</v>
      </c>
      <c r="M147" s="26" t="s">
        <v>204</v>
      </c>
      <c r="N147" s="26">
        <v>621.96155034146341</v>
      </c>
      <c r="O147" s="95">
        <f t="shared" si="7"/>
        <v>7556.5667586987165</v>
      </c>
      <c r="P147" s="97">
        <f t="shared" si="8"/>
        <v>6340.7754002774054</v>
      </c>
      <c r="Q147" s="197">
        <v>0.9936884686132329</v>
      </c>
    </row>
    <row r="148" spans="1:17" x14ac:dyDescent="0.25">
      <c r="A148" s="254">
        <v>39728</v>
      </c>
      <c r="B148" s="254" t="s">
        <v>183</v>
      </c>
      <c r="C148" s="210">
        <v>9371091</v>
      </c>
      <c r="D148" s="115" t="s">
        <v>280</v>
      </c>
      <c r="E148" s="34">
        <f t="shared" si="5"/>
        <v>39728</v>
      </c>
      <c r="F148" s="108" t="str">
        <f t="shared" si="9"/>
        <v>2008-09</v>
      </c>
      <c r="H148" s="119"/>
      <c r="I148" s="26"/>
      <c r="J148" s="101">
        <f t="shared" si="6"/>
        <v>0.84443766578674484</v>
      </c>
      <c r="K148" s="37"/>
      <c r="L148" s="26">
        <v>4.12238887055</v>
      </c>
      <c r="M148" s="26" t="s">
        <v>204</v>
      </c>
      <c r="N148" s="26">
        <v>916.52160117073151</v>
      </c>
      <c r="O148" s="95">
        <f t="shared" si="7"/>
        <v>3778.2584482848893</v>
      </c>
      <c r="P148" s="97">
        <f t="shared" si="8"/>
        <v>3170.3667802837822</v>
      </c>
      <c r="Q148" s="197">
        <v>0.9936884686132329</v>
      </c>
    </row>
    <row r="149" spans="1:17" x14ac:dyDescent="0.25">
      <c r="A149" s="254">
        <v>39395</v>
      </c>
      <c r="B149" s="254" t="s">
        <v>183</v>
      </c>
      <c r="C149" s="210">
        <v>9230844</v>
      </c>
      <c r="D149" s="115" t="s">
        <v>281</v>
      </c>
      <c r="E149" s="34">
        <f t="shared" si="5"/>
        <v>39395</v>
      </c>
      <c r="F149" s="108" t="str">
        <f t="shared" si="9"/>
        <v>2007-08</v>
      </c>
      <c r="H149" s="119"/>
      <c r="I149" s="26"/>
      <c r="J149" s="101">
        <f t="shared" si="6"/>
        <v>0.84443766578674484</v>
      </c>
      <c r="K149" s="37"/>
      <c r="L149" s="26">
        <v>23.410798274299999</v>
      </c>
      <c r="M149" s="26" t="s">
        <v>204</v>
      </c>
      <c r="N149" s="26">
        <v>621.96155034146341</v>
      </c>
      <c r="O149" s="95">
        <f t="shared" si="7"/>
        <v>14560.616389414883</v>
      </c>
      <c r="P149" s="97">
        <f t="shared" si="8"/>
        <v>12355.598475224217</v>
      </c>
      <c r="Q149" s="197">
        <v>1.0048851529526543</v>
      </c>
    </row>
    <row r="150" spans="1:17" x14ac:dyDescent="0.25">
      <c r="A150" s="254">
        <v>39395</v>
      </c>
      <c r="B150" s="254" t="s">
        <v>183</v>
      </c>
      <c r="C150" s="210">
        <v>9315394</v>
      </c>
      <c r="D150" s="115" t="s">
        <v>281</v>
      </c>
      <c r="E150" s="34">
        <f t="shared" ref="E150:E213" si="10">IF(A150&lt;2022,DATEVALUE("30 Jun "&amp;A150),A150)</f>
        <v>39395</v>
      </c>
      <c r="F150" s="108" t="str">
        <f t="shared" si="9"/>
        <v>2007-08</v>
      </c>
      <c r="H150" s="119"/>
      <c r="I150" s="26"/>
      <c r="J150" s="101">
        <f t="shared" ref="J150:J213" si="11">J149</f>
        <v>0.84443766578674484</v>
      </c>
      <c r="K150" s="37"/>
      <c r="L150" s="26">
        <v>0.96356266013199998</v>
      </c>
      <c r="M150" s="26" t="s">
        <v>204</v>
      </c>
      <c r="N150" s="26">
        <v>621.96155034146341</v>
      </c>
      <c r="O150" s="95">
        <f t="shared" ref="O150:O213" si="12">IF(N150="","-",L150*N150)</f>
        <v>599.29892594684327</v>
      </c>
      <c r="P150" s="97">
        <f t="shared" ref="P150:P213" si="13">IF(O150="-","-",IF(OR(E150&lt;$E$15,E150&gt;$E$16),0,O150*J150))*Q150</f>
        <v>508.54281835316476</v>
      </c>
      <c r="Q150" s="197">
        <v>1.0048851529526543</v>
      </c>
    </row>
    <row r="151" spans="1:17" x14ac:dyDescent="0.25">
      <c r="A151" s="254">
        <v>39728</v>
      </c>
      <c r="B151" s="254" t="s">
        <v>183</v>
      </c>
      <c r="C151" s="210">
        <v>9302561</v>
      </c>
      <c r="D151" s="115" t="s">
        <v>280</v>
      </c>
      <c r="E151" s="34">
        <f t="shared" si="10"/>
        <v>39728</v>
      </c>
      <c r="F151" s="108" t="str">
        <f t="shared" ref="F151:F214" si="14">IF(E151="","-",IF(OR(E151&lt;$E$15,E151&gt;$E$16),"ERROR - date outside of range",IF(MONTH(E151)&gt;=7,YEAR(E151)&amp;"-"&amp;IF(YEAR(E151)=1999,"00",IF(AND(YEAR(E151)&gt;=2000,YEAR(E151)&lt;2009),"0","")&amp;RIGHT(YEAR(E151),2)+1),RIGHT(YEAR(E151),4)-1&amp;"-"&amp;RIGHT(YEAR(E151),2))))</f>
        <v>2008-09</v>
      </c>
      <c r="H151" s="119"/>
      <c r="I151" s="26"/>
      <c r="J151" s="101">
        <f t="shared" si="11"/>
        <v>0.84443766578674484</v>
      </c>
      <c r="K151" s="37"/>
      <c r="L151" s="26">
        <v>70.449061381000007</v>
      </c>
      <c r="M151" s="26" t="s">
        <v>204</v>
      </c>
      <c r="N151" s="26">
        <v>621.96155034146341</v>
      </c>
      <c r="O151" s="95">
        <f t="shared" si="12"/>
        <v>43816.607436627681</v>
      </c>
      <c r="P151" s="97">
        <f t="shared" si="13"/>
        <v>36766.864560278816</v>
      </c>
      <c r="Q151" s="197">
        <v>0.9936884686132329</v>
      </c>
    </row>
    <row r="152" spans="1:17" x14ac:dyDescent="0.25">
      <c r="A152" s="254">
        <v>39728</v>
      </c>
      <c r="B152" s="254" t="s">
        <v>183</v>
      </c>
      <c r="C152" s="210">
        <v>9302294</v>
      </c>
      <c r="D152" s="115" t="s">
        <v>280</v>
      </c>
      <c r="E152" s="34">
        <f t="shared" si="10"/>
        <v>39728</v>
      </c>
      <c r="F152" s="108" t="str">
        <f t="shared" si="14"/>
        <v>2008-09</v>
      </c>
      <c r="H152" s="119"/>
      <c r="I152" s="26"/>
      <c r="J152" s="101">
        <f t="shared" si="11"/>
        <v>0.84443766578674484</v>
      </c>
      <c r="K152" s="37"/>
      <c r="L152" s="26">
        <v>8.8080322421399995</v>
      </c>
      <c r="M152" s="26" t="s">
        <v>204</v>
      </c>
      <c r="N152" s="26">
        <v>621.96155034146341</v>
      </c>
      <c r="O152" s="95">
        <f t="shared" si="12"/>
        <v>5478.2573887789904</v>
      </c>
      <c r="P152" s="97">
        <f t="shared" si="13"/>
        <v>4596.8494418673754</v>
      </c>
      <c r="Q152" s="197">
        <v>0.9936884686132329</v>
      </c>
    </row>
    <row r="153" spans="1:17" x14ac:dyDescent="0.25">
      <c r="A153" s="254">
        <v>39728</v>
      </c>
      <c r="B153" s="254" t="s">
        <v>183</v>
      </c>
      <c r="C153" s="210">
        <v>9371111</v>
      </c>
      <c r="D153" s="115" t="s">
        <v>280</v>
      </c>
      <c r="E153" s="34">
        <f t="shared" si="10"/>
        <v>39728</v>
      </c>
      <c r="F153" s="108" t="str">
        <f t="shared" si="14"/>
        <v>2008-09</v>
      </c>
      <c r="H153" s="119"/>
      <c r="I153" s="26"/>
      <c r="J153" s="101">
        <f t="shared" si="11"/>
        <v>0.84443766578674484</v>
      </c>
      <c r="K153" s="37"/>
      <c r="L153" s="26">
        <v>41.8999045678</v>
      </c>
      <c r="M153" s="26" t="s">
        <v>204</v>
      </c>
      <c r="N153" s="26">
        <v>621.96155034146341</v>
      </c>
      <c r="O153" s="95">
        <f t="shared" si="12"/>
        <v>26060.129604148253</v>
      </c>
      <c r="P153" s="97">
        <f t="shared" si="13"/>
        <v>21867.262474960215</v>
      </c>
      <c r="Q153" s="197">
        <v>0.9936884686132329</v>
      </c>
    </row>
    <row r="154" spans="1:17" x14ac:dyDescent="0.25">
      <c r="A154" s="254">
        <v>39728</v>
      </c>
      <c r="B154" s="254" t="s">
        <v>183</v>
      </c>
      <c r="C154" s="210">
        <v>9371109</v>
      </c>
      <c r="D154" s="115" t="s">
        <v>280</v>
      </c>
      <c r="E154" s="34">
        <f t="shared" si="10"/>
        <v>39728</v>
      </c>
      <c r="F154" s="108" t="str">
        <f t="shared" si="14"/>
        <v>2008-09</v>
      </c>
      <c r="H154" s="119"/>
      <c r="I154" s="26"/>
      <c r="J154" s="101">
        <f t="shared" si="11"/>
        <v>0.84443766578674484</v>
      </c>
      <c r="K154" s="37"/>
      <c r="L154" s="26">
        <v>2.50031078068</v>
      </c>
      <c r="M154" s="26" t="s">
        <v>204</v>
      </c>
      <c r="N154" s="26">
        <v>916.52160117073151</v>
      </c>
      <c r="O154" s="95">
        <f t="shared" si="12"/>
        <v>2291.5888401332754</v>
      </c>
      <c r="P154" s="97">
        <f t="shared" si="13"/>
        <v>1922.8904619072707</v>
      </c>
      <c r="Q154" s="197">
        <v>0.9936884686132329</v>
      </c>
    </row>
    <row r="155" spans="1:17" x14ac:dyDescent="0.25">
      <c r="A155" s="254">
        <v>39728</v>
      </c>
      <c r="B155" s="254" t="s">
        <v>183</v>
      </c>
      <c r="C155" s="210">
        <v>9371107</v>
      </c>
      <c r="D155" s="115" t="s">
        <v>280</v>
      </c>
      <c r="E155" s="34">
        <f t="shared" si="10"/>
        <v>39728</v>
      </c>
      <c r="F155" s="108" t="str">
        <f t="shared" si="14"/>
        <v>2008-09</v>
      </c>
      <c r="H155" s="119"/>
      <c r="I155" s="26"/>
      <c r="J155" s="101">
        <f t="shared" si="11"/>
        <v>0.84443766578674484</v>
      </c>
      <c r="K155" s="37"/>
      <c r="L155" s="26">
        <v>2.4992168773399999</v>
      </c>
      <c r="M155" s="26" t="s">
        <v>204</v>
      </c>
      <c r="N155" s="26">
        <v>916.52160117073151</v>
      </c>
      <c r="O155" s="95">
        <f t="shared" si="12"/>
        <v>2290.5862540925723</v>
      </c>
      <c r="P155" s="97">
        <f t="shared" si="13"/>
        <v>1922.0491839689487</v>
      </c>
      <c r="Q155" s="197">
        <v>0.9936884686132329</v>
      </c>
    </row>
    <row r="156" spans="1:17" x14ac:dyDescent="0.25">
      <c r="A156" s="254">
        <v>39728</v>
      </c>
      <c r="B156" s="254" t="s">
        <v>183</v>
      </c>
      <c r="C156" s="210">
        <v>9371108</v>
      </c>
      <c r="D156" s="115" t="s">
        <v>280</v>
      </c>
      <c r="E156" s="34">
        <f t="shared" si="10"/>
        <v>39728</v>
      </c>
      <c r="F156" s="108" t="str">
        <f t="shared" si="14"/>
        <v>2008-09</v>
      </c>
      <c r="H156" s="119"/>
      <c r="I156" s="26"/>
      <c r="J156" s="101">
        <f t="shared" si="11"/>
        <v>0.84443766578674484</v>
      </c>
      <c r="K156" s="37"/>
      <c r="L156" s="26">
        <v>122.622821289</v>
      </c>
      <c r="M156" s="26" t="s">
        <v>204</v>
      </c>
      <c r="N156" s="26">
        <v>621.96155034146341</v>
      </c>
      <c r="O156" s="95">
        <f t="shared" si="12"/>
        <v>76266.680036150647</v>
      </c>
      <c r="P156" s="97">
        <f t="shared" si="13"/>
        <v>63995.979136605783</v>
      </c>
      <c r="Q156" s="197">
        <v>0.9936884686132329</v>
      </c>
    </row>
    <row r="157" spans="1:17" x14ac:dyDescent="0.25">
      <c r="A157" s="254">
        <v>42415</v>
      </c>
      <c r="B157" s="254" t="s">
        <v>183</v>
      </c>
      <c r="C157" s="210">
        <v>10951962</v>
      </c>
      <c r="D157" s="115" t="s">
        <v>282</v>
      </c>
      <c r="E157" s="34">
        <f t="shared" si="10"/>
        <v>42415</v>
      </c>
      <c r="F157" s="108" t="str">
        <f t="shared" si="14"/>
        <v>2015-16</v>
      </c>
      <c r="H157" s="119"/>
      <c r="I157" s="26"/>
      <c r="J157" s="101">
        <f t="shared" si="11"/>
        <v>0.84443766578674484</v>
      </c>
      <c r="K157" s="37"/>
      <c r="L157" s="26">
        <v>236.74522962699999</v>
      </c>
      <c r="M157" s="26" t="s">
        <v>204</v>
      </c>
      <c r="N157" s="26">
        <v>514.18436487804865</v>
      </c>
      <c r="O157" s="95">
        <f t="shared" si="12"/>
        <v>121730.69553366677</v>
      </c>
      <c r="P157" s="97">
        <f t="shared" si="13"/>
        <v>72339.470509959618</v>
      </c>
      <c r="Q157" s="197">
        <v>0.70373252810949982</v>
      </c>
    </row>
    <row r="158" spans="1:17" x14ac:dyDescent="0.25">
      <c r="A158" s="254">
        <v>42415</v>
      </c>
      <c r="B158" s="254" t="s">
        <v>183</v>
      </c>
      <c r="C158" s="210">
        <v>10951967</v>
      </c>
      <c r="D158" s="115" t="s">
        <v>282</v>
      </c>
      <c r="E158" s="34">
        <f t="shared" si="10"/>
        <v>42415</v>
      </c>
      <c r="F158" s="108" t="str">
        <f t="shared" si="14"/>
        <v>2015-16</v>
      </c>
      <c r="H158" s="119"/>
      <c r="I158" s="26"/>
      <c r="J158" s="101">
        <f t="shared" si="11"/>
        <v>0.84443766578674484</v>
      </c>
      <c r="K158" s="37"/>
      <c r="L158" s="26">
        <v>36.576469840199998</v>
      </c>
      <c r="M158" s="26" t="s">
        <v>204</v>
      </c>
      <c r="N158" s="26">
        <v>514.18436487804865</v>
      </c>
      <c r="O158" s="95">
        <f t="shared" si="12"/>
        <v>18807.048914264338</v>
      </c>
      <c r="P158" s="97">
        <f t="shared" si="13"/>
        <v>11176.244038928744</v>
      </c>
      <c r="Q158" s="197">
        <v>0.70373252810949982</v>
      </c>
    </row>
    <row r="159" spans="1:17" x14ac:dyDescent="0.25">
      <c r="A159" s="254">
        <v>38996</v>
      </c>
      <c r="B159" s="254" t="s">
        <v>183</v>
      </c>
      <c r="C159" s="210">
        <v>9223528</v>
      </c>
      <c r="D159" s="115" t="s">
        <v>283</v>
      </c>
      <c r="E159" s="34">
        <f t="shared" si="10"/>
        <v>38996</v>
      </c>
      <c r="F159" s="108" t="str">
        <f t="shared" si="14"/>
        <v>2006-07</v>
      </c>
      <c r="H159" s="119"/>
      <c r="I159" s="26"/>
      <c r="J159" s="101">
        <f t="shared" si="11"/>
        <v>0.84443766578674484</v>
      </c>
      <c r="K159" s="37"/>
      <c r="L159" s="26">
        <v>202.75154554400001</v>
      </c>
      <c r="M159" s="26" t="s">
        <v>204</v>
      </c>
      <c r="N159" s="26">
        <v>470.74786858536584</v>
      </c>
      <c r="O159" s="95">
        <f t="shared" si="12"/>
        <v>95444.857917226735</v>
      </c>
      <c r="P159" s="97">
        <f t="shared" si="13"/>
        <v>80597.233030970456</v>
      </c>
      <c r="Q159" s="197">
        <v>1</v>
      </c>
    </row>
    <row r="160" spans="1:17" x14ac:dyDescent="0.25">
      <c r="A160" s="254">
        <v>38996</v>
      </c>
      <c r="B160" s="254" t="s">
        <v>183</v>
      </c>
      <c r="C160" s="210">
        <v>9223544</v>
      </c>
      <c r="D160" s="115" t="s">
        <v>283</v>
      </c>
      <c r="E160" s="34">
        <f t="shared" si="10"/>
        <v>38996</v>
      </c>
      <c r="F160" s="108" t="str">
        <f t="shared" si="14"/>
        <v>2006-07</v>
      </c>
      <c r="H160" s="119"/>
      <c r="I160" s="26"/>
      <c r="J160" s="101">
        <f t="shared" si="11"/>
        <v>0.84443766578674484</v>
      </c>
      <c r="K160" s="37"/>
      <c r="L160" s="26">
        <v>56.235274331900001</v>
      </c>
      <c r="M160" s="26" t="s">
        <v>204</v>
      </c>
      <c r="N160" s="26">
        <v>470.74786858536584</v>
      </c>
      <c r="O160" s="95">
        <f t="shared" si="12"/>
        <v>26472.635531055257</v>
      </c>
      <c r="P160" s="97">
        <f t="shared" si="13"/>
        <v>22354.490555067547</v>
      </c>
      <c r="Q160" s="197">
        <v>1</v>
      </c>
    </row>
    <row r="161" spans="1:17" x14ac:dyDescent="0.25">
      <c r="A161" s="254">
        <v>38996</v>
      </c>
      <c r="B161" s="254" t="s">
        <v>183</v>
      </c>
      <c r="C161" s="210">
        <v>9223548</v>
      </c>
      <c r="D161" s="115" t="s">
        <v>283</v>
      </c>
      <c r="E161" s="34">
        <f t="shared" si="10"/>
        <v>38996</v>
      </c>
      <c r="F161" s="108" t="str">
        <f t="shared" si="14"/>
        <v>2006-07</v>
      </c>
      <c r="H161" s="119"/>
      <c r="I161" s="26"/>
      <c r="J161" s="101">
        <f t="shared" si="11"/>
        <v>0.84443766578674484</v>
      </c>
      <c r="K161" s="37"/>
      <c r="L161" s="26">
        <v>10.5474257721</v>
      </c>
      <c r="M161" s="26" t="s">
        <v>204</v>
      </c>
      <c r="N161" s="26">
        <v>470.74786858536584</v>
      </c>
      <c r="O161" s="95">
        <f t="shared" si="12"/>
        <v>4965.1782012784315</v>
      </c>
      <c r="P161" s="97">
        <f t="shared" si="13"/>
        <v>4192.7834905027867</v>
      </c>
      <c r="Q161" s="197">
        <v>1</v>
      </c>
    </row>
    <row r="162" spans="1:17" x14ac:dyDescent="0.25">
      <c r="A162" s="254">
        <v>38996</v>
      </c>
      <c r="B162" s="254" t="s">
        <v>183</v>
      </c>
      <c r="C162" s="210">
        <v>9223546</v>
      </c>
      <c r="D162" s="115" t="s">
        <v>283</v>
      </c>
      <c r="E162" s="34">
        <f t="shared" si="10"/>
        <v>38996</v>
      </c>
      <c r="F162" s="108" t="str">
        <f t="shared" si="14"/>
        <v>2006-07</v>
      </c>
      <c r="H162" s="119"/>
      <c r="I162" s="26"/>
      <c r="J162" s="101">
        <f t="shared" si="11"/>
        <v>0.84443766578674484</v>
      </c>
      <c r="K162" s="37"/>
      <c r="L162" s="26">
        <v>6.8850635709199999</v>
      </c>
      <c r="M162" s="26" t="s">
        <v>204</v>
      </c>
      <c r="N162" s="26">
        <v>470.74786858536584</v>
      </c>
      <c r="O162" s="95">
        <f t="shared" si="12"/>
        <v>3241.1290010853377</v>
      </c>
      <c r="P162" s="97">
        <f t="shared" si="13"/>
        <v>2736.9314081902266</v>
      </c>
      <c r="Q162" s="197">
        <v>1</v>
      </c>
    </row>
    <row r="163" spans="1:17" x14ac:dyDescent="0.25">
      <c r="A163" s="254">
        <v>38996</v>
      </c>
      <c r="B163" s="254" t="s">
        <v>183</v>
      </c>
      <c r="C163" s="210">
        <v>9223515</v>
      </c>
      <c r="D163" s="115" t="s">
        <v>283</v>
      </c>
      <c r="E163" s="34">
        <f t="shared" si="10"/>
        <v>38996</v>
      </c>
      <c r="F163" s="108" t="str">
        <f t="shared" si="14"/>
        <v>2006-07</v>
      </c>
      <c r="H163" s="119"/>
      <c r="I163" s="26"/>
      <c r="J163" s="101">
        <f t="shared" si="11"/>
        <v>0.84443766578674484</v>
      </c>
      <c r="K163" s="37"/>
      <c r="L163" s="26">
        <v>5.5636701016499996</v>
      </c>
      <c r="M163" s="26" t="s">
        <v>204</v>
      </c>
      <c r="N163" s="26">
        <v>470.74786858536584</v>
      </c>
      <c r="O163" s="95">
        <f t="shared" si="12"/>
        <v>2619.0858418638632</v>
      </c>
      <c r="P163" s="97">
        <f t="shared" si="13"/>
        <v>2211.654734798632</v>
      </c>
      <c r="Q163" s="197">
        <v>1</v>
      </c>
    </row>
    <row r="164" spans="1:17" x14ac:dyDescent="0.25">
      <c r="A164" s="254">
        <v>38996</v>
      </c>
      <c r="B164" s="254" t="s">
        <v>183</v>
      </c>
      <c r="C164" s="210">
        <v>9223691</v>
      </c>
      <c r="D164" s="115" t="s">
        <v>283</v>
      </c>
      <c r="E164" s="34">
        <f t="shared" si="10"/>
        <v>38996</v>
      </c>
      <c r="F164" s="108" t="str">
        <f t="shared" si="14"/>
        <v>2006-07</v>
      </c>
      <c r="H164" s="119"/>
      <c r="I164" s="26"/>
      <c r="J164" s="101">
        <f t="shared" si="11"/>
        <v>0.84443766578674484</v>
      </c>
      <c r="K164" s="37"/>
      <c r="L164" s="26">
        <v>380.44097417900002</v>
      </c>
      <c r="M164" s="26" t="s">
        <v>204</v>
      </c>
      <c r="N164" s="26">
        <v>470.74786858536584</v>
      </c>
      <c r="O164" s="95">
        <f t="shared" si="12"/>
        <v>179091.77771730447</v>
      </c>
      <c r="P164" s="97">
        <f t="shared" si="13"/>
        <v>151231.84273719916</v>
      </c>
      <c r="Q164" s="197">
        <v>1</v>
      </c>
    </row>
    <row r="165" spans="1:17" x14ac:dyDescent="0.25">
      <c r="A165" s="254">
        <v>38996</v>
      </c>
      <c r="B165" s="254" t="s">
        <v>183</v>
      </c>
      <c r="C165" s="210">
        <v>9223514</v>
      </c>
      <c r="D165" s="115" t="s">
        <v>283</v>
      </c>
      <c r="E165" s="34">
        <f t="shared" si="10"/>
        <v>38996</v>
      </c>
      <c r="F165" s="108" t="str">
        <f t="shared" si="14"/>
        <v>2006-07</v>
      </c>
      <c r="H165" s="119"/>
      <c r="I165" s="26"/>
      <c r="J165" s="101">
        <f t="shared" si="11"/>
        <v>0.84443766578674484</v>
      </c>
      <c r="K165" s="37"/>
      <c r="L165" s="26">
        <v>65.510978692099997</v>
      </c>
      <c r="M165" s="26" t="s">
        <v>204</v>
      </c>
      <c r="N165" s="26">
        <v>470.74786858536584</v>
      </c>
      <c r="O165" s="95">
        <f t="shared" si="12"/>
        <v>30839.153588247391</v>
      </c>
      <c r="P165" s="97">
        <f t="shared" si="13"/>
        <v>26041.742870898543</v>
      </c>
      <c r="Q165" s="197">
        <v>1</v>
      </c>
    </row>
    <row r="166" spans="1:17" x14ac:dyDescent="0.25">
      <c r="A166" s="254">
        <v>39009</v>
      </c>
      <c r="B166" s="254" t="s">
        <v>183</v>
      </c>
      <c r="C166" s="210">
        <v>9036304</v>
      </c>
      <c r="D166" s="115" t="s">
        <v>284</v>
      </c>
      <c r="E166" s="34">
        <f t="shared" si="10"/>
        <v>39009</v>
      </c>
      <c r="F166" s="108" t="str">
        <f t="shared" si="14"/>
        <v>2006-07</v>
      </c>
      <c r="H166" s="119"/>
      <c r="I166" s="26"/>
      <c r="J166" s="101">
        <f t="shared" si="11"/>
        <v>0.84443766578674484</v>
      </c>
      <c r="K166" s="37"/>
      <c r="L166" s="26">
        <v>1.99903001478</v>
      </c>
      <c r="M166" s="26" t="s">
        <v>204</v>
      </c>
      <c r="N166" s="26">
        <v>621.96155034146341</v>
      </c>
      <c r="O166" s="95">
        <f t="shared" si="12"/>
        <v>1243.3198071716872</v>
      </c>
      <c r="P166" s="97">
        <f t="shared" si="13"/>
        <v>1049.9060757944853</v>
      </c>
      <c r="Q166" s="197">
        <v>1</v>
      </c>
    </row>
    <row r="167" spans="1:17" x14ac:dyDescent="0.25">
      <c r="A167" s="254">
        <v>39009</v>
      </c>
      <c r="B167" s="254" t="s">
        <v>183</v>
      </c>
      <c r="C167" s="210">
        <v>8692341</v>
      </c>
      <c r="D167" s="115" t="s">
        <v>284</v>
      </c>
      <c r="E167" s="34">
        <f t="shared" si="10"/>
        <v>39009</v>
      </c>
      <c r="F167" s="108" t="str">
        <f t="shared" si="14"/>
        <v>2006-07</v>
      </c>
      <c r="H167" s="119"/>
      <c r="I167" s="26"/>
      <c r="J167" s="101">
        <f t="shared" si="11"/>
        <v>0.84443766578674484</v>
      </c>
      <c r="K167" s="37"/>
      <c r="L167" s="26">
        <v>1.6120080644999999</v>
      </c>
      <c r="M167" s="26" t="s">
        <v>204</v>
      </c>
      <c r="N167" s="26">
        <v>621.96155034146341</v>
      </c>
      <c r="O167" s="95">
        <f t="shared" si="12"/>
        <v>1002.6070349593617</v>
      </c>
      <c r="P167" s="97">
        <f t="shared" si="13"/>
        <v>846.63914430245268</v>
      </c>
      <c r="Q167" s="197">
        <v>1</v>
      </c>
    </row>
    <row r="168" spans="1:17" x14ac:dyDescent="0.25">
      <c r="A168" s="254">
        <v>39009</v>
      </c>
      <c r="B168" s="254" t="s">
        <v>183</v>
      </c>
      <c r="C168" s="210">
        <v>9133448</v>
      </c>
      <c r="D168" s="115" t="s">
        <v>284</v>
      </c>
      <c r="E168" s="34">
        <f t="shared" si="10"/>
        <v>39009</v>
      </c>
      <c r="F168" s="108" t="str">
        <f t="shared" si="14"/>
        <v>2006-07</v>
      </c>
      <c r="H168" s="119"/>
      <c r="I168" s="26"/>
      <c r="J168" s="101">
        <f t="shared" si="11"/>
        <v>0.84443766578674484</v>
      </c>
      <c r="K168" s="37"/>
      <c r="L168" s="26">
        <v>9.1640309181100008</v>
      </c>
      <c r="M168" s="26" t="s">
        <v>204</v>
      </c>
      <c r="N168" s="26">
        <v>936.5640883902438</v>
      </c>
      <c r="O168" s="95">
        <f t="shared" si="12"/>
        <v>8582.7022627997012</v>
      </c>
      <c r="P168" s="97">
        <f t="shared" si="13"/>
        <v>7247.5570649411929</v>
      </c>
      <c r="Q168" s="197">
        <v>1</v>
      </c>
    </row>
    <row r="169" spans="1:17" x14ac:dyDescent="0.25">
      <c r="A169" s="254">
        <v>39009</v>
      </c>
      <c r="B169" s="254" t="s">
        <v>183</v>
      </c>
      <c r="C169" s="210">
        <v>9133446</v>
      </c>
      <c r="D169" s="115" t="s">
        <v>284</v>
      </c>
      <c r="E169" s="34">
        <f t="shared" si="10"/>
        <v>39009</v>
      </c>
      <c r="F169" s="108" t="str">
        <f t="shared" si="14"/>
        <v>2006-07</v>
      </c>
      <c r="H169" s="119"/>
      <c r="I169" s="26"/>
      <c r="J169" s="101">
        <f t="shared" si="11"/>
        <v>0.84443766578674484</v>
      </c>
      <c r="K169" s="37"/>
      <c r="L169" s="26">
        <v>7.4968006423700002</v>
      </c>
      <c r="M169" s="26" t="s">
        <v>204</v>
      </c>
      <c r="N169" s="26">
        <v>936.5640883902438</v>
      </c>
      <c r="O169" s="95">
        <f t="shared" si="12"/>
        <v>7021.2342594646534</v>
      </c>
      <c r="P169" s="97">
        <f t="shared" si="13"/>
        <v>5928.9946690042561</v>
      </c>
      <c r="Q169" s="197">
        <v>1</v>
      </c>
    </row>
    <row r="170" spans="1:17" x14ac:dyDescent="0.25">
      <c r="A170" s="254">
        <v>39009</v>
      </c>
      <c r="B170" s="254" t="s">
        <v>183</v>
      </c>
      <c r="C170" s="210">
        <v>9036324</v>
      </c>
      <c r="D170" s="115" t="s">
        <v>284</v>
      </c>
      <c r="E170" s="34">
        <f t="shared" si="10"/>
        <v>39009</v>
      </c>
      <c r="F170" s="108" t="str">
        <f t="shared" si="14"/>
        <v>2006-07</v>
      </c>
      <c r="H170" s="119"/>
      <c r="I170" s="26"/>
      <c r="J170" s="101">
        <f t="shared" si="11"/>
        <v>0.84443766578674484</v>
      </c>
      <c r="K170" s="37"/>
      <c r="L170" s="26">
        <v>1.9996529698900001</v>
      </c>
      <c r="M170" s="26" t="s">
        <v>204</v>
      </c>
      <c r="N170" s="26">
        <v>621.96155034146341</v>
      </c>
      <c r="O170" s="95">
        <f t="shared" si="12"/>
        <v>1243.707261297696</v>
      </c>
      <c r="P170" s="97">
        <f t="shared" si="13"/>
        <v>1050.2332566522516</v>
      </c>
      <c r="Q170" s="197">
        <v>1</v>
      </c>
    </row>
    <row r="171" spans="1:17" x14ac:dyDescent="0.25">
      <c r="A171" s="254">
        <v>43691</v>
      </c>
      <c r="B171" s="254" t="s">
        <v>183</v>
      </c>
      <c r="C171" s="210">
        <v>11401672</v>
      </c>
      <c r="D171" s="115" t="s">
        <v>285</v>
      </c>
      <c r="E171" s="34">
        <f t="shared" si="10"/>
        <v>43691</v>
      </c>
      <c r="F171" s="108" t="str">
        <f t="shared" si="14"/>
        <v>2019-20</v>
      </c>
      <c r="H171" s="119"/>
      <c r="I171" s="26"/>
      <c r="J171" s="101">
        <f t="shared" si="11"/>
        <v>0.84443766578674484</v>
      </c>
      <c r="K171" s="37"/>
      <c r="L171" s="26">
        <v>9.3191176621</v>
      </c>
      <c r="M171" s="26" t="s">
        <v>204</v>
      </c>
      <c r="N171" s="26">
        <v>514.18436487804865</v>
      </c>
      <c r="O171" s="95">
        <f t="shared" si="12"/>
        <v>4791.7445963106939</v>
      </c>
      <c r="P171" s="97">
        <f t="shared" si="13"/>
        <v>288.24142849294407</v>
      </c>
      <c r="Q171" s="197">
        <v>7.1235281211146056E-2</v>
      </c>
    </row>
    <row r="172" spans="1:17" x14ac:dyDescent="0.25">
      <c r="A172" s="254">
        <v>43691</v>
      </c>
      <c r="B172" s="254" t="s">
        <v>183</v>
      </c>
      <c r="C172" s="210">
        <v>11401653</v>
      </c>
      <c r="D172" s="115" t="s">
        <v>285</v>
      </c>
      <c r="E172" s="34">
        <f t="shared" si="10"/>
        <v>43691</v>
      </c>
      <c r="F172" s="108" t="str">
        <f t="shared" si="14"/>
        <v>2019-20</v>
      </c>
      <c r="H172" s="119"/>
      <c r="I172" s="26"/>
      <c r="J172" s="101">
        <f t="shared" si="11"/>
        <v>0.84443766578674484</v>
      </c>
      <c r="K172" s="37"/>
      <c r="L172" s="26">
        <v>5.1972065175099997</v>
      </c>
      <c r="M172" s="26" t="s">
        <v>204</v>
      </c>
      <c r="N172" s="26">
        <v>514.18436487804865</v>
      </c>
      <c r="O172" s="95">
        <f t="shared" si="12"/>
        <v>2672.3223323459342</v>
      </c>
      <c r="P172" s="97">
        <f t="shared" si="13"/>
        <v>160.75022175890697</v>
      </c>
      <c r="Q172" s="197">
        <v>7.1235281211146056E-2</v>
      </c>
    </row>
    <row r="173" spans="1:17" x14ac:dyDescent="0.25">
      <c r="A173" s="254">
        <v>43691</v>
      </c>
      <c r="B173" s="254" t="s">
        <v>183</v>
      </c>
      <c r="C173" s="210">
        <v>11401643</v>
      </c>
      <c r="D173" s="115" t="s">
        <v>285</v>
      </c>
      <c r="E173" s="34">
        <f t="shared" si="10"/>
        <v>43691</v>
      </c>
      <c r="F173" s="108" t="str">
        <f t="shared" si="14"/>
        <v>2019-20</v>
      </c>
      <c r="H173" s="119"/>
      <c r="I173" s="26"/>
      <c r="J173" s="101">
        <f t="shared" si="11"/>
        <v>0.84443766578674484</v>
      </c>
      <c r="K173" s="37"/>
      <c r="L173" s="26">
        <v>28.2897679784</v>
      </c>
      <c r="M173" s="26" t="s">
        <v>204</v>
      </c>
      <c r="N173" s="26">
        <v>514.18436487804865</v>
      </c>
      <c r="O173" s="95">
        <f t="shared" si="12"/>
        <v>14546.156380520963</v>
      </c>
      <c r="P173" s="97">
        <f t="shared" si="13"/>
        <v>875.00592110674677</v>
      </c>
      <c r="Q173" s="197">
        <v>7.1235281211146056E-2</v>
      </c>
    </row>
    <row r="174" spans="1:17" x14ac:dyDescent="0.25">
      <c r="A174" s="254">
        <v>43691</v>
      </c>
      <c r="B174" s="254" t="s">
        <v>183</v>
      </c>
      <c r="C174" s="210">
        <v>11401668</v>
      </c>
      <c r="D174" s="115" t="s">
        <v>285</v>
      </c>
      <c r="E174" s="34">
        <f t="shared" si="10"/>
        <v>43691</v>
      </c>
      <c r="F174" s="108" t="str">
        <f t="shared" si="14"/>
        <v>2019-20</v>
      </c>
      <c r="H174" s="119"/>
      <c r="I174" s="26"/>
      <c r="J174" s="101">
        <f t="shared" si="11"/>
        <v>0.84443766578674484</v>
      </c>
      <c r="K174" s="37"/>
      <c r="L174" s="26">
        <v>20.344280513499999</v>
      </c>
      <c r="M174" s="26" t="s">
        <v>204</v>
      </c>
      <c r="N174" s="26">
        <v>514.18436487804865</v>
      </c>
      <c r="O174" s="95">
        <f t="shared" si="12"/>
        <v>10460.710954734859</v>
      </c>
      <c r="P174" s="97">
        <f t="shared" si="13"/>
        <v>629.25103958296609</v>
      </c>
      <c r="Q174" s="197">
        <v>7.1235281211146056E-2</v>
      </c>
    </row>
    <row r="175" spans="1:17" x14ac:dyDescent="0.25">
      <c r="A175" s="254">
        <v>43691</v>
      </c>
      <c r="B175" s="254" t="s">
        <v>183</v>
      </c>
      <c r="C175" s="210">
        <v>11401650</v>
      </c>
      <c r="D175" s="115" t="s">
        <v>285</v>
      </c>
      <c r="E175" s="34">
        <f t="shared" si="10"/>
        <v>43691</v>
      </c>
      <c r="F175" s="108" t="str">
        <f t="shared" si="14"/>
        <v>2019-20</v>
      </c>
      <c r="H175" s="119"/>
      <c r="I175" s="26"/>
      <c r="J175" s="101">
        <f t="shared" si="11"/>
        <v>0.84443766578674484</v>
      </c>
      <c r="K175" s="37"/>
      <c r="L175" s="26">
        <v>79.953843159800002</v>
      </c>
      <c r="M175" s="26" t="s">
        <v>204</v>
      </c>
      <c r="N175" s="26">
        <v>514.18436487804865</v>
      </c>
      <c r="O175" s="95">
        <f t="shared" si="12"/>
        <v>41111.01606468088</v>
      </c>
      <c r="P175" s="97">
        <f t="shared" si="13"/>
        <v>2472.9819712017993</v>
      </c>
      <c r="Q175" s="197">
        <v>7.1235281211146056E-2</v>
      </c>
    </row>
    <row r="176" spans="1:17" x14ac:dyDescent="0.25">
      <c r="A176" s="254">
        <v>43691</v>
      </c>
      <c r="B176" s="254" t="s">
        <v>183</v>
      </c>
      <c r="C176" s="210">
        <v>11401675</v>
      </c>
      <c r="D176" s="115" t="s">
        <v>285</v>
      </c>
      <c r="E176" s="34">
        <f t="shared" si="10"/>
        <v>43691</v>
      </c>
      <c r="F176" s="108" t="str">
        <f t="shared" si="14"/>
        <v>2019-20</v>
      </c>
      <c r="H176" s="119"/>
      <c r="I176" s="26"/>
      <c r="J176" s="101">
        <f t="shared" si="11"/>
        <v>0.84443766578674484</v>
      </c>
      <c r="K176" s="37"/>
      <c r="L176" s="26">
        <v>50.225794885399999</v>
      </c>
      <c r="M176" s="26" t="s">
        <v>204</v>
      </c>
      <c r="N176" s="26">
        <v>514.18436487804865</v>
      </c>
      <c r="O176" s="95">
        <f t="shared" si="12"/>
        <v>25825.318443644544</v>
      </c>
      <c r="P176" s="97">
        <f t="shared" si="13"/>
        <v>1553.4898678056795</v>
      </c>
      <c r="Q176" s="197">
        <v>7.1235281211146056E-2</v>
      </c>
    </row>
    <row r="177" spans="1:17" x14ac:dyDescent="0.25">
      <c r="A177" s="254">
        <v>43691</v>
      </c>
      <c r="B177" s="254" t="s">
        <v>183</v>
      </c>
      <c r="C177" s="210">
        <v>11401648</v>
      </c>
      <c r="D177" s="115" t="s">
        <v>285</v>
      </c>
      <c r="E177" s="34">
        <f t="shared" si="10"/>
        <v>43691</v>
      </c>
      <c r="F177" s="108" t="str">
        <f t="shared" si="14"/>
        <v>2019-20</v>
      </c>
      <c r="H177" s="119"/>
      <c r="I177" s="26"/>
      <c r="J177" s="101">
        <f t="shared" si="11"/>
        <v>0.84443766578674484</v>
      </c>
      <c r="K177" s="37"/>
      <c r="L177" s="26">
        <v>35.593644467099999</v>
      </c>
      <c r="M177" s="26" t="s">
        <v>204</v>
      </c>
      <c r="N177" s="26">
        <v>470.74786858536584</v>
      </c>
      <c r="O177" s="95">
        <f t="shared" si="12"/>
        <v>16755.632268072623</v>
      </c>
      <c r="P177" s="97">
        <f t="shared" si="13"/>
        <v>1007.9141914137547</v>
      </c>
      <c r="Q177" s="197">
        <v>7.1235281211146056E-2</v>
      </c>
    </row>
    <row r="178" spans="1:17" x14ac:dyDescent="0.25">
      <c r="A178" s="254">
        <v>43691</v>
      </c>
      <c r="B178" s="254" t="s">
        <v>183</v>
      </c>
      <c r="C178" s="210">
        <v>11401661</v>
      </c>
      <c r="D178" s="115" t="s">
        <v>285</v>
      </c>
      <c r="E178" s="34">
        <f t="shared" si="10"/>
        <v>43691</v>
      </c>
      <c r="F178" s="108" t="str">
        <f t="shared" si="14"/>
        <v>2019-20</v>
      </c>
      <c r="H178" s="119"/>
      <c r="I178" s="26"/>
      <c r="J178" s="101">
        <f t="shared" si="11"/>
        <v>0.84443766578674484</v>
      </c>
      <c r="K178" s="37"/>
      <c r="L178" s="26">
        <v>70.215337874699998</v>
      </c>
      <c r="M178" s="26" t="s">
        <v>204</v>
      </c>
      <c r="N178" s="26">
        <v>514.18436487804865</v>
      </c>
      <c r="O178" s="95">
        <f t="shared" si="12"/>
        <v>36103.628909800216</v>
      </c>
      <c r="P178" s="97">
        <f t="shared" si="13"/>
        <v>2171.7688331619943</v>
      </c>
      <c r="Q178" s="197">
        <v>7.1235281211146056E-2</v>
      </c>
    </row>
    <row r="179" spans="1:17" x14ac:dyDescent="0.25">
      <c r="A179" s="254">
        <v>42697</v>
      </c>
      <c r="B179" s="254" t="s">
        <v>183</v>
      </c>
      <c r="C179" s="210">
        <v>11248784</v>
      </c>
      <c r="D179" s="115" t="s">
        <v>285</v>
      </c>
      <c r="E179" s="34">
        <f t="shared" si="10"/>
        <v>42697</v>
      </c>
      <c r="F179" s="108" t="str">
        <f t="shared" si="14"/>
        <v>2016-17</v>
      </c>
      <c r="H179" s="119"/>
      <c r="I179" s="26"/>
      <c r="J179" s="101">
        <f t="shared" si="11"/>
        <v>0.84443766578674484</v>
      </c>
      <c r="K179" s="37"/>
      <c r="L179" s="26">
        <v>129.698472528</v>
      </c>
      <c r="M179" s="26" t="s">
        <v>204</v>
      </c>
      <c r="N179" s="26">
        <v>621.96155034146341</v>
      </c>
      <c r="O179" s="95">
        <f t="shared" si="12"/>
        <v>80667.463050434584</v>
      </c>
      <c r="P179" s="97">
        <f t="shared" si="13"/>
        <v>50443.65628447997</v>
      </c>
      <c r="Q179" s="197">
        <v>0.74052642818271375</v>
      </c>
    </row>
    <row r="180" spans="1:17" x14ac:dyDescent="0.25">
      <c r="A180" s="254">
        <v>43691</v>
      </c>
      <c r="B180" s="254" t="s">
        <v>183</v>
      </c>
      <c r="C180" s="210">
        <v>11401655</v>
      </c>
      <c r="D180" s="115" t="s">
        <v>285</v>
      </c>
      <c r="E180" s="34">
        <f t="shared" si="10"/>
        <v>43691</v>
      </c>
      <c r="F180" s="108" t="str">
        <f t="shared" si="14"/>
        <v>2019-20</v>
      </c>
      <c r="H180" s="119"/>
      <c r="I180" s="26"/>
      <c r="J180" s="101">
        <f t="shared" si="11"/>
        <v>0.84443766578674484</v>
      </c>
      <c r="K180" s="37"/>
      <c r="L180" s="26">
        <v>42.191033218299999</v>
      </c>
      <c r="M180" s="26" t="s">
        <v>204</v>
      </c>
      <c r="N180" s="26">
        <v>470.74786858536584</v>
      </c>
      <c r="O180" s="95">
        <f t="shared" si="12"/>
        <v>19861.338960929093</v>
      </c>
      <c r="P180" s="97">
        <f t="shared" si="13"/>
        <v>1194.7341096369175</v>
      </c>
      <c r="Q180" s="197">
        <v>7.1235281211146056E-2</v>
      </c>
    </row>
    <row r="181" spans="1:17" x14ac:dyDescent="0.25">
      <c r="A181" s="254">
        <v>42697</v>
      </c>
      <c r="B181" s="254" t="s">
        <v>183</v>
      </c>
      <c r="C181" s="210">
        <v>11247706</v>
      </c>
      <c r="D181" s="115" t="s">
        <v>285</v>
      </c>
      <c r="E181" s="34">
        <f t="shared" si="10"/>
        <v>42697</v>
      </c>
      <c r="F181" s="108" t="str">
        <f t="shared" si="14"/>
        <v>2016-17</v>
      </c>
      <c r="H181" s="119"/>
      <c r="I181" s="26"/>
      <c r="J181" s="101">
        <f t="shared" si="11"/>
        <v>0.84443766578674484</v>
      </c>
      <c r="K181" s="37"/>
      <c r="L181" s="26">
        <v>22.400527998099999</v>
      </c>
      <c r="M181" s="26" t="s">
        <v>204</v>
      </c>
      <c r="N181" s="26">
        <v>514.18436487804865</v>
      </c>
      <c r="O181" s="95">
        <f t="shared" si="12"/>
        <v>11518.001261635995</v>
      </c>
      <c r="P181" s="97">
        <f t="shared" si="13"/>
        <v>7202.5333976713255</v>
      </c>
      <c r="Q181" s="197">
        <v>0.74052642818271375</v>
      </c>
    </row>
    <row r="182" spans="1:17" x14ac:dyDescent="0.25">
      <c r="A182" s="254">
        <v>43907</v>
      </c>
      <c r="B182" s="254" t="s">
        <v>183</v>
      </c>
      <c r="C182" s="210">
        <v>11429739</v>
      </c>
      <c r="D182" s="115" t="s">
        <v>285</v>
      </c>
      <c r="E182" s="34">
        <f t="shared" si="10"/>
        <v>43907</v>
      </c>
      <c r="F182" s="108" t="str">
        <f t="shared" si="14"/>
        <v>2019-20</v>
      </c>
      <c r="H182" s="119"/>
      <c r="I182" s="26"/>
      <c r="J182" s="101">
        <f t="shared" si="11"/>
        <v>0.84443766578674484</v>
      </c>
      <c r="K182" s="37"/>
      <c r="L182" s="26">
        <v>164.455957837</v>
      </c>
      <c r="M182" s="26" t="s">
        <v>204</v>
      </c>
      <c r="N182" s="26">
        <v>621.96155034146341</v>
      </c>
      <c r="O182" s="95">
        <f t="shared" si="12"/>
        <v>102285.28249919086</v>
      </c>
      <c r="P182" s="97">
        <f t="shared" si="13"/>
        <v>11116.646281868661</v>
      </c>
      <c r="Q182" s="197">
        <v>0.12870429546907061</v>
      </c>
    </row>
    <row r="183" spans="1:17" x14ac:dyDescent="0.25">
      <c r="A183" s="254">
        <v>43907</v>
      </c>
      <c r="B183" s="254" t="s">
        <v>183</v>
      </c>
      <c r="C183" s="210">
        <v>11429734</v>
      </c>
      <c r="D183" s="115" t="s">
        <v>285</v>
      </c>
      <c r="E183" s="34">
        <f t="shared" si="10"/>
        <v>43907</v>
      </c>
      <c r="F183" s="108" t="str">
        <f t="shared" si="14"/>
        <v>2019-20</v>
      </c>
      <c r="H183" s="119"/>
      <c r="I183" s="26"/>
      <c r="J183" s="101">
        <f t="shared" si="11"/>
        <v>0.84443766578674484</v>
      </c>
      <c r="K183" s="37"/>
      <c r="L183" s="26">
        <v>55.5945018241</v>
      </c>
      <c r="M183" s="26" t="s">
        <v>204</v>
      </c>
      <c r="N183" s="26">
        <v>470.74786858536584</v>
      </c>
      <c r="O183" s="95">
        <f t="shared" si="12"/>
        <v>26170.993238760308</v>
      </c>
      <c r="P183" s="97">
        <f t="shared" si="13"/>
        <v>2844.3356421563012</v>
      </c>
      <c r="Q183" s="197">
        <v>0.12870429546907061</v>
      </c>
    </row>
    <row r="184" spans="1:17" x14ac:dyDescent="0.25">
      <c r="A184" s="254">
        <v>43907</v>
      </c>
      <c r="B184" s="254" t="s">
        <v>183</v>
      </c>
      <c r="C184" s="210">
        <v>11429749</v>
      </c>
      <c r="D184" s="115" t="s">
        <v>285</v>
      </c>
      <c r="E184" s="34">
        <f t="shared" si="10"/>
        <v>43907</v>
      </c>
      <c r="F184" s="108" t="str">
        <f t="shared" si="14"/>
        <v>2019-20</v>
      </c>
      <c r="H184" s="119"/>
      <c r="I184" s="26"/>
      <c r="J184" s="101">
        <f t="shared" si="11"/>
        <v>0.84443766578674484</v>
      </c>
      <c r="K184" s="37"/>
      <c r="L184" s="26">
        <v>22.4218770453</v>
      </c>
      <c r="M184" s="26" t="s">
        <v>204</v>
      </c>
      <c r="N184" s="26">
        <v>514.18436487804865</v>
      </c>
      <c r="O184" s="95">
        <f t="shared" si="12"/>
        <v>11528.978607911278</v>
      </c>
      <c r="P184" s="97">
        <f t="shared" si="13"/>
        <v>1253.0011556295415</v>
      </c>
      <c r="Q184" s="197">
        <v>0.12870429546907061</v>
      </c>
    </row>
    <row r="185" spans="1:17" x14ac:dyDescent="0.25">
      <c r="A185" s="254">
        <v>43907</v>
      </c>
      <c r="B185" s="254" t="s">
        <v>183</v>
      </c>
      <c r="C185" s="210">
        <v>11429735</v>
      </c>
      <c r="D185" s="115" t="s">
        <v>285</v>
      </c>
      <c r="E185" s="34">
        <f t="shared" si="10"/>
        <v>43907</v>
      </c>
      <c r="F185" s="108" t="str">
        <f t="shared" si="14"/>
        <v>2019-20</v>
      </c>
      <c r="H185" s="119"/>
      <c r="I185" s="26"/>
      <c r="J185" s="101">
        <f t="shared" si="11"/>
        <v>0.84443766578674484</v>
      </c>
      <c r="K185" s="37"/>
      <c r="L185" s="26">
        <v>9.0524756452399995</v>
      </c>
      <c r="M185" s="26" t="s">
        <v>204</v>
      </c>
      <c r="N185" s="26">
        <v>514.18436487804865</v>
      </c>
      <c r="O185" s="95">
        <f t="shared" si="12"/>
        <v>4654.6414402217324</v>
      </c>
      <c r="P185" s="97">
        <f t="shared" si="13"/>
        <v>505.87925452796247</v>
      </c>
      <c r="Q185" s="197">
        <v>0.12870429546907061</v>
      </c>
    </row>
    <row r="186" spans="1:17" x14ac:dyDescent="0.25">
      <c r="A186" s="254">
        <v>43907</v>
      </c>
      <c r="B186" s="254" t="s">
        <v>183</v>
      </c>
      <c r="C186" s="210">
        <v>11429742</v>
      </c>
      <c r="D186" s="115" t="s">
        <v>285</v>
      </c>
      <c r="E186" s="34">
        <f t="shared" si="10"/>
        <v>43907</v>
      </c>
      <c r="F186" s="108" t="str">
        <f t="shared" si="14"/>
        <v>2019-20</v>
      </c>
      <c r="H186" s="119"/>
      <c r="I186" s="26"/>
      <c r="J186" s="101">
        <f t="shared" si="11"/>
        <v>0.84443766578674484</v>
      </c>
      <c r="K186" s="37"/>
      <c r="L186" s="26">
        <v>89.623130960300003</v>
      </c>
      <c r="M186" s="26" t="s">
        <v>204</v>
      </c>
      <c r="N186" s="26">
        <v>621.96155034146341</v>
      </c>
      <c r="O186" s="95">
        <f t="shared" si="12"/>
        <v>55742.141478524201</v>
      </c>
      <c r="P186" s="97">
        <f t="shared" si="13"/>
        <v>6058.2094967136154</v>
      </c>
      <c r="Q186" s="197">
        <v>0.12870429546907061</v>
      </c>
    </row>
    <row r="187" spans="1:17" x14ac:dyDescent="0.25">
      <c r="A187" s="254">
        <v>43907</v>
      </c>
      <c r="B187" s="254" t="s">
        <v>183</v>
      </c>
      <c r="C187" s="210">
        <v>11429763</v>
      </c>
      <c r="D187" s="115" t="s">
        <v>285</v>
      </c>
      <c r="E187" s="34">
        <f t="shared" si="10"/>
        <v>43907</v>
      </c>
      <c r="F187" s="108" t="str">
        <f t="shared" si="14"/>
        <v>2019-20</v>
      </c>
      <c r="H187" s="119"/>
      <c r="I187" s="26"/>
      <c r="J187" s="101">
        <f t="shared" si="11"/>
        <v>0.84443766578674484</v>
      </c>
      <c r="K187" s="37"/>
      <c r="L187" s="26">
        <v>160.32538393199999</v>
      </c>
      <c r="M187" s="26" t="s">
        <v>204</v>
      </c>
      <c r="N187" s="26">
        <v>514.18436487804865</v>
      </c>
      <c r="O187" s="95">
        <f t="shared" si="12"/>
        <v>82436.805710904722</v>
      </c>
      <c r="P187" s="97">
        <f t="shared" si="13"/>
        <v>8959.4591450877379</v>
      </c>
      <c r="Q187" s="197">
        <v>0.12870429546907061</v>
      </c>
    </row>
    <row r="188" spans="1:17" x14ac:dyDescent="0.25">
      <c r="A188" s="254">
        <v>43907</v>
      </c>
      <c r="B188" s="254" t="s">
        <v>183</v>
      </c>
      <c r="C188" s="210">
        <v>11429751</v>
      </c>
      <c r="D188" s="115" t="s">
        <v>285</v>
      </c>
      <c r="E188" s="34">
        <f t="shared" si="10"/>
        <v>43907</v>
      </c>
      <c r="F188" s="108" t="str">
        <f t="shared" si="14"/>
        <v>2019-20</v>
      </c>
      <c r="H188" s="119"/>
      <c r="I188" s="26"/>
      <c r="J188" s="101">
        <f t="shared" si="11"/>
        <v>0.84443766578674484</v>
      </c>
      <c r="K188" s="37"/>
      <c r="L188" s="26">
        <v>128.199034015</v>
      </c>
      <c r="M188" s="26" t="s">
        <v>204</v>
      </c>
      <c r="N188" s="26">
        <v>514.18436487804865</v>
      </c>
      <c r="O188" s="95">
        <f t="shared" si="12"/>
        <v>65917.938882982126</v>
      </c>
      <c r="P188" s="97">
        <f t="shared" si="13"/>
        <v>7164.1431913505821</v>
      </c>
      <c r="Q188" s="197">
        <v>0.12870429546907061</v>
      </c>
    </row>
    <row r="189" spans="1:17" x14ac:dyDescent="0.25">
      <c r="A189" s="254">
        <v>43907</v>
      </c>
      <c r="B189" s="254" t="s">
        <v>183</v>
      </c>
      <c r="C189" s="210">
        <v>11429861</v>
      </c>
      <c r="D189" s="115" t="s">
        <v>285</v>
      </c>
      <c r="E189" s="34">
        <f t="shared" si="10"/>
        <v>43907</v>
      </c>
      <c r="F189" s="108" t="str">
        <f t="shared" si="14"/>
        <v>2019-20</v>
      </c>
      <c r="H189" s="119"/>
      <c r="I189" s="26"/>
      <c r="J189" s="101">
        <f t="shared" si="11"/>
        <v>0.84443766578674484</v>
      </c>
      <c r="K189" s="37"/>
      <c r="L189" s="26">
        <v>30.1427111424</v>
      </c>
      <c r="M189" s="26" t="s">
        <v>204</v>
      </c>
      <c r="N189" s="26">
        <v>514.18436487804865</v>
      </c>
      <c r="O189" s="95">
        <f t="shared" si="12"/>
        <v>15498.910784457425</v>
      </c>
      <c r="P189" s="97">
        <f t="shared" si="13"/>
        <v>1684.4643211149728</v>
      </c>
      <c r="Q189" s="197">
        <v>0.12870429546907061</v>
      </c>
    </row>
    <row r="190" spans="1:17" x14ac:dyDescent="0.25">
      <c r="A190" s="254">
        <v>43907</v>
      </c>
      <c r="B190" s="254" t="s">
        <v>183</v>
      </c>
      <c r="C190" s="210">
        <v>11429695</v>
      </c>
      <c r="D190" s="115" t="s">
        <v>285</v>
      </c>
      <c r="E190" s="34">
        <f t="shared" si="10"/>
        <v>43907</v>
      </c>
      <c r="F190" s="108" t="str">
        <f t="shared" si="14"/>
        <v>2019-20</v>
      </c>
      <c r="H190" s="119"/>
      <c r="I190" s="26"/>
      <c r="J190" s="101">
        <f t="shared" si="11"/>
        <v>0.84443766578674484</v>
      </c>
      <c r="K190" s="37"/>
      <c r="L190" s="26">
        <v>14.8583189781</v>
      </c>
      <c r="M190" s="26" t="s">
        <v>204</v>
      </c>
      <c r="N190" s="26">
        <v>621.96155034146341</v>
      </c>
      <c r="O190" s="95">
        <f t="shared" si="12"/>
        <v>9241.3031070870638</v>
      </c>
      <c r="P190" s="97">
        <f t="shared" si="13"/>
        <v>1004.3702800139737</v>
      </c>
      <c r="Q190" s="197">
        <v>0.12870429546907061</v>
      </c>
    </row>
    <row r="191" spans="1:17" x14ac:dyDescent="0.25">
      <c r="A191" s="254">
        <v>43907</v>
      </c>
      <c r="B191" s="254" t="s">
        <v>183</v>
      </c>
      <c r="C191" s="210">
        <v>11429862</v>
      </c>
      <c r="D191" s="115" t="s">
        <v>285</v>
      </c>
      <c r="E191" s="34">
        <f t="shared" si="10"/>
        <v>43907</v>
      </c>
      <c r="F191" s="108" t="str">
        <f t="shared" si="14"/>
        <v>2019-20</v>
      </c>
      <c r="H191" s="119"/>
      <c r="I191" s="26"/>
      <c r="J191" s="101">
        <f t="shared" si="11"/>
        <v>0.84443766578674484</v>
      </c>
      <c r="K191" s="37"/>
      <c r="L191" s="26">
        <v>5.9970746201800003</v>
      </c>
      <c r="M191" s="26" t="s">
        <v>204</v>
      </c>
      <c r="N191" s="26">
        <v>514.18436487804865</v>
      </c>
      <c r="O191" s="95">
        <f t="shared" si="12"/>
        <v>3083.6020047035181</v>
      </c>
      <c r="P191" s="97">
        <f t="shared" si="13"/>
        <v>335.13436070943334</v>
      </c>
      <c r="Q191" s="197">
        <v>0.12870429546907061</v>
      </c>
    </row>
    <row r="192" spans="1:17" x14ac:dyDescent="0.25">
      <c r="A192" s="254">
        <v>43907</v>
      </c>
      <c r="B192" s="254" t="s">
        <v>183</v>
      </c>
      <c r="C192" s="210">
        <v>11429756</v>
      </c>
      <c r="D192" s="115" t="s">
        <v>285</v>
      </c>
      <c r="E192" s="34">
        <f t="shared" si="10"/>
        <v>43907</v>
      </c>
      <c r="F192" s="108" t="str">
        <f t="shared" si="14"/>
        <v>2019-20</v>
      </c>
      <c r="H192" s="119"/>
      <c r="I192" s="26"/>
      <c r="J192" s="101">
        <f t="shared" si="11"/>
        <v>0.84443766578674484</v>
      </c>
      <c r="K192" s="37"/>
      <c r="L192" s="26">
        <v>1.9988221531699999</v>
      </c>
      <c r="M192" s="26" t="s">
        <v>204</v>
      </c>
      <c r="N192" s="26">
        <v>514.18436487804865</v>
      </c>
      <c r="O192" s="95">
        <f t="shared" si="12"/>
        <v>1027.7630993318901</v>
      </c>
      <c r="P192" s="97">
        <f t="shared" si="13"/>
        <v>111.70012496098889</v>
      </c>
      <c r="Q192" s="197">
        <v>0.12870429546907061</v>
      </c>
    </row>
    <row r="193" spans="1:17" x14ac:dyDescent="0.25">
      <c r="A193" s="254">
        <v>43907</v>
      </c>
      <c r="B193" s="254" t="s">
        <v>183</v>
      </c>
      <c r="C193" s="210">
        <v>11429759</v>
      </c>
      <c r="D193" s="115" t="s">
        <v>285</v>
      </c>
      <c r="E193" s="34">
        <f t="shared" si="10"/>
        <v>43907</v>
      </c>
      <c r="F193" s="108" t="str">
        <f t="shared" si="14"/>
        <v>2019-20</v>
      </c>
      <c r="H193" s="119"/>
      <c r="I193" s="26"/>
      <c r="J193" s="101">
        <f t="shared" si="11"/>
        <v>0.84443766578674484</v>
      </c>
      <c r="K193" s="37"/>
      <c r="L193" s="26">
        <v>5.2724517733600003</v>
      </c>
      <c r="M193" s="26" t="s">
        <v>204</v>
      </c>
      <c r="N193" s="26">
        <v>514.18436487804865</v>
      </c>
      <c r="O193" s="95">
        <f t="shared" si="12"/>
        <v>2711.012266435253</v>
      </c>
      <c r="P193" s="97">
        <f t="shared" si="13"/>
        <v>294.64028152834402</v>
      </c>
      <c r="Q193" s="197">
        <v>0.12870429546907061</v>
      </c>
    </row>
    <row r="194" spans="1:17" x14ac:dyDescent="0.25">
      <c r="A194" s="254">
        <v>43907</v>
      </c>
      <c r="B194" s="254" t="s">
        <v>183</v>
      </c>
      <c r="C194" s="210">
        <v>11429736</v>
      </c>
      <c r="D194" s="115" t="s">
        <v>285</v>
      </c>
      <c r="E194" s="34">
        <f t="shared" si="10"/>
        <v>43907</v>
      </c>
      <c r="F194" s="108" t="str">
        <f t="shared" si="14"/>
        <v>2019-20</v>
      </c>
      <c r="H194" s="119"/>
      <c r="I194" s="26"/>
      <c r="J194" s="101">
        <f t="shared" si="11"/>
        <v>0.84443766578674484</v>
      </c>
      <c r="K194" s="37"/>
      <c r="L194" s="26">
        <v>117.25590713699999</v>
      </c>
      <c r="M194" s="26" t="s">
        <v>204</v>
      </c>
      <c r="N194" s="26">
        <v>470.74786858536584</v>
      </c>
      <c r="O194" s="95">
        <f t="shared" si="12"/>
        <v>55197.968363786335</v>
      </c>
      <c r="P194" s="97">
        <f t="shared" si="13"/>
        <v>5999.0672634926095</v>
      </c>
      <c r="Q194" s="197">
        <v>0.12870429546907061</v>
      </c>
    </row>
    <row r="195" spans="1:17" x14ac:dyDescent="0.25">
      <c r="A195" s="254">
        <v>43907</v>
      </c>
      <c r="B195" s="254" t="s">
        <v>183</v>
      </c>
      <c r="C195" s="210">
        <v>11429737</v>
      </c>
      <c r="D195" s="115" t="s">
        <v>285</v>
      </c>
      <c r="E195" s="34">
        <f t="shared" si="10"/>
        <v>43907</v>
      </c>
      <c r="F195" s="108" t="str">
        <f t="shared" si="14"/>
        <v>2019-20</v>
      </c>
      <c r="H195" s="119"/>
      <c r="I195" s="26"/>
      <c r="J195" s="101">
        <f t="shared" si="11"/>
        <v>0.84443766578674484</v>
      </c>
      <c r="K195" s="37"/>
      <c r="L195" s="26">
        <v>20.4350778399</v>
      </c>
      <c r="M195" s="26" t="s">
        <v>204</v>
      </c>
      <c r="N195" s="26">
        <v>470.74786858536584</v>
      </c>
      <c r="O195" s="95">
        <f t="shared" si="12"/>
        <v>9619.7693375089675</v>
      </c>
      <c r="P195" s="97">
        <f t="shared" si="13"/>
        <v>1045.5030325511316</v>
      </c>
      <c r="Q195" s="197">
        <v>0.12870429546907061</v>
      </c>
    </row>
    <row r="196" spans="1:17" x14ac:dyDescent="0.25">
      <c r="A196" s="254">
        <v>43907</v>
      </c>
      <c r="B196" s="254" t="s">
        <v>183</v>
      </c>
      <c r="C196" s="210">
        <v>11429723</v>
      </c>
      <c r="D196" s="115" t="s">
        <v>285</v>
      </c>
      <c r="E196" s="34">
        <f t="shared" si="10"/>
        <v>43907</v>
      </c>
      <c r="F196" s="108" t="str">
        <f t="shared" si="14"/>
        <v>2019-20</v>
      </c>
      <c r="H196" s="119"/>
      <c r="I196" s="26"/>
      <c r="J196" s="101">
        <f t="shared" si="11"/>
        <v>0.84443766578674484</v>
      </c>
      <c r="K196" s="37"/>
      <c r="L196" s="26">
        <v>2.9039946642599999</v>
      </c>
      <c r="M196" s="26" t="s">
        <v>204</v>
      </c>
      <c r="N196" s="26">
        <v>621.96155034146341</v>
      </c>
      <c r="O196" s="95">
        <f t="shared" si="12"/>
        <v>1806.173023566487</v>
      </c>
      <c r="P196" s="97">
        <f t="shared" si="13"/>
        <v>196.2998599236474</v>
      </c>
      <c r="Q196" s="197">
        <v>0.12870429546907061</v>
      </c>
    </row>
    <row r="197" spans="1:17" x14ac:dyDescent="0.25">
      <c r="A197" s="254">
        <v>43907</v>
      </c>
      <c r="B197" s="254" t="s">
        <v>183</v>
      </c>
      <c r="C197" s="210">
        <v>11429721</v>
      </c>
      <c r="D197" s="115" t="s">
        <v>285</v>
      </c>
      <c r="E197" s="34">
        <f t="shared" si="10"/>
        <v>43907</v>
      </c>
      <c r="F197" s="108" t="str">
        <f t="shared" si="14"/>
        <v>2019-20</v>
      </c>
      <c r="H197" s="119"/>
      <c r="I197" s="26"/>
      <c r="J197" s="101">
        <f t="shared" si="11"/>
        <v>0.84443766578674484</v>
      </c>
      <c r="K197" s="37"/>
      <c r="L197" s="26">
        <v>4.9326610968300004</v>
      </c>
      <c r="M197" s="26" t="s">
        <v>204</v>
      </c>
      <c r="N197" s="26">
        <v>621.96155034146341</v>
      </c>
      <c r="O197" s="95">
        <f t="shared" si="12"/>
        <v>3067.9255430934104</v>
      </c>
      <c r="P197" s="97">
        <f t="shared" si="13"/>
        <v>333.43059967546213</v>
      </c>
      <c r="Q197" s="197">
        <v>0.12870429546907061</v>
      </c>
    </row>
    <row r="198" spans="1:17" x14ac:dyDescent="0.25">
      <c r="A198" s="254">
        <v>42697</v>
      </c>
      <c r="B198" s="254" t="s">
        <v>183</v>
      </c>
      <c r="C198" s="210">
        <v>11248562</v>
      </c>
      <c r="D198" s="115" t="s">
        <v>285</v>
      </c>
      <c r="E198" s="34">
        <f t="shared" si="10"/>
        <v>42697</v>
      </c>
      <c r="F198" s="108" t="str">
        <f t="shared" si="14"/>
        <v>2016-17</v>
      </c>
      <c r="H198" s="119"/>
      <c r="I198" s="26"/>
      <c r="J198" s="101">
        <f t="shared" si="11"/>
        <v>0.84443766578674484</v>
      </c>
      <c r="K198" s="37"/>
      <c r="L198" s="26">
        <v>326.37302197700001</v>
      </c>
      <c r="M198" s="26" t="s">
        <v>204</v>
      </c>
      <c r="N198" s="26">
        <v>621.96155034146341</v>
      </c>
      <c r="O198" s="95">
        <f t="shared" si="12"/>
        <v>202991.47073844343</v>
      </c>
      <c r="P198" s="97">
        <f t="shared" si="13"/>
        <v>126936.33332945072</v>
      </c>
      <c r="Q198" s="197">
        <v>0.74052642818271375</v>
      </c>
    </row>
    <row r="199" spans="1:17" x14ac:dyDescent="0.25">
      <c r="A199" s="254">
        <v>42697</v>
      </c>
      <c r="B199" s="254" t="s">
        <v>183</v>
      </c>
      <c r="C199" s="210">
        <v>11247793</v>
      </c>
      <c r="D199" s="115" t="s">
        <v>285</v>
      </c>
      <c r="E199" s="34">
        <f t="shared" si="10"/>
        <v>42697</v>
      </c>
      <c r="F199" s="108" t="str">
        <f t="shared" si="14"/>
        <v>2016-17</v>
      </c>
      <c r="H199" s="119"/>
      <c r="I199" s="26"/>
      <c r="J199" s="101">
        <f t="shared" si="11"/>
        <v>0.84443766578674484</v>
      </c>
      <c r="K199" s="37"/>
      <c r="L199" s="26">
        <v>149.22251340599999</v>
      </c>
      <c r="M199" s="26" t="s">
        <v>204</v>
      </c>
      <c r="N199" s="26">
        <v>621.96155034146341</v>
      </c>
      <c r="O199" s="95">
        <f t="shared" si="12"/>
        <v>92810.665783845558</v>
      </c>
      <c r="P199" s="97">
        <f t="shared" si="13"/>
        <v>58037.145923468197</v>
      </c>
      <c r="Q199" s="197">
        <v>0.74052642818271375</v>
      </c>
    </row>
    <row r="200" spans="1:17" x14ac:dyDescent="0.25">
      <c r="A200" s="254">
        <v>42697</v>
      </c>
      <c r="B200" s="254" t="s">
        <v>183</v>
      </c>
      <c r="C200" s="210">
        <v>11247743</v>
      </c>
      <c r="D200" s="115" t="s">
        <v>285</v>
      </c>
      <c r="E200" s="34">
        <f t="shared" si="10"/>
        <v>42697</v>
      </c>
      <c r="F200" s="108" t="str">
        <f t="shared" si="14"/>
        <v>2016-17</v>
      </c>
      <c r="H200" s="119"/>
      <c r="I200" s="26"/>
      <c r="J200" s="101">
        <f t="shared" si="11"/>
        <v>0.84443766578674484</v>
      </c>
      <c r="K200" s="37"/>
      <c r="L200" s="26">
        <v>25.664509502400001</v>
      </c>
      <c r="M200" s="26" t="s">
        <v>204</v>
      </c>
      <c r="N200" s="26">
        <v>936.5640883902438</v>
      </c>
      <c r="O200" s="95">
        <f t="shared" si="12"/>
        <v>24036.457946098006</v>
      </c>
      <c r="P200" s="97">
        <f t="shared" si="13"/>
        <v>15030.67999264163</v>
      </c>
      <c r="Q200" s="197">
        <v>0.74052642818271375</v>
      </c>
    </row>
    <row r="201" spans="1:17" x14ac:dyDescent="0.25">
      <c r="A201" s="254">
        <v>42697</v>
      </c>
      <c r="B201" s="254" t="s">
        <v>183</v>
      </c>
      <c r="C201" s="210">
        <v>11248752</v>
      </c>
      <c r="D201" s="115" t="s">
        <v>285</v>
      </c>
      <c r="E201" s="34">
        <f t="shared" si="10"/>
        <v>42697</v>
      </c>
      <c r="F201" s="108" t="str">
        <f t="shared" si="14"/>
        <v>2016-17</v>
      </c>
      <c r="H201" s="119"/>
      <c r="I201" s="26"/>
      <c r="J201" s="101">
        <f t="shared" si="11"/>
        <v>0.84443766578674484</v>
      </c>
      <c r="K201" s="37"/>
      <c r="L201" s="26">
        <v>110.395323242</v>
      </c>
      <c r="M201" s="26" t="s">
        <v>204</v>
      </c>
      <c r="N201" s="26">
        <v>621.96155034146341</v>
      </c>
      <c r="O201" s="95">
        <f t="shared" si="12"/>
        <v>68661.646394041309</v>
      </c>
      <c r="P201" s="97">
        <f t="shared" si="13"/>
        <v>42936.078062378874</v>
      </c>
      <c r="Q201" s="197">
        <v>0.74052642818271375</v>
      </c>
    </row>
    <row r="202" spans="1:17" x14ac:dyDescent="0.25">
      <c r="A202" s="254">
        <v>42697</v>
      </c>
      <c r="B202" s="254" t="s">
        <v>183</v>
      </c>
      <c r="C202" s="210">
        <v>11247778</v>
      </c>
      <c r="D202" s="115" t="s">
        <v>285</v>
      </c>
      <c r="E202" s="34">
        <f t="shared" si="10"/>
        <v>42697</v>
      </c>
      <c r="F202" s="108" t="str">
        <f t="shared" si="14"/>
        <v>2016-17</v>
      </c>
      <c r="H202" s="119"/>
      <c r="I202" s="26"/>
      <c r="J202" s="101">
        <f t="shared" si="11"/>
        <v>0.84443766578674484</v>
      </c>
      <c r="K202" s="37"/>
      <c r="L202" s="26">
        <v>69.615082693800005</v>
      </c>
      <c r="M202" s="26" t="s">
        <v>204</v>
      </c>
      <c r="N202" s="26">
        <v>621.96155034146341</v>
      </c>
      <c r="O202" s="95">
        <f t="shared" si="12"/>
        <v>43297.904759385026</v>
      </c>
      <c r="P202" s="97">
        <f t="shared" si="13"/>
        <v>27075.409873185559</v>
      </c>
      <c r="Q202" s="197">
        <v>0.74052642818271375</v>
      </c>
    </row>
    <row r="203" spans="1:17" x14ac:dyDescent="0.25">
      <c r="A203" s="254">
        <v>43691</v>
      </c>
      <c r="B203" s="254" t="s">
        <v>183</v>
      </c>
      <c r="C203" s="210">
        <v>11401659</v>
      </c>
      <c r="D203" s="115" t="s">
        <v>285</v>
      </c>
      <c r="E203" s="34">
        <f t="shared" si="10"/>
        <v>43691</v>
      </c>
      <c r="F203" s="108" t="str">
        <f t="shared" si="14"/>
        <v>2019-20</v>
      </c>
      <c r="H203" s="119"/>
      <c r="I203" s="26"/>
      <c r="J203" s="101">
        <f t="shared" si="11"/>
        <v>0.84443766578674484</v>
      </c>
      <c r="K203" s="37"/>
      <c r="L203" s="26">
        <v>161.04650639400001</v>
      </c>
      <c r="M203" s="26" t="s">
        <v>204</v>
      </c>
      <c r="N203" s="26">
        <v>470.74786858536584</v>
      </c>
      <c r="O203" s="95">
        <f t="shared" si="12"/>
        <v>75812.299628094988</v>
      </c>
      <c r="P203" s="97">
        <f t="shared" si="13"/>
        <v>4560.3944665502177</v>
      </c>
      <c r="Q203" s="197">
        <v>7.1235281211146056E-2</v>
      </c>
    </row>
    <row r="204" spans="1:17" x14ac:dyDescent="0.25">
      <c r="A204" s="254">
        <v>42697</v>
      </c>
      <c r="B204" s="254" t="s">
        <v>183</v>
      </c>
      <c r="C204" s="210">
        <v>11247779</v>
      </c>
      <c r="D204" s="115" t="s">
        <v>285</v>
      </c>
      <c r="E204" s="34">
        <f t="shared" si="10"/>
        <v>42697</v>
      </c>
      <c r="F204" s="108" t="str">
        <f t="shared" si="14"/>
        <v>2016-17</v>
      </c>
      <c r="H204" s="119"/>
      <c r="I204" s="26"/>
      <c r="J204" s="101">
        <f t="shared" si="11"/>
        <v>0.84443766578674484</v>
      </c>
      <c r="K204" s="37"/>
      <c r="L204" s="26">
        <v>41.5302267446</v>
      </c>
      <c r="M204" s="26" t="s">
        <v>204</v>
      </c>
      <c r="N204" s="26">
        <v>696.6467060487804</v>
      </c>
      <c r="O204" s="95">
        <f t="shared" si="12"/>
        <v>28931.895663084553</v>
      </c>
      <c r="P204" s="97">
        <f t="shared" si="13"/>
        <v>18091.936268959078</v>
      </c>
      <c r="Q204" s="197">
        <v>0.74052642818271375</v>
      </c>
    </row>
    <row r="205" spans="1:17" x14ac:dyDescent="0.25">
      <c r="A205" s="254">
        <v>43691</v>
      </c>
      <c r="B205" s="254" t="s">
        <v>183</v>
      </c>
      <c r="C205" s="210">
        <v>11401642</v>
      </c>
      <c r="D205" s="115" t="s">
        <v>285</v>
      </c>
      <c r="E205" s="34">
        <f t="shared" si="10"/>
        <v>43691</v>
      </c>
      <c r="F205" s="108" t="str">
        <f t="shared" si="14"/>
        <v>2019-20</v>
      </c>
      <c r="H205" s="119"/>
      <c r="I205" s="26"/>
      <c r="J205" s="101">
        <f t="shared" si="11"/>
        <v>0.84443766578674484</v>
      </c>
      <c r="K205" s="37"/>
      <c r="L205" s="26">
        <v>1.1987410062199999</v>
      </c>
      <c r="M205" s="26" t="s">
        <v>204</v>
      </c>
      <c r="N205" s="26">
        <v>470.74786858536584</v>
      </c>
      <c r="O205" s="95">
        <f t="shared" si="12"/>
        <v>564.30477366394177</v>
      </c>
      <c r="P205" s="97">
        <f t="shared" si="13"/>
        <v>33.945050867593345</v>
      </c>
      <c r="Q205" s="197">
        <v>7.1235281211146056E-2</v>
      </c>
    </row>
    <row r="206" spans="1:17" x14ac:dyDescent="0.25">
      <c r="A206" s="254">
        <v>42697</v>
      </c>
      <c r="B206" s="254" t="s">
        <v>183</v>
      </c>
      <c r="C206" s="210">
        <v>11247716</v>
      </c>
      <c r="D206" s="115" t="s">
        <v>285</v>
      </c>
      <c r="E206" s="34">
        <f t="shared" si="10"/>
        <v>42697</v>
      </c>
      <c r="F206" s="108" t="str">
        <f t="shared" si="14"/>
        <v>2016-17</v>
      </c>
      <c r="H206" s="119"/>
      <c r="I206" s="26"/>
      <c r="J206" s="101">
        <f t="shared" si="11"/>
        <v>0.84443766578674484</v>
      </c>
      <c r="K206" s="37"/>
      <c r="L206" s="26">
        <v>11.6813520194</v>
      </c>
      <c r="M206" s="26" t="s">
        <v>204</v>
      </c>
      <c r="N206" s="26">
        <v>514.18436487804865</v>
      </c>
      <c r="O206" s="95">
        <f t="shared" si="12"/>
        <v>6006.3685690121001</v>
      </c>
      <c r="P206" s="97">
        <f t="shared" si="13"/>
        <v>3755.9528979325928</v>
      </c>
      <c r="Q206" s="197">
        <v>0.74052642818271375</v>
      </c>
    </row>
    <row r="207" spans="1:17" x14ac:dyDescent="0.25">
      <c r="A207" s="254">
        <v>42697</v>
      </c>
      <c r="B207" s="254" t="s">
        <v>183</v>
      </c>
      <c r="C207" s="210">
        <v>11248773</v>
      </c>
      <c r="D207" s="115" t="s">
        <v>285</v>
      </c>
      <c r="E207" s="34">
        <f t="shared" si="10"/>
        <v>42697</v>
      </c>
      <c r="F207" s="108" t="str">
        <f t="shared" si="14"/>
        <v>2016-17</v>
      </c>
      <c r="H207" s="119"/>
      <c r="I207" s="26"/>
      <c r="J207" s="101">
        <f t="shared" si="11"/>
        <v>0.84443766578674484</v>
      </c>
      <c r="K207" s="37"/>
      <c r="L207" s="26">
        <v>61.312424370099997</v>
      </c>
      <c r="M207" s="26" t="s">
        <v>204</v>
      </c>
      <c r="N207" s="26">
        <v>621.96155034146341</v>
      </c>
      <c r="O207" s="95">
        <f t="shared" si="12"/>
        <v>38133.970516421119</v>
      </c>
      <c r="P207" s="97">
        <f t="shared" si="13"/>
        <v>23846.255091599494</v>
      </c>
      <c r="Q207" s="197">
        <v>0.74052642818271375</v>
      </c>
    </row>
    <row r="208" spans="1:17" x14ac:dyDescent="0.25">
      <c r="A208" s="254">
        <v>42697</v>
      </c>
      <c r="B208" s="254" t="s">
        <v>183</v>
      </c>
      <c r="C208" s="210">
        <v>11247736</v>
      </c>
      <c r="D208" s="115" t="s">
        <v>285</v>
      </c>
      <c r="E208" s="34">
        <f t="shared" si="10"/>
        <v>42697</v>
      </c>
      <c r="F208" s="108" t="str">
        <f t="shared" si="14"/>
        <v>2016-17</v>
      </c>
      <c r="H208" s="119"/>
      <c r="I208" s="26"/>
      <c r="J208" s="101">
        <f t="shared" si="11"/>
        <v>0.84443766578674484</v>
      </c>
      <c r="K208" s="37"/>
      <c r="L208" s="26">
        <v>18.974683224100001</v>
      </c>
      <c r="M208" s="26" t="s">
        <v>204</v>
      </c>
      <c r="N208" s="26">
        <v>621.96155034146341</v>
      </c>
      <c r="O208" s="95">
        <f t="shared" si="12"/>
        <v>11801.523395299395</v>
      </c>
      <c r="P208" s="97">
        <f t="shared" si="13"/>
        <v>7379.8278422805124</v>
      </c>
      <c r="Q208" s="197">
        <v>0.74052642818271375</v>
      </c>
    </row>
    <row r="209" spans="1:17" x14ac:dyDescent="0.25">
      <c r="A209" s="254">
        <v>42697</v>
      </c>
      <c r="B209" s="254" t="s">
        <v>183</v>
      </c>
      <c r="C209" s="210">
        <v>11247717</v>
      </c>
      <c r="D209" s="115" t="s">
        <v>285</v>
      </c>
      <c r="E209" s="34">
        <f t="shared" si="10"/>
        <v>42697</v>
      </c>
      <c r="F209" s="108" t="str">
        <f t="shared" si="14"/>
        <v>2016-17</v>
      </c>
      <c r="H209" s="119"/>
      <c r="I209" s="26"/>
      <c r="J209" s="101">
        <f t="shared" si="11"/>
        <v>0.84443766578674484</v>
      </c>
      <c r="K209" s="37"/>
      <c r="L209" s="26">
        <v>28.158353378699999</v>
      </c>
      <c r="M209" s="26" t="s">
        <v>204</v>
      </c>
      <c r="N209" s="26">
        <v>514.18436487804865</v>
      </c>
      <c r="O209" s="95">
        <f t="shared" si="12"/>
        <v>14478.585048038514</v>
      </c>
      <c r="P209" s="97">
        <f t="shared" si="13"/>
        <v>9053.8705449585959</v>
      </c>
      <c r="Q209" s="197">
        <v>0.74052642818271375</v>
      </c>
    </row>
    <row r="210" spans="1:17" x14ac:dyDescent="0.25">
      <c r="A210" s="254">
        <v>42697</v>
      </c>
      <c r="B210" s="254" t="s">
        <v>183</v>
      </c>
      <c r="C210" s="210">
        <v>11247737</v>
      </c>
      <c r="D210" s="115" t="s">
        <v>285</v>
      </c>
      <c r="E210" s="34">
        <f t="shared" si="10"/>
        <v>42697</v>
      </c>
      <c r="F210" s="108" t="str">
        <f t="shared" si="14"/>
        <v>2016-17</v>
      </c>
      <c r="H210" s="119"/>
      <c r="I210" s="26"/>
      <c r="J210" s="101">
        <f t="shared" si="11"/>
        <v>0.84443766578674484</v>
      </c>
      <c r="K210" s="37"/>
      <c r="L210" s="26">
        <v>2.9979375777000001</v>
      </c>
      <c r="M210" s="26" t="s">
        <v>204</v>
      </c>
      <c r="N210" s="26">
        <v>936.5640883902438</v>
      </c>
      <c r="O210" s="95">
        <f t="shared" si="12"/>
        <v>2807.7606745094563</v>
      </c>
      <c r="P210" s="97">
        <f t="shared" si="13"/>
        <v>1755.7725139500544</v>
      </c>
      <c r="Q210" s="197">
        <v>0.74052642818271375</v>
      </c>
    </row>
    <row r="211" spans="1:17" x14ac:dyDescent="0.25">
      <c r="A211" s="254">
        <v>42697</v>
      </c>
      <c r="B211" s="254" t="s">
        <v>183</v>
      </c>
      <c r="C211" s="210">
        <v>11247788</v>
      </c>
      <c r="D211" s="115" t="s">
        <v>285</v>
      </c>
      <c r="E211" s="34">
        <f t="shared" si="10"/>
        <v>42697</v>
      </c>
      <c r="F211" s="108" t="str">
        <f t="shared" si="14"/>
        <v>2016-17</v>
      </c>
      <c r="H211" s="119"/>
      <c r="I211" s="26"/>
      <c r="J211" s="101">
        <f t="shared" si="11"/>
        <v>0.84443766578674484</v>
      </c>
      <c r="K211" s="37"/>
      <c r="L211" s="26">
        <v>28.277106898100001</v>
      </c>
      <c r="M211" s="26" t="s">
        <v>204</v>
      </c>
      <c r="N211" s="26">
        <v>514.18436487804865</v>
      </c>
      <c r="O211" s="95">
        <f t="shared" si="12"/>
        <v>14539.646250988239</v>
      </c>
      <c r="P211" s="97">
        <f t="shared" si="13"/>
        <v>9092.0538498182905</v>
      </c>
      <c r="Q211" s="197">
        <v>0.74052642818271375</v>
      </c>
    </row>
    <row r="212" spans="1:17" x14ac:dyDescent="0.25">
      <c r="A212" s="254">
        <v>42697</v>
      </c>
      <c r="B212" s="254" t="s">
        <v>183</v>
      </c>
      <c r="C212" s="210">
        <v>11247749</v>
      </c>
      <c r="D212" s="115" t="s">
        <v>285</v>
      </c>
      <c r="E212" s="34">
        <f t="shared" si="10"/>
        <v>42697</v>
      </c>
      <c r="F212" s="108" t="str">
        <f t="shared" si="14"/>
        <v>2016-17</v>
      </c>
      <c r="H212" s="119"/>
      <c r="I212" s="26"/>
      <c r="J212" s="101">
        <f t="shared" si="11"/>
        <v>0.84443766578674484</v>
      </c>
      <c r="K212" s="37"/>
      <c r="L212" s="26">
        <v>38.486758477599999</v>
      </c>
      <c r="M212" s="26" t="s">
        <v>204</v>
      </c>
      <c r="N212" s="26">
        <v>1181.2618378536583</v>
      </c>
      <c r="O212" s="95">
        <f t="shared" si="12"/>
        <v>45462.939052279638</v>
      </c>
      <c r="P212" s="97">
        <f t="shared" si="13"/>
        <v>28429.267321839998</v>
      </c>
      <c r="Q212" s="197">
        <v>0.74052642818271375</v>
      </c>
    </row>
    <row r="213" spans="1:17" x14ac:dyDescent="0.25">
      <c r="A213" s="254">
        <v>41830</v>
      </c>
      <c r="B213" s="254" t="s">
        <v>183</v>
      </c>
      <c r="C213" s="210">
        <v>11057103</v>
      </c>
      <c r="D213" s="115" t="s">
        <v>285</v>
      </c>
      <c r="E213" s="34">
        <f t="shared" si="10"/>
        <v>41830</v>
      </c>
      <c r="F213" s="108" t="str">
        <f t="shared" si="14"/>
        <v>2014-15</v>
      </c>
      <c r="H213" s="119"/>
      <c r="I213" s="26"/>
      <c r="J213" s="101">
        <f t="shared" si="11"/>
        <v>0.84443766578674484</v>
      </c>
      <c r="K213" s="37"/>
      <c r="L213" s="26">
        <v>35.891586660400002</v>
      </c>
      <c r="M213" s="26" t="s">
        <v>204</v>
      </c>
      <c r="N213" s="26">
        <v>1181.2618378536583</v>
      </c>
      <c r="O213" s="95">
        <f t="shared" si="12"/>
        <v>42397.361621947952</v>
      </c>
      <c r="P213" s="97">
        <f t="shared" si="13"/>
        <v>35801.929083554249</v>
      </c>
      <c r="Q213" s="197">
        <v>1</v>
      </c>
    </row>
    <row r="214" spans="1:17" x14ac:dyDescent="0.25">
      <c r="A214" s="254">
        <v>42697</v>
      </c>
      <c r="B214" s="254" t="s">
        <v>183</v>
      </c>
      <c r="C214" s="210">
        <v>11248795</v>
      </c>
      <c r="D214" s="115" t="s">
        <v>285</v>
      </c>
      <c r="E214" s="34">
        <f t="shared" ref="E214:E277" si="15">IF(A214&lt;2022,DATEVALUE("30 Jun "&amp;A214),A214)</f>
        <v>42697</v>
      </c>
      <c r="F214" s="108" t="str">
        <f t="shared" si="14"/>
        <v>2016-17</v>
      </c>
      <c r="H214" s="119"/>
      <c r="I214" s="26"/>
      <c r="J214" s="101">
        <f t="shared" ref="J214:J277" si="16">J213</f>
        <v>0.84443766578674484</v>
      </c>
      <c r="K214" s="37"/>
      <c r="L214" s="26">
        <v>298.78092236399999</v>
      </c>
      <c r="M214" s="26" t="s">
        <v>204</v>
      </c>
      <c r="N214" s="26">
        <v>621.96155034146341</v>
      </c>
      <c r="O214" s="95">
        <f t="shared" ref="O214:O277" si="17">IF(N214="","-",L214*N214)</f>
        <v>185830.24568596584</v>
      </c>
      <c r="P214" s="97">
        <f t="shared" ref="P214:P277" si="18">IF(O214="-","-",IF(OR(E214&lt;$E$15,E214&gt;$E$16),0,O214*J214))*Q214</f>
        <v>116204.93178002363</v>
      </c>
      <c r="Q214" s="197">
        <v>0.74052642818271375</v>
      </c>
    </row>
    <row r="215" spans="1:17" x14ac:dyDescent="0.25">
      <c r="A215" s="254">
        <v>41830</v>
      </c>
      <c r="B215" s="254" t="s">
        <v>183</v>
      </c>
      <c r="C215" s="210">
        <v>11057091</v>
      </c>
      <c r="D215" s="115" t="s">
        <v>285</v>
      </c>
      <c r="E215" s="34">
        <f t="shared" si="15"/>
        <v>41830</v>
      </c>
      <c r="F215" s="108" t="str">
        <f t="shared" ref="F215:F278" si="19">IF(E215="","-",IF(OR(E215&lt;$E$15,E215&gt;$E$16),"ERROR - date outside of range",IF(MONTH(E215)&gt;=7,YEAR(E215)&amp;"-"&amp;IF(YEAR(E215)=1999,"00",IF(AND(YEAR(E215)&gt;=2000,YEAR(E215)&lt;2009),"0","")&amp;RIGHT(YEAR(E215),2)+1),RIGHT(YEAR(E215),4)-1&amp;"-"&amp;RIGHT(YEAR(E215),2))))</f>
        <v>2014-15</v>
      </c>
      <c r="H215" s="119"/>
      <c r="I215" s="26"/>
      <c r="J215" s="101">
        <f t="shared" si="16"/>
        <v>0.84443766578674484</v>
      </c>
      <c r="K215" s="37"/>
      <c r="L215" s="26">
        <v>208.198430492</v>
      </c>
      <c r="M215" s="26" t="s">
        <v>204</v>
      </c>
      <c r="N215" s="26">
        <v>936.5640883902438</v>
      </c>
      <c r="O215" s="95">
        <f t="shared" si="17"/>
        <v>194991.17325801952</v>
      </c>
      <c r="P215" s="97">
        <f t="shared" si="18"/>
        <v>164657.89119502075</v>
      </c>
      <c r="Q215" s="197">
        <v>1</v>
      </c>
    </row>
    <row r="216" spans="1:17" x14ac:dyDescent="0.25">
      <c r="A216" s="254">
        <v>40214</v>
      </c>
      <c r="B216" s="254" t="s">
        <v>183</v>
      </c>
      <c r="C216" s="210">
        <v>9413344</v>
      </c>
      <c r="D216" s="115" t="s">
        <v>285</v>
      </c>
      <c r="E216" s="34">
        <f t="shared" si="15"/>
        <v>40214</v>
      </c>
      <c r="F216" s="108" t="str">
        <f t="shared" si="19"/>
        <v>2009-10</v>
      </c>
      <c r="H216" s="119"/>
      <c r="I216" s="26"/>
      <c r="J216" s="101">
        <f t="shared" si="16"/>
        <v>0.84443766578674484</v>
      </c>
      <c r="K216" s="37"/>
      <c r="L216" s="26">
        <v>3.6983996539000001</v>
      </c>
      <c r="M216" s="26" t="s">
        <v>204</v>
      </c>
      <c r="N216" s="26">
        <v>470.74786858536584</v>
      </c>
      <c r="O216" s="95">
        <f t="shared" si="17"/>
        <v>1741.0137542502798</v>
      </c>
      <c r="P216" s="97">
        <f t="shared" si="18"/>
        <v>502.65016037554187</v>
      </c>
      <c r="Q216" s="197">
        <v>0.34189757995287384</v>
      </c>
    </row>
    <row r="217" spans="1:17" x14ac:dyDescent="0.25">
      <c r="A217" s="254">
        <v>40214</v>
      </c>
      <c r="B217" s="254" t="s">
        <v>183</v>
      </c>
      <c r="C217" s="210">
        <v>9413879</v>
      </c>
      <c r="D217" s="115" t="s">
        <v>285</v>
      </c>
      <c r="E217" s="34">
        <f t="shared" si="15"/>
        <v>40214</v>
      </c>
      <c r="F217" s="108" t="str">
        <f t="shared" si="19"/>
        <v>2009-10</v>
      </c>
      <c r="H217" s="119"/>
      <c r="I217" s="26"/>
      <c r="J217" s="101">
        <f t="shared" si="16"/>
        <v>0.84443766578674484</v>
      </c>
      <c r="K217" s="37"/>
      <c r="L217" s="26">
        <v>51.472007878299998</v>
      </c>
      <c r="M217" s="26" t="s">
        <v>204</v>
      </c>
      <c r="N217" s="26">
        <v>470.74786858536584</v>
      </c>
      <c r="O217" s="95">
        <f t="shared" si="17"/>
        <v>24230.338000518881</v>
      </c>
      <c r="P217" s="97">
        <f t="shared" si="18"/>
        <v>6995.5698237198148</v>
      </c>
      <c r="Q217" s="197">
        <v>0.34189757995287384</v>
      </c>
    </row>
    <row r="218" spans="1:17" x14ac:dyDescent="0.25">
      <c r="A218" s="254">
        <v>40214</v>
      </c>
      <c r="B218" s="254" t="s">
        <v>183</v>
      </c>
      <c r="C218" s="210">
        <v>9413881</v>
      </c>
      <c r="D218" s="115" t="s">
        <v>285</v>
      </c>
      <c r="E218" s="34">
        <f t="shared" si="15"/>
        <v>40214</v>
      </c>
      <c r="F218" s="108" t="str">
        <f t="shared" si="19"/>
        <v>2009-10</v>
      </c>
      <c r="H218" s="119"/>
      <c r="I218" s="26"/>
      <c r="J218" s="101">
        <f t="shared" si="16"/>
        <v>0.84443766578674484</v>
      </c>
      <c r="K218" s="37"/>
      <c r="L218" s="26">
        <v>3.8978839075899998</v>
      </c>
      <c r="M218" s="26" t="s">
        <v>204</v>
      </c>
      <c r="N218" s="26">
        <v>470.74786858536584</v>
      </c>
      <c r="O218" s="95">
        <f t="shared" si="17"/>
        <v>1834.9205414911894</v>
      </c>
      <c r="P218" s="97">
        <f t="shared" si="18"/>
        <v>529.76210107776888</v>
      </c>
      <c r="Q218" s="197">
        <v>0.34189757995287384</v>
      </c>
    </row>
    <row r="219" spans="1:17" x14ac:dyDescent="0.25">
      <c r="A219" s="254">
        <v>42697</v>
      </c>
      <c r="B219" s="254" t="s">
        <v>183</v>
      </c>
      <c r="C219" s="210">
        <v>11248571</v>
      </c>
      <c r="D219" s="115" t="s">
        <v>285</v>
      </c>
      <c r="E219" s="34">
        <f t="shared" si="15"/>
        <v>42697</v>
      </c>
      <c r="F219" s="108" t="str">
        <f t="shared" si="19"/>
        <v>2016-17</v>
      </c>
      <c r="H219" s="119"/>
      <c r="I219" s="26"/>
      <c r="J219" s="101">
        <f t="shared" si="16"/>
        <v>0.84443766578674484</v>
      </c>
      <c r="K219" s="37"/>
      <c r="L219" s="26">
        <v>222.10359701600001</v>
      </c>
      <c r="M219" s="26" t="s">
        <v>204</v>
      </c>
      <c r="N219" s="26">
        <v>621.96155034146341</v>
      </c>
      <c r="O219" s="95">
        <f t="shared" si="17"/>
        <v>138139.897536487</v>
      </c>
      <c r="P219" s="97">
        <f t="shared" si="18"/>
        <v>86382.802272424888</v>
      </c>
      <c r="Q219" s="197">
        <v>0.74052642818271375</v>
      </c>
    </row>
    <row r="220" spans="1:17" x14ac:dyDescent="0.25">
      <c r="A220" s="254">
        <v>42697</v>
      </c>
      <c r="B220" s="254" t="s">
        <v>183</v>
      </c>
      <c r="C220" s="210">
        <v>11247676</v>
      </c>
      <c r="D220" s="115" t="s">
        <v>285</v>
      </c>
      <c r="E220" s="34">
        <f t="shared" si="15"/>
        <v>42697</v>
      </c>
      <c r="F220" s="108" t="str">
        <f t="shared" si="19"/>
        <v>2016-17</v>
      </c>
      <c r="H220" s="119"/>
      <c r="I220" s="26"/>
      <c r="J220" s="101">
        <f t="shared" si="16"/>
        <v>0.84443766578674484</v>
      </c>
      <c r="K220" s="37"/>
      <c r="L220" s="26">
        <v>2.4988497353799999</v>
      </c>
      <c r="M220" s="26" t="s">
        <v>204</v>
      </c>
      <c r="N220" s="26">
        <v>621.96155034146341</v>
      </c>
      <c r="O220" s="95">
        <f t="shared" si="17"/>
        <v>1554.1884554873004</v>
      </c>
      <c r="P220" s="97">
        <f t="shared" si="18"/>
        <v>971.87819332922254</v>
      </c>
      <c r="Q220" s="197">
        <v>0.74052642818271375</v>
      </c>
    </row>
    <row r="221" spans="1:17" x14ac:dyDescent="0.25">
      <c r="A221" s="254">
        <v>42697</v>
      </c>
      <c r="B221" s="254" t="s">
        <v>183</v>
      </c>
      <c r="C221" s="210">
        <v>11248568</v>
      </c>
      <c r="D221" s="115" t="s">
        <v>285</v>
      </c>
      <c r="E221" s="34">
        <f t="shared" si="15"/>
        <v>42697</v>
      </c>
      <c r="F221" s="108" t="str">
        <f t="shared" si="19"/>
        <v>2016-17</v>
      </c>
      <c r="H221" s="119"/>
      <c r="I221" s="26"/>
      <c r="J221" s="101">
        <f t="shared" si="16"/>
        <v>0.84443766578674484</v>
      </c>
      <c r="K221" s="37"/>
      <c r="L221" s="26">
        <v>25.1635232231</v>
      </c>
      <c r="M221" s="26" t="s">
        <v>204</v>
      </c>
      <c r="N221" s="26">
        <v>514.18436487804865</v>
      </c>
      <c r="O221" s="95">
        <f t="shared" si="17"/>
        <v>12938.690206563702</v>
      </c>
      <c r="P221" s="97">
        <f t="shared" si="18"/>
        <v>8090.9305545310608</v>
      </c>
      <c r="Q221" s="197">
        <v>0.74052642818271375</v>
      </c>
    </row>
    <row r="222" spans="1:17" x14ac:dyDescent="0.25">
      <c r="A222" s="254">
        <v>43907</v>
      </c>
      <c r="B222" s="254" t="s">
        <v>183</v>
      </c>
      <c r="C222" s="210">
        <v>11429694</v>
      </c>
      <c r="D222" s="115" t="s">
        <v>285</v>
      </c>
      <c r="E222" s="34">
        <f t="shared" si="15"/>
        <v>43907</v>
      </c>
      <c r="F222" s="108" t="str">
        <f t="shared" si="19"/>
        <v>2019-20</v>
      </c>
      <c r="H222" s="119"/>
      <c r="I222" s="26"/>
      <c r="J222" s="101">
        <f t="shared" si="16"/>
        <v>0.84443766578674484</v>
      </c>
      <c r="K222" s="37"/>
      <c r="L222" s="26">
        <v>160.79634983400001</v>
      </c>
      <c r="M222" s="26" t="s">
        <v>204</v>
      </c>
      <c r="N222" s="26">
        <v>621.96155034146341</v>
      </c>
      <c r="O222" s="95">
        <f t="shared" si="17"/>
        <v>100009.14703200296</v>
      </c>
      <c r="P222" s="97">
        <f t="shared" si="18"/>
        <v>10869.269608899667</v>
      </c>
      <c r="Q222" s="197">
        <v>0.12870429546907061</v>
      </c>
    </row>
    <row r="223" spans="1:17" x14ac:dyDescent="0.25">
      <c r="A223" s="254">
        <v>43907</v>
      </c>
      <c r="B223" s="254" t="s">
        <v>183</v>
      </c>
      <c r="C223" s="210">
        <v>11429717</v>
      </c>
      <c r="D223" s="115" t="s">
        <v>285</v>
      </c>
      <c r="E223" s="34">
        <f t="shared" si="15"/>
        <v>43907</v>
      </c>
      <c r="F223" s="108" t="str">
        <f t="shared" si="19"/>
        <v>2019-20</v>
      </c>
      <c r="H223" s="119"/>
      <c r="I223" s="26"/>
      <c r="J223" s="101">
        <f t="shared" si="16"/>
        <v>0.84443766578674484</v>
      </c>
      <c r="K223" s="37"/>
      <c r="L223" s="26">
        <v>45.161922220299999</v>
      </c>
      <c r="M223" s="26" t="s">
        <v>204</v>
      </c>
      <c r="N223" s="26">
        <v>621.96155034146341</v>
      </c>
      <c r="O223" s="95">
        <f t="shared" si="17"/>
        <v>28088.979160538373</v>
      </c>
      <c r="P223" s="97">
        <f t="shared" si="18"/>
        <v>3052.787635884521</v>
      </c>
      <c r="Q223" s="197">
        <v>0.12870429546907061</v>
      </c>
    </row>
    <row r="224" spans="1:17" x14ac:dyDescent="0.25">
      <c r="A224" s="254">
        <v>43762</v>
      </c>
      <c r="B224" s="254" t="s">
        <v>183</v>
      </c>
      <c r="C224" s="210">
        <v>11389413</v>
      </c>
      <c r="D224" s="115" t="s">
        <v>286</v>
      </c>
      <c r="E224" s="34">
        <f t="shared" si="15"/>
        <v>43762</v>
      </c>
      <c r="F224" s="108" t="str">
        <f t="shared" si="19"/>
        <v>2019-20</v>
      </c>
      <c r="H224" s="119"/>
      <c r="I224" s="26"/>
      <c r="J224" s="101">
        <f t="shared" si="16"/>
        <v>0.84443766578674484</v>
      </c>
      <c r="K224" s="37"/>
      <c r="L224" s="26">
        <v>2.6285937305</v>
      </c>
      <c r="M224" s="26" t="s">
        <v>204</v>
      </c>
      <c r="N224" s="26">
        <v>470.74786858536584</v>
      </c>
      <c r="O224" s="95">
        <f t="shared" si="17"/>
        <v>1237.4048960097305</v>
      </c>
      <c r="P224" s="97">
        <f t="shared" si="18"/>
        <v>251.92579693439583</v>
      </c>
      <c r="Q224" s="197">
        <v>0.24109778164662171</v>
      </c>
    </row>
    <row r="225" spans="1:17" x14ac:dyDescent="0.25">
      <c r="A225" s="254">
        <v>42725</v>
      </c>
      <c r="B225" s="254" t="s">
        <v>183</v>
      </c>
      <c r="C225" s="210">
        <v>11052357</v>
      </c>
      <c r="D225" s="115" t="s">
        <v>287</v>
      </c>
      <c r="E225" s="34">
        <f t="shared" si="15"/>
        <v>42725</v>
      </c>
      <c r="F225" s="108" t="str">
        <f t="shared" si="19"/>
        <v>2016-17</v>
      </c>
      <c r="H225" s="119"/>
      <c r="I225" s="26"/>
      <c r="J225" s="101">
        <f t="shared" si="16"/>
        <v>0.84443766578674484</v>
      </c>
      <c r="K225" s="37"/>
      <c r="L225" s="26">
        <v>1.4991230769999999</v>
      </c>
      <c r="M225" s="26" t="s">
        <v>204</v>
      </c>
      <c r="N225" s="26">
        <v>514.18436487804865</v>
      </c>
      <c r="O225" s="95">
        <f t="shared" si="17"/>
        <v>770.82564722127097</v>
      </c>
      <c r="P225" s="97">
        <f t="shared" si="18"/>
        <v>650.91421026808689</v>
      </c>
      <c r="Q225" s="197">
        <v>1</v>
      </c>
    </row>
    <row r="226" spans="1:17" x14ac:dyDescent="0.25">
      <c r="A226" s="254">
        <v>42725</v>
      </c>
      <c r="B226" s="254" t="s">
        <v>183</v>
      </c>
      <c r="C226" s="210">
        <v>11052433</v>
      </c>
      <c r="D226" s="115" t="s">
        <v>287</v>
      </c>
      <c r="E226" s="34">
        <f t="shared" si="15"/>
        <v>42725</v>
      </c>
      <c r="F226" s="108" t="str">
        <f t="shared" si="19"/>
        <v>2016-17</v>
      </c>
      <c r="H226" s="119"/>
      <c r="I226" s="26"/>
      <c r="J226" s="101">
        <f t="shared" si="16"/>
        <v>0.84443766578674484</v>
      </c>
      <c r="K226" s="37"/>
      <c r="L226" s="26">
        <v>1.49927449121</v>
      </c>
      <c r="M226" s="26" t="s">
        <v>204</v>
      </c>
      <c r="N226" s="26">
        <v>514.18436487804865</v>
      </c>
      <c r="O226" s="95">
        <f t="shared" si="17"/>
        <v>770.9035020406734</v>
      </c>
      <c r="P226" s="97">
        <f t="shared" si="18"/>
        <v>650.9799538100533</v>
      </c>
      <c r="Q226" s="197">
        <v>1</v>
      </c>
    </row>
    <row r="227" spans="1:17" x14ac:dyDescent="0.25">
      <c r="A227" s="254">
        <v>43762</v>
      </c>
      <c r="B227" s="254" t="s">
        <v>183</v>
      </c>
      <c r="C227" s="210">
        <v>11389430</v>
      </c>
      <c r="D227" s="115" t="s">
        <v>286</v>
      </c>
      <c r="E227" s="34">
        <f t="shared" si="15"/>
        <v>43762</v>
      </c>
      <c r="F227" s="108" t="str">
        <f t="shared" si="19"/>
        <v>2019-20</v>
      </c>
      <c r="H227" s="119"/>
      <c r="I227" s="26"/>
      <c r="J227" s="101">
        <f t="shared" si="16"/>
        <v>0.84443766578674484</v>
      </c>
      <c r="K227" s="37"/>
      <c r="L227" s="26">
        <v>186.62354293000001</v>
      </c>
      <c r="M227" s="26" t="s">
        <v>204</v>
      </c>
      <c r="N227" s="26">
        <v>514.18436487804865</v>
      </c>
      <c r="O227" s="95">
        <f t="shared" si="17"/>
        <v>95958.907892753297</v>
      </c>
      <c r="P227" s="97">
        <f t="shared" si="18"/>
        <v>19536.470577894059</v>
      </c>
      <c r="Q227" s="197">
        <v>0.24109778164662171</v>
      </c>
    </row>
    <row r="228" spans="1:17" x14ac:dyDescent="0.25">
      <c r="A228" s="254">
        <v>43762</v>
      </c>
      <c r="B228" s="254" t="s">
        <v>183</v>
      </c>
      <c r="C228" s="210">
        <v>11389410</v>
      </c>
      <c r="D228" s="115" t="s">
        <v>286</v>
      </c>
      <c r="E228" s="34">
        <f t="shared" si="15"/>
        <v>43762</v>
      </c>
      <c r="F228" s="108" t="str">
        <f t="shared" si="19"/>
        <v>2019-20</v>
      </c>
      <c r="H228" s="119"/>
      <c r="I228" s="26"/>
      <c r="J228" s="101">
        <f t="shared" si="16"/>
        <v>0.84443766578674484</v>
      </c>
      <c r="K228" s="37"/>
      <c r="L228" s="26">
        <v>2.8622092865500002</v>
      </c>
      <c r="M228" s="26" t="s">
        <v>204</v>
      </c>
      <c r="N228" s="26">
        <v>470.74786858536584</v>
      </c>
      <c r="O228" s="95">
        <f t="shared" si="17"/>
        <v>1347.3789210886532</v>
      </c>
      <c r="P228" s="97">
        <f t="shared" si="18"/>
        <v>274.315633922622</v>
      </c>
      <c r="Q228" s="197">
        <v>0.24109778164662171</v>
      </c>
    </row>
    <row r="229" spans="1:17" x14ac:dyDescent="0.25">
      <c r="A229" s="254">
        <v>43762</v>
      </c>
      <c r="B229" s="254" t="s">
        <v>183</v>
      </c>
      <c r="C229" s="210">
        <v>11389424</v>
      </c>
      <c r="D229" s="115" t="s">
        <v>286</v>
      </c>
      <c r="E229" s="34">
        <f t="shared" si="15"/>
        <v>43762</v>
      </c>
      <c r="F229" s="108" t="str">
        <f t="shared" si="19"/>
        <v>2019-20</v>
      </c>
      <c r="H229" s="119"/>
      <c r="I229" s="26"/>
      <c r="J229" s="101">
        <f t="shared" si="16"/>
        <v>0.84443766578674484</v>
      </c>
      <c r="K229" s="37"/>
      <c r="L229" s="26">
        <v>57.516233283299997</v>
      </c>
      <c r="M229" s="26" t="s">
        <v>204</v>
      </c>
      <c r="N229" s="26">
        <v>514.18436487804865</v>
      </c>
      <c r="O229" s="95">
        <f t="shared" si="17"/>
        <v>29573.947880951291</v>
      </c>
      <c r="P229" s="97">
        <f t="shared" si="18"/>
        <v>6021.0206153462259</v>
      </c>
      <c r="Q229" s="197">
        <v>0.24109778164662171</v>
      </c>
    </row>
    <row r="230" spans="1:17" x14ac:dyDescent="0.25">
      <c r="A230" s="254">
        <v>43762</v>
      </c>
      <c r="B230" s="254" t="s">
        <v>183</v>
      </c>
      <c r="C230" s="210">
        <v>11389411</v>
      </c>
      <c r="D230" s="115" t="s">
        <v>286</v>
      </c>
      <c r="E230" s="34">
        <f t="shared" si="15"/>
        <v>43762</v>
      </c>
      <c r="F230" s="108" t="str">
        <f t="shared" si="19"/>
        <v>2019-20</v>
      </c>
      <c r="H230" s="119"/>
      <c r="I230" s="26"/>
      <c r="J230" s="101">
        <f t="shared" si="16"/>
        <v>0.84443766578674484</v>
      </c>
      <c r="K230" s="37"/>
      <c r="L230" s="26">
        <v>3.2646427063300001</v>
      </c>
      <c r="M230" s="26" t="s">
        <v>204</v>
      </c>
      <c r="N230" s="26">
        <v>470.74786858536584</v>
      </c>
      <c r="O230" s="95">
        <f t="shared" si="17"/>
        <v>1536.823595697608</v>
      </c>
      <c r="P230" s="97">
        <f t="shared" si="18"/>
        <v>312.88506320138163</v>
      </c>
      <c r="Q230" s="197">
        <v>0.24109778164662171</v>
      </c>
    </row>
    <row r="231" spans="1:17" x14ac:dyDescent="0.25">
      <c r="A231" s="254">
        <v>43762</v>
      </c>
      <c r="B231" s="254" t="s">
        <v>183</v>
      </c>
      <c r="C231" s="210">
        <v>11389422</v>
      </c>
      <c r="D231" s="115" t="s">
        <v>286</v>
      </c>
      <c r="E231" s="34">
        <f t="shared" si="15"/>
        <v>43762</v>
      </c>
      <c r="F231" s="108" t="str">
        <f t="shared" si="19"/>
        <v>2019-20</v>
      </c>
      <c r="H231" s="119"/>
      <c r="I231" s="26"/>
      <c r="J231" s="101">
        <f t="shared" si="16"/>
        <v>0.84443766578674484</v>
      </c>
      <c r="K231" s="37"/>
      <c r="L231" s="26">
        <v>9.7831648731600005</v>
      </c>
      <c r="M231" s="26" t="s">
        <v>204</v>
      </c>
      <c r="N231" s="26">
        <v>514.18436487804865</v>
      </c>
      <c r="O231" s="95">
        <f t="shared" si="17"/>
        <v>5030.3504168030104</v>
      </c>
      <c r="P231" s="97">
        <f t="shared" si="18"/>
        <v>1024.1393433135431</v>
      </c>
      <c r="Q231" s="197">
        <v>0.24109778164662171</v>
      </c>
    </row>
    <row r="232" spans="1:17" x14ac:dyDescent="0.25">
      <c r="A232" s="254">
        <v>43762</v>
      </c>
      <c r="B232" s="254" t="s">
        <v>183</v>
      </c>
      <c r="C232" s="210">
        <v>11389406</v>
      </c>
      <c r="D232" s="115" t="s">
        <v>286</v>
      </c>
      <c r="E232" s="34">
        <f t="shared" si="15"/>
        <v>43762</v>
      </c>
      <c r="F232" s="108" t="str">
        <f t="shared" si="19"/>
        <v>2019-20</v>
      </c>
      <c r="H232" s="119"/>
      <c r="I232" s="26"/>
      <c r="J232" s="101">
        <f t="shared" si="16"/>
        <v>0.84443766578674484</v>
      </c>
      <c r="K232" s="37"/>
      <c r="L232" s="26">
        <v>16.846755540299998</v>
      </c>
      <c r="M232" s="26" t="s">
        <v>204</v>
      </c>
      <c r="N232" s="26">
        <v>514.18436487804865</v>
      </c>
      <c r="O232" s="95">
        <f t="shared" si="17"/>
        <v>8662.3382977449019</v>
      </c>
      <c r="P232" s="97">
        <f t="shared" si="18"/>
        <v>1763.5831941605325</v>
      </c>
      <c r="Q232" s="197">
        <v>0.24109778164662171</v>
      </c>
    </row>
    <row r="233" spans="1:17" x14ac:dyDescent="0.25">
      <c r="A233" s="254">
        <v>43762</v>
      </c>
      <c r="B233" s="254" t="s">
        <v>183</v>
      </c>
      <c r="C233" s="210">
        <v>11389409</v>
      </c>
      <c r="D233" s="115" t="s">
        <v>286</v>
      </c>
      <c r="E233" s="34">
        <f t="shared" si="15"/>
        <v>43762</v>
      </c>
      <c r="F233" s="108" t="str">
        <f t="shared" si="19"/>
        <v>2019-20</v>
      </c>
      <c r="H233" s="119"/>
      <c r="I233" s="26"/>
      <c r="J233" s="101">
        <f t="shared" si="16"/>
        <v>0.84443766578674484</v>
      </c>
      <c r="K233" s="37"/>
      <c r="L233" s="26">
        <v>2.9981582848200001</v>
      </c>
      <c r="M233" s="26" t="s">
        <v>204</v>
      </c>
      <c r="N233" s="26">
        <v>470.74786858536584</v>
      </c>
      <c r="O233" s="95">
        <f t="shared" si="17"/>
        <v>1411.3766222605714</v>
      </c>
      <c r="P233" s="97">
        <f t="shared" si="18"/>
        <v>287.34505696894723</v>
      </c>
      <c r="Q233" s="197">
        <v>0.24109778164662171</v>
      </c>
    </row>
    <row r="234" spans="1:17" x14ac:dyDescent="0.25">
      <c r="A234" s="254">
        <v>41534</v>
      </c>
      <c r="B234" s="254" t="s">
        <v>183</v>
      </c>
      <c r="C234" s="210">
        <v>10643091</v>
      </c>
      <c r="D234" s="115" t="s">
        <v>288</v>
      </c>
      <c r="E234" s="34">
        <f t="shared" si="15"/>
        <v>41534</v>
      </c>
      <c r="F234" s="108" t="str">
        <f t="shared" si="19"/>
        <v>2013-14</v>
      </c>
      <c r="H234" s="119"/>
      <c r="I234" s="26"/>
      <c r="J234" s="101">
        <f t="shared" si="16"/>
        <v>0.84443766578674484</v>
      </c>
      <c r="K234" s="37"/>
      <c r="L234" s="26">
        <v>282.06479171299998</v>
      </c>
      <c r="M234" s="26" t="s">
        <v>204</v>
      </c>
      <c r="N234" s="26">
        <v>696.6467060487804</v>
      </c>
      <c r="O234" s="95">
        <f t="shared" si="17"/>
        <v>196499.50803919678</v>
      </c>
      <c r="P234" s="97">
        <f t="shared" si="18"/>
        <v>165931.58589686302</v>
      </c>
      <c r="Q234" s="197">
        <v>1</v>
      </c>
    </row>
    <row r="235" spans="1:17" x14ac:dyDescent="0.25">
      <c r="A235" s="254">
        <v>41534</v>
      </c>
      <c r="B235" s="254" t="s">
        <v>183</v>
      </c>
      <c r="C235" s="210">
        <v>10435567</v>
      </c>
      <c r="D235" s="115" t="s">
        <v>289</v>
      </c>
      <c r="E235" s="34">
        <f t="shared" si="15"/>
        <v>41534</v>
      </c>
      <c r="F235" s="108" t="str">
        <f t="shared" si="19"/>
        <v>2013-14</v>
      </c>
      <c r="H235" s="119"/>
      <c r="I235" s="26"/>
      <c r="J235" s="101">
        <f t="shared" si="16"/>
        <v>0.84443766578674484</v>
      </c>
      <c r="K235" s="37"/>
      <c r="L235" s="26">
        <v>527.11906554999996</v>
      </c>
      <c r="M235" s="26" t="s">
        <v>204</v>
      </c>
      <c r="N235" s="26">
        <v>696.6467060487804</v>
      </c>
      <c r="O235" s="95">
        <f t="shared" si="17"/>
        <v>367215.76071091864</v>
      </c>
      <c r="P235" s="97">
        <f t="shared" si="18"/>
        <v>310090.81981483195</v>
      </c>
      <c r="Q235" s="197">
        <v>1</v>
      </c>
    </row>
    <row r="236" spans="1:17" x14ac:dyDescent="0.25">
      <c r="A236" s="254">
        <v>41534</v>
      </c>
      <c r="B236" s="254" t="s">
        <v>183</v>
      </c>
      <c r="C236" s="210">
        <v>10643027</v>
      </c>
      <c r="D236" s="115" t="s">
        <v>288</v>
      </c>
      <c r="E236" s="34">
        <f t="shared" si="15"/>
        <v>41534</v>
      </c>
      <c r="F236" s="108" t="str">
        <f t="shared" si="19"/>
        <v>2013-14</v>
      </c>
      <c r="H236" s="119"/>
      <c r="I236" s="26"/>
      <c r="J236" s="101">
        <f t="shared" si="16"/>
        <v>0.84443766578674484</v>
      </c>
      <c r="K236" s="37"/>
      <c r="L236" s="26">
        <v>42.2784021895</v>
      </c>
      <c r="M236" s="26" t="s">
        <v>204</v>
      </c>
      <c r="N236" s="26">
        <v>696.6467060487804</v>
      </c>
      <c r="O236" s="95">
        <f t="shared" si="17"/>
        <v>29453.109622320721</v>
      </c>
      <c r="P236" s="97">
        <f t="shared" si="18"/>
        <v>24871.315139633622</v>
      </c>
      <c r="Q236" s="197">
        <v>1</v>
      </c>
    </row>
    <row r="237" spans="1:17" x14ac:dyDescent="0.25">
      <c r="A237" s="254">
        <v>42874</v>
      </c>
      <c r="B237" s="254" t="s">
        <v>183</v>
      </c>
      <c r="C237" s="210">
        <v>10684445</v>
      </c>
      <c r="D237" s="115" t="s">
        <v>289</v>
      </c>
      <c r="E237" s="34">
        <f t="shared" si="15"/>
        <v>42874</v>
      </c>
      <c r="F237" s="108" t="str">
        <f t="shared" si="19"/>
        <v>2016-17</v>
      </c>
      <c r="H237" s="119"/>
      <c r="I237" s="26"/>
      <c r="J237" s="101">
        <f t="shared" si="16"/>
        <v>0.84443766578674484</v>
      </c>
      <c r="K237" s="37"/>
      <c r="L237" s="26">
        <v>593.59595784099997</v>
      </c>
      <c r="M237" s="26" t="s">
        <v>204</v>
      </c>
      <c r="N237" s="26">
        <v>621.96682926829249</v>
      </c>
      <c r="O237" s="95">
        <f t="shared" si="17"/>
        <v>369196.99576484179</v>
      </c>
      <c r="P237" s="97">
        <f t="shared" si="18"/>
        <v>311763.84931914171</v>
      </c>
      <c r="Q237" s="197">
        <v>1</v>
      </c>
    </row>
    <row r="238" spans="1:17" x14ac:dyDescent="0.25">
      <c r="A238" s="254">
        <v>41534</v>
      </c>
      <c r="B238" s="254" t="s">
        <v>183</v>
      </c>
      <c r="C238" s="210">
        <v>10643018</v>
      </c>
      <c r="D238" s="115" t="s">
        <v>289</v>
      </c>
      <c r="E238" s="34">
        <f t="shared" si="15"/>
        <v>41534</v>
      </c>
      <c r="F238" s="108" t="str">
        <f t="shared" si="19"/>
        <v>2013-14</v>
      </c>
      <c r="H238" s="119"/>
      <c r="I238" s="26"/>
      <c r="J238" s="101">
        <f t="shared" si="16"/>
        <v>0.84443766578674484</v>
      </c>
      <c r="K238" s="37"/>
      <c r="L238" s="26">
        <v>361.75908324699998</v>
      </c>
      <c r="M238" s="26" t="s">
        <v>204</v>
      </c>
      <c r="N238" s="26">
        <v>696.6467060487804</v>
      </c>
      <c r="O238" s="95">
        <f t="shared" si="17"/>
        <v>252018.27372724906</v>
      </c>
      <c r="P238" s="97">
        <f t="shared" si="18"/>
        <v>212813.72280184313</v>
      </c>
      <c r="Q238" s="197">
        <v>1</v>
      </c>
    </row>
    <row r="239" spans="1:17" x14ac:dyDescent="0.25">
      <c r="A239" s="254">
        <v>41534</v>
      </c>
      <c r="B239" s="254" t="s">
        <v>183</v>
      </c>
      <c r="C239" s="210">
        <v>11355866</v>
      </c>
      <c r="D239" s="115" t="s">
        <v>289</v>
      </c>
      <c r="E239" s="34">
        <f t="shared" si="15"/>
        <v>41534</v>
      </c>
      <c r="F239" s="108" t="str">
        <f t="shared" si="19"/>
        <v>2013-14</v>
      </c>
      <c r="H239" s="119"/>
      <c r="I239" s="26"/>
      <c r="J239" s="101">
        <f t="shared" si="16"/>
        <v>0.84443766578674484</v>
      </c>
      <c r="K239" s="37"/>
      <c r="L239" s="26">
        <v>88.272564865199996</v>
      </c>
      <c r="M239" s="26" t="s">
        <v>204</v>
      </c>
      <c r="N239" s="26">
        <v>696.6467060487804</v>
      </c>
      <c r="O239" s="95">
        <f t="shared" si="17"/>
        <v>61494.791547818881</v>
      </c>
      <c r="P239" s="97">
        <f t="shared" si="18"/>
        <v>51928.518232682618</v>
      </c>
      <c r="Q239" s="197">
        <v>1</v>
      </c>
    </row>
    <row r="240" spans="1:17" x14ac:dyDescent="0.25">
      <c r="A240" s="254">
        <v>42874</v>
      </c>
      <c r="B240" s="254" t="s">
        <v>183</v>
      </c>
      <c r="C240" s="210">
        <v>11355872</v>
      </c>
      <c r="D240" s="115" t="s">
        <v>289</v>
      </c>
      <c r="E240" s="34">
        <f t="shared" si="15"/>
        <v>42874</v>
      </c>
      <c r="F240" s="108" t="str">
        <f t="shared" si="19"/>
        <v>2016-17</v>
      </c>
      <c r="H240" s="119"/>
      <c r="I240" s="26"/>
      <c r="J240" s="101">
        <f t="shared" si="16"/>
        <v>0.84443766578674484</v>
      </c>
      <c r="K240" s="37"/>
      <c r="L240" s="26">
        <v>2.8984507258900001</v>
      </c>
      <c r="M240" s="26" t="s">
        <v>204</v>
      </c>
      <c r="N240" s="26">
        <v>696.6467060487804</v>
      </c>
      <c r="O240" s="95">
        <f t="shared" si="17"/>
        <v>2019.196150835965</v>
      </c>
      <c r="P240" s="97">
        <f t="shared" si="18"/>
        <v>1705.0852843775021</v>
      </c>
      <c r="Q240" s="197">
        <v>1</v>
      </c>
    </row>
    <row r="241" spans="1:17" x14ac:dyDescent="0.25">
      <c r="A241" s="254">
        <v>42874</v>
      </c>
      <c r="B241" s="254" t="s">
        <v>183</v>
      </c>
      <c r="C241" s="210">
        <v>11355870</v>
      </c>
      <c r="D241" s="115" t="s">
        <v>289</v>
      </c>
      <c r="E241" s="34">
        <f t="shared" si="15"/>
        <v>42874</v>
      </c>
      <c r="F241" s="108" t="str">
        <f t="shared" si="19"/>
        <v>2016-17</v>
      </c>
      <c r="H241" s="119"/>
      <c r="I241" s="26"/>
      <c r="J241" s="101">
        <f t="shared" si="16"/>
        <v>0.84443766578674484</v>
      </c>
      <c r="K241" s="37"/>
      <c r="L241" s="26">
        <v>0.899449831842</v>
      </c>
      <c r="M241" s="26" t="s">
        <v>204</v>
      </c>
      <c r="N241" s="26">
        <v>696.6467060487804</v>
      </c>
      <c r="O241" s="95">
        <f t="shared" si="17"/>
        <v>626.59876260885869</v>
      </c>
      <c r="P241" s="97">
        <f t="shared" si="18"/>
        <v>529.12359648228733</v>
      </c>
      <c r="Q241" s="197">
        <v>1</v>
      </c>
    </row>
    <row r="242" spans="1:17" x14ac:dyDescent="0.25">
      <c r="A242" s="254">
        <v>41534</v>
      </c>
      <c r="B242" s="254" t="s">
        <v>183</v>
      </c>
      <c r="C242" s="210">
        <v>10643000</v>
      </c>
      <c r="D242" s="115" t="s">
        <v>289</v>
      </c>
      <c r="E242" s="34">
        <f t="shared" si="15"/>
        <v>41534</v>
      </c>
      <c r="F242" s="108" t="str">
        <f t="shared" si="19"/>
        <v>2013-14</v>
      </c>
      <c r="H242" s="119"/>
      <c r="I242" s="26"/>
      <c r="J242" s="101">
        <f t="shared" si="16"/>
        <v>0.84443766578674484</v>
      </c>
      <c r="K242" s="37"/>
      <c r="L242" s="26">
        <v>10.4626509695</v>
      </c>
      <c r="M242" s="26" t="s">
        <v>204</v>
      </c>
      <c r="N242" s="26">
        <v>696.6467060487804</v>
      </c>
      <c r="O242" s="95">
        <f t="shared" si="17"/>
        <v>7288.7713344402537</v>
      </c>
      <c r="P242" s="97">
        <f t="shared" si="18"/>
        <v>6154.9130521080651</v>
      </c>
      <c r="Q242" s="197">
        <v>1</v>
      </c>
    </row>
    <row r="243" spans="1:17" x14ac:dyDescent="0.25">
      <c r="A243" s="254">
        <v>42874</v>
      </c>
      <c r="B243" s="254" t="s">
        <v>183</v>
      </c>
      <c r="C243" s="210">
        <v>11355826</v>
      </c>
      <c r="D243" s="115" t="s">
        <v>289</v>
      </c>
      <c r="E243" s="34">
        <f t="shared" si="15"/>
        <v>42874</v>
      </c>
      <c r="F243" s="108" t="str">
        <f t="shared" si="19"/>
        <v>2016-17</v>
      </c>
      <c r="H243" s="119"/>
      <c r="I243" s="26"/>
      <c r="J243" s="101">
        <f t="shared" si="16"/>
        <v>0.84443766578674484</v>
      </c>
      <c r="K243" s="37"/>
      <c r="L243" s="26">
        <v>3.4984356862800001</v>
      </c>
      <c r="M243" s="26" t="s">
        <v>204</v>
      </c>
      <c r="N243" s="26">
        <v>621.96682926829249</v>
      </c>
      <c r="O243" s="95">
        <f t="shared" si="17"/>
        <v>2175.9109511946144</v>
      </c>
      <c r="P243" s="97">
        <f t="shared" si="18"/>
        <v>1837.421164586596</v>
      </c>
      <c r="Q243" s="197">
        <v>1</v>
      </c>
    </row>
    <row r="244" spans="1:17" x14ac:dyDescent="0.25">
      <c r="A244" s="254">
        <v>42874</v>
      </c>
      <c r="B244" s="254" t="s">
        <v>183</v>
      </c>
      <c r="C244" s="210">
        <v>11355765</v>
      </c>
      <c r="D244" s="115" t="s">
        <v>289</v>
      </c>
      <c r="E244" s="34">
        <f t="shared" si="15"/>
        <v>42874</v>
      </c>
      <c r="F244" s="108" t="str">
        <f t="shared" si="19"/>
        <v>2016-17</v>
      </c>
      <c r="H244" s="119"/>
      <c r="I244" s="26"/>
      <c r="J244" s="101">
        <f t="shared" si="16"/>
        <v>0.84443766578674484</v>
      </c>
      <c r="K244" s="37"/>
      <c r="L244" s="26">
        <v>11.726521073400001</v>
      </c>
      <c r="M244" s="26" t="s">
        <v>204</v>
      </c>
      <c r="N244" s="26">
        <v>621.96682926829249</v>
      </c>
      <c r="O244" s="95">
        <f t="shared" si="17"/>
        <v>7293.5071303704126</v>
      </c>
      <c r="P244" s="97">
        <f t="shared" si="18"/>
        <v>6158.9121365689707</v>
      </c>
      <c r="Q244" s="197">
        <v>1</v>
      </c>
    </row>
    <row r="245" spans="1:17" x14ac:dyDescent="0.25">
      <c r="A245" s="254">
        <v>42874</v>
      </c>
      <c r="B245" s="254" t="s">
        <v>183</v>
      </c>
      <c r="C245" s="210">
        <v>11355756</v>
      </c>
      <c r="D245" s="115" t="s">
        <v>289</v>
      </c>
      <c r="E245" s="34">
        <f t="shared" si="15"/>
        <v>42874</v>
      </c>
      <c r="F245" s="108" t="str">
        <f t="shared" si="19"/>
        <v>2016-17</v>
      </c>
      <c r="H245" s="119"/>
      <c r="I245" s="26"/>
      <c r="J245" s="101">
        <f t="shared" si="16"/>
        <v>0.84443766578674484</v>
      </c>
      <c r="K245" s="37"/>
      <c r="L245" s="26">
        <v>1.4992691552899999</v>
      </c>
      <c r="M245" s="26" t="s">
        <v>204</v>
      </c>
      <c r="N245" s="26">
        <v>621.96682926829249</v>
      </c>
      <c r="O245" s="95">
        <f t="shared" si="17"/>
        <v>932.49568273547243</v>
      </c>
      <c r="P245" s="97">
        <f t="shared" si="18"/>
        <v>787.4344776853593</v>
      </c>
      <c r="Q245" s="197">
        <v>1</v>
      </c>
    </row>
    <row r="246" spans="1:17" x14ac:dyDescent="0.25">
      <c r="A246" s="254">
        <v>42874</v>
      </c>
      <c r="B246" s="254" t="s">
        <v>183</v>
      </c>
      <c r="C246" s="210">
        <v>11355856</v>
      </c>
      <c r="D246" s="115" t="s">
        <v>289</v>
      </c>
      <c r="E246" s="34">
        <f t="shared" si="15"/>
        <v>42874</v>
      </c>
      <c r="F246" s="108" t="str">
        <f t="shared" si="19"/>
        <v>2016-17</v>
      </c>
      <c r="H246" s="119"/>
      <c r="I246" s="26"/>
      <c r="J246" s="101">
        <f t="shared" si="16"/>
        <v>0.84443766578674484</v>
      </c>
      <c r="K246" s="37"/>
      <c r="L246" s="26">
        <v>24.3351834228</v>
      </c>
      <c r="M246" s="26" t="s">
        <v>204</v>
      </c>
      <c r="N246" s="26">
        <v>621.96682926829249</v>
      </c>
      <c r="O246" s="95">
        <f t="shared" si="17"/>
        <v>15135.676873141228</v>
      </c>
      <c r="P246" s="97">
        <f t="shared" si="18"/>
        <v>12781.135648857797</v>
      </c>
      <c r="Q246" s="197">
        <v>1</v>
      </c>
    </row>
    <row r="247" spans="1:17" x14ac:dyDescent="0.25">
      <c r="A247" s="254">
        <v>42874</v>
      </c>
      <c r="B247" s="254" t="s">
        <v>183</v>
      </c>
      <c r="C247" s="210">
        <v>11355858</v>
      </c>
      <c r="D247" s="115" t="s">
        <v>289</v>
      </c>
      <c r="E247" s="34">
        <f t="shared" si="15"/>
        <v>42874</v>
      </c>
      <c r="F247" s="108" t="str">
        <f t="shared" si="19"/>
        <v>2016-17</v>
      </c>
      <c r="H247" s="119"/>
      <c r="I247" s="26"/>
      <c r="J247" s="101">
        <f t="shared" si="16"/>
        <v>0.84443766578674484</v>
      </c>
      <c r="K247" s="37"/>
      <c r="L247" s="26">
        <v>26.534052148499999</v>
      </c>
      <c r="M247" s="26" t="s">
        <v>204</v>
      </c>
      <c r="N247" s="26">
        <v>621.96682926829249</v>
      </c>
      <c r="O247" s="95">
        <f t="shared" si="17"/>
        <v>16503.300282442069</v>
      </c>
      <c r="P247" s="97">
        <f t="shared" si="18"/>
        <v>13936.008368283108</v>
      </c>
      <c r="Q247" s="197">
        <v>1</v>
      </c>
    </row>
    <row r="248" spans="1:17" x14ac:dyDescent="0.25">
      <c r="A248" s="254">
        <v>42874</v>
      </c>
      <c r="B248" s="254" t="s">
        <v>183</v>
      </c>
      <c r="C248" s="210">
        <v>11355862</v>
      </c>
      <c r="D248" s="115" t="s">
        <v>289</v>
      </c>
      <c r="E248" s="34">
        <f t="shared" si="15"/>
        <v>42874</v>
      </c>
      <c r="F248" s="108" t="str">
        <f t="shared" si="19"/>
        <v>2016-17</v>
      </c>
      <c r="H248" s="119"/>
      <c r="I248" s="26"/>
      <c r="J248" s="101">
        <f t="shared" si="16"/>
        <v>0.84443766578674484</v>
      </c>
      <c r="K248" s="37"/>
      <c r="L248" s="26">
        <v>1.3777953403900001</v>
      </c>
      <c r="M248" s="26" t="s">
        <v>204</v>
      </c>
      <c r="N248" s="26">
        <v>621.96682926829249</v>
      </c>
      <c r="O248" s="95">
        <f t="shared" si="17"/>
        <v>856.94299924299605</v>
      </c>
      <c r="P248" s="97">
        <f t="shared" si="18"/>
        <v>723.63494599304784</v>
      </c>
      <c r="Q248" s="197">
        <v>1</v>
      </c>
    </row>
    <row r="249" spans="1:17" x14ac:dyDescent="0.25">
      <c r="A249" s="254">
        <v>42874</v>
      </c>
      <c r="B249" s="254" t="s">
        <v>183</v>
      </c>
      <c r="C249" s="210">
        <v>11355843</v>
      </c>
      <c r="D249" s="115" t="s">
        <v>289</v>
      </c>
      <c r="E249" s="34">
        <f t="shared" si="15"/>
        <v>42874</v>
      </c>
      <c r="F249" s="108" t="str">
        <f t="shared" si="19"/>
        <v>2016-17</v>
      </c>
      <c r="H249" s="119"/>
      <c r="I249" s="26"/>
      <c r="J249" s="101">
        <f t="shared" si="16"/>
        <v>0.84443766578674484</v>
      </c>
      <c r="K249" s="37"/>
      <c r="L249" s="26">
        <v>1.49999233331</v>
      </c>
      <c r="M249" s="26" t="s">
        <v>204</v>
      </c>
      <c r="N249" s="26">
        <v>621.96682926829249</v>
      </c>
      <c r="O249" s="95">
        <f t="shared" si="17"/>
        <v>932.94547547556851</v>
      </c>
      <c r="P249" s="97">
        <f t="shared" si="18"/>
        <v>787.81429961689389</v>
      </c>
      <c r="Q249" s="197">
        <v>1</v>
      </c>
    </row>
    <row r="250" spans="1:17" x14ac:dyDescent="0.25">
      <c r="A250" s="254">
        <v>42874</v>
      </c>
      <c r="B250" s="254" t="s">
        <v>183</v>
      </c>
      <c r="C250" s="210">
        <v>11355850</v>
      </c>
      <c r="D250" s="115" t="s">
        <v>289</v>
      </c>
      <c r="E250" s="34">
        <f t="shared" si="15"/>
        <v>42874</v>
      </c>
      <c r="F250" s="108" t="str">
        <f t="shared" si="19"/>
        <v>2016-17</v>
      </c>
      <c r="H250" s="119"/>
      <c r="I250" s="26"/>
      <c r="J250" s="101">
        <f t="shared" si="16"/>
        <v>0.84443766578674484</v>
      </c>
      <c r="K250" s="37"/>
      <c r="L250" s="26">
        <v>1.2992924997899999</v>
      </c>
      <c r="M250" s="26" t="s">
        <v>204</v>
      </c>
      <c r="N250" s="26">
        <v>621.96682926829249</v>
      </c>
      <c r="O250" s="95">
        <f t="shared" si="17"/>
        <v>808.11683638645979</v>
      </c>
      <c r="P250" s="97">
        <f t="shared" si="18"/>
        <v>682.4042950011509</v>
      </c>
      <c r="Q250" s="197">
        <v>1</v>
      </c>
    </row>
    <row r="251" spans="1:17" x14ac:dyDescent="0.25">
      <c r="A251" s="254">
        <v>42874</v>
      </c>
      <c r="B251" s="254" t="s">
        <v>183</v>
      </c>
      <c r="C251" s="210">
        <v>11355859</v>
      </c>
      <c r="D251" s="115" t="s">
        <v>289</v>
      </c>
      <c r="E251" s="34">
        <f t="shared" si="15"/>
        <v>42874</v>
      </c>
      <c r="F251" s="108" t="str">
        <f t="shared" si="19"/>
        <v>2016-17</v>
      </c>
      <c r="H251" s="119"/>
      <c r="I251" s="26"/>
      <c r="J251" s="101">
        <f t="shared" si="16"/>
        <v>0.84443766578674484</v>
      </c>
      <c r="K251" s="37"/>
      <c r="L251" s="26">
        <v>1.0100079207599999</v>
      </c>
      <c r="M251" s="26" t="s">
        <v>204</v>
      </c>
      <c r="N251" s="26">
        <v>621.96682926829249</v>
      </c>
      <c r="O251" s="95">
        <f t="shared" si="17"/>
        <v>628.19142401095792</v>
      </c>
      <c r="P251" s="97">
        <f t="shared" si="18"/>
        <v>530.46849975906457</v>
      </c>
      <c r="Q251" s="197">
        <v>1</v>
      </c>
    </row>
    <row r="252" spans="1:17" x14ac:dyDescent="0.25">
      <c r="A252" s="254">
        <v>41090</v>
      </c>
      <c r="B252" s="254" t="s">
        <v>183</v>
      </c>
      <c r="C252" s="210">
        <v>10882390</v>
      </c>
      <c r="D252" s="115" t="s">
        <v>290</v>
      </c>
      <c r="E252" s="34">
        <f t="shared" si="15"/>
        <v>41090</v>
      </c>
      <c r="F252" s="108" t="str">
        <f t="shared" si="19"/>
        <v>2011-12</v>
      </c>
      <c r="H252" s="119"/>
      <c r="I252" s="26"/>
      <c r="J252" s="101">
        <f t="shared" si="16"/>
        <v>0.84443766578674484</v>
      </c>
      <c r="K252" s="37"/>
      <c r="L252" s="26">
        <v>2.6017939964600001</v>
      </c>
      <c r="M252" s="26" t="s">
        <v>204</v>
      </c>
      <c r="N252" s="26">
        <v>696.6467060487804</v>
      </c>
      <c r="O252" s="95">
        <f t="shared" si="17"/>
        <v>1812.5312174513513</v>
      </c>
      <c r="P252" s="97">
        <f t="shared" si="18"/>
        <v>1530.569630430226</v>
      </c>
      <c r="Q252" s="197">
        <v>1</v>
      </c>
    </row>
    <row r="253" spans="1:17" x14ac:dyDescent="0.25">
      <c r="A253" s="254">
        <v>41090</v>
      </c>
      <c r="B253" s="254" t="s">
        <v>183</v>
      </c>
      <c r="C253" s="210">
        <v>10882403</v>
      </c>
      <c r="D253" s="115" t="s">
        <v>290</v>
      </c>
      <c r="E253" s="34">
        <f t="shared" si="15"/>
        <v>41090</v>
      </c>
      <c r="F253" s="108" t="str">
        <f t="shared" si="19"/>
        <v>2011-12</v>
      </c>
      <c r="H253" s="119"/>
      <c r="I253" s="26"/>
      <c r="J253" s="101">
        <f t="shared" si="16"/>
        <v>0.84443766578674484</v>
      </c>
      <c r="K253" s="37"/>
      <c r="L253" s="26">
        <v>1.58998522006</v>
      </c>
      <c r="M253" s="26" t="s">
        <v>204</v>
      </c>
      <c r="N253" s="26">
        <v>696.6467060487804</v>
      </c>
      <c r="O253" s="95">
        <f t="shared" si="17"/>
        <v>1107.6579662210443</v>
      </c>
      <c r="P253" s="97">
        <f t="shared" si="18"/>
        <v>935.34810748579173</v>
      </c>
      <c r="Q253" s="197">
        <v>1</v>
      </c>
    </row>
    <row r="254" spans="1:17" x14ac:dyDescent="0.25">
      <c r="A254" s="254">
        <v>41090</v>
      </c>
      <c r="B254" s="254" t="s">
        <v>183</v>
      </c>
      <c r="C254" s="210">
        <v>10882321</v>
      </c>
      <c r="D254" s="115" t="s">
        <v>290</v>
      </c>
      <c r="E254" s="34">
        <f t="shared" si="15"/>
        <v>41090</v>
      </c>
      <c r="F254" s="108" t="str">
        <f t="shared" si="19"/>
        <v>2011-12</v>
      </c>
      <c r="H254" s="119"/>
      <c r="I254" s="26"/>
      <c r="J254" s="101">
        <f t="shared" si="16"/>
        <v>0.84443766578674484</v>
      </c>
      <c r="K254" s="37"/>
      <c r="L254" s="26">
        <v>1.5352823844500001</v>
      </c>
      <c r="M254" s="26" t="s">
        <v>204</v>
      </c>
      <c r="N254" s="26">
        <v>696.6467060487804</v>
      </c>
      <c r="O254" s="95">
        <f t="shared" si="17"/>
        <v>1069.5494159818099</v>
      </c>
      <c r="P254" s="97">
        <f t="shared" si="18"/>
        <v>903.16781227525576</v>
      </c>
      <c r="Q254" s="197">
        <v>1</v>
      </c>
    </row>
    <row r="255" spans="1:17" x14ac:dyDescent="0.25">
      <c r="A255" s="254">
        <v>41090</v>
      </c>
      <c r="B255" s="254" t="s">
        <v>183</v>
      </c>
      <c r="C255" s="210">
        <v>10882406</v>
      </c>
      <c r="D255" s="115" t="s">
        <v>290</v>
      </c>
      <c r="E255" s="34">
        <f t="shared" si="15"/>
        <v>41090</v>
      </c>
      <c r="F255" s="108" t="str">
        <f t="shared" si="19"/>
        <v>2011-12</v>
      </c>
      <c r="H255" s="119"/>
      <c r="I255" s="26"/>
      <c r="J255" s="101">
        <f t="shared" si="16"/>
        <v>0.84443766578674484</v>
      </c>
      <c r="K255" s="37"/>
      <c r="L255" s="26">
        <v>4.6428320301300001</v>
      </c>
      <c r="M255" s="26" t="s">
        <v>204</v>
      </c>
      <c r="N255" s="26">
        <v>696.6467060487804</v>
      </c>
      <c r="O255" s="95">
        <f t="shared" si="17"/>
        <v>3234.4136405278364</v>
      </c>
      <c r="P255" s="97">
        <f t="shared" si="18"/>
        <v>2731.2607047961337</v>
      </c>
      <c r="Q255" s="197">
        <v>1</v>
      </c>
    </row>
    <row r="256" spans="1:17" x14ac:dyDescent="0.25">
      <c r="A256" s="254">
        <v>41090</v>
      </c>
      <c r="B256" s="254" t="s">
        <v>183</v>
      </c>
      <c r="C256" s="210">
        <v>10882308</v>
      </c>
      <c r="D256" s="115" t="s">
        <v>290</v>
      </c>
      <c r="E256" s="34">
        <f t="shared" si="15"/>
        <v>41090</v>
      </c>
      <c r="F256" s="108" t="str">
        <f t="shared" si="19"/>
        <v>2011-12</v>
      </c>
      <c r="H256" s="119"/>
      <c r="I256" s="26"/>
      <c r="J256" s="101">
        <f t="shared" si="16"/>
        <v>0.84443766578674484</v>
      </c>
      <c r="K256" s="37"/>
      <c r="L256" s="26">
        <v>3.3995024932</v>
      </c>
      <c r="M256" s="26" t="s">
        <v>204</v>
      </c>
      <c r="N256" s="26">
        <v>696.6467060487804</v>
      </c>
      <c r="O256" s="95">
        <f t="shared" si="17"/>
        <v>2368.2522140923966</v>
      </c>
      <c r="P256" s="97">
        <f t="shared" si="18"/>
        <v>1999.8413716624736</v>
      </c>
      <c r="Q256" s="197">
        <v>1</v>
      </c>
    </row>
    <row r="257" spans="1:17" x14ac:dyDescent="0.25">
      <c r="A257" s="254">
        <v>39795</v>
      </c>
      <c r="B257" s="254" t="s">
        <v>183</v>
      </c>
      <c r="C257" s="210">
        <v>9349311</v>
      </c>
      <c r="D257" s="115" t="s">
        <v>291</v>
      </c>
      <c r="E257" s="34">
        <f t="shared" si="15"/>
        <v>39795</v>
      </c>
      <c r="F257" s="108" t="str">
        <f t="shared" si="19"/>
        <v>2008-09</v>
      </c>
      <c r="H257" s="119"/>
      <c r="I257" s="26"/>
      <c r="J257" s="101">
        <f t="shared" si="16"/>
        <v>0.84443766578674484</v>
      </c>
      <c r="K257" s="37"/>
      <c r="L257" s="26">
        <v>15.862662263300001</v>
      </c>
      <c r="M257" s="26" t="s">
        <v>204</v>
      </c>
      <c r="N257" s="26">
        <v>771.6404230243902</v>
      </c>
      <c r="O257" s="95">
        <f t="shared" si="17"/>
        <v>12240.271419145844</v>
      </c>
      <c r="P257" s="97">
        <f t="shared" si="18"/>
        <v>10336.146225779723</v>
      </c>
      <c r="Q257" s="197">
        <v>1</v>
      </c>
    </row>
    <row r="258" spans="1:17" x14ac:dyDescent="0.25">
      <c r="A258" s="254">
        <v>39795</v>
      </c>
      <c r="B258" s="254" t="s">
        <v>183</v>
      </c>
      <c r="C258" s="210">
        <v>9349319</v>
      </c>
      <c r="D258" s="115" t="s">
        <v>291</v>
      </c>
      <c r="E258" s="34">
        <f t="shared" si="15"/>
        <v>39795</v>
      </c>
      <c r="F258" s="108" t="str">
        <f t="shared" si="19"/>
        <v>2008-09</v>
      </c>
      <c r="H258" s="119"/>
      <c r="I258" s="26"/>
      <c r="J258" s="101">
        <f t="shared" si="16"/>
        <v>0.84443766578674484</v>
      </c>
      <c r="K258" s="37"/>
      <c r="L258" s="26">
        <v>3.9986000563899999</v>
      </c>
      <c r="M258" s="26" t="s">
        <v>204</v>
      </c>
      <c r="N258" s="26">
        <v>771.6404230243902</v>
      </c>
      <c r="O258" s="95">
        <f t="shared" si="17"/>
        <v>3085.48143901813</v>
      </c>
      <c r="P258" s="97">
        <f t="shared" si="18"/>
        <v>2605.4967441927961</v>
      </c>
      <c r="Q258" s="197">
        <v>1</v>
      </c>
    </row>
    <row r="259" spans="1:17" x14ac:dyDescent="0.25">
      <c r="A259" s="254">
        <v>42830</v>
      </c>
      <c r="B259" s="254" t="s">
        <v>183</v>
      </c>
      <c r="C259" s="210">
        <v>11254850</v>
      </c>
      <c r="D259" s="115" t="s">
        <v>292</v>
      </c>
      <c r="E259" s="34">
        <f t="shared" si="15"/>
        <v>42830</v>
      </c>
      <c r="F259" s="108" t="str">
        <f t="shared" si="19"/>
        <v>2016-17</v>
      </c>
      <c r="H259" s="119"/>
      <c r="I259" s="26"/>
      <c r="J259" s="101">
        <f t="shared" si="16"/>
        <v>0.84443766578674484</v>
      </c>
      <c r="K259" s="37"/>
      <c r="L259" s="26">
        <v>544.56102590399996</v>
      </c>
      <c r="M259" s="26" t="s">
        <v>204</v>
      </c>
      <c r="N259" s="26">
        <v>771.6404230243902</v>
      </c>
      <c r="O259" s="95">
        <f t="shared" si="17"/>
        <v>420205.30039115844</v>
      </c>
      <c r="P259" s="97">
        <f t="shared" si="18"/>
        <v>354837.18301352777</v>
      </c>
      <c r="Q259" s="197">
        <v>1</v>
      </c>
    </row>
    <row r="260" spans="1:17" x14ac:dyDescent="0.25">
      <c r="A260" s="254">
        <v>42830</v>
      </c>
      <c r="B260" s="254" t="s">
        <v>183</v>
      </c>
      <c r="C260" s="210">
        <v>11254827</v>
      </c>
      <c r="D260" s="115" t="s">
        <v>292</v>
      </c>
      <c r="E260" s="34">
        <f t="shared" si="15"/>
        <v>42830</v>
      </c>
      <c r="F260" s="108" t="str">
        <f t="shared" si="19"/>
        <v>2016-17</v>
      </c>
      <c r="H260" s="119"/>
      <c r="I260" s="26"/>
      <c r="J260" s="101">
        <f t="shared" si="16"/>
        <v>0.84443766578674484</v>
      </c>
      <c r="K260" s="37"/>
      <c r="L260" s="26">
        <v>115.640046635</v>
      </c>
      <c r="M260" s="26" t="s">
        <v>204</v>
      </c>
      <c r="N260" s="26">
        <v>696.6467060487804</v>
      </c>
      <c r="O260" s="95">
        <f t="shared" si="17"/>
        <v>80560.257575600102</v>
      </c>
      <c r="P260" s="97">
        <f t="shared" si="18"/>
        <v>68028.115862318678</v>
      </c>
      <c r="Q260" s="197">
        <v>1</v>
      </c>
    </row>
    <row r="261" spans="1:17" x14ac:dyDescent="0.25">
      <c r="A261" s="254">
        <v>42830</v>
      </c>
      <c r="B261" s="254" t="s">
        <v>183</v>
      </c>
      <c r="C261" s="210">
        <v>11254825</v>
      </c>
      <c r="D261" s="115" t="s">
        <v>292</v>
      </c>
      <c r="E261" s="34">
        <f t="shared" si="15"/>
        <v>42830</v>
      </c>
      <c r="F261" s="108" t="str">
        <f t="shared" si="19"/>
        <v>2016-17</v>
      </c>
      <c r="H261" s="119"/>
      <c r="I261" s="26"/>
      <c r="J261" s="101">
        <f t="shared" si="16"/>
        <v>0.84443766578674484</v>
      </c>
      <c r="K261" s="37"/>
      <c r="L261" s="26">
        <v>1.4987361342100001</v>
      </c>
      <c r="M261" s="26" t="s">
        <v>204</v>
      </c>
      <c r="N261" s="26">
        <v>696.6467060487804</v>
      </c>
      <c r="O261" s="95">
        <f t="shared" si="17"/>
        <v>1044.0895911336795</v>
      </c>
      <c r="P261" s="97">
        <f t="shared" si="18"/>
        <v>881.66857720916107</v>
      </c>
      <c r="Q261" s="197">
        <v>1</v>
      </c>
    </row>
    <row r="262" spans="1:17" x14ac:dyDescent="0.25">
      <c r="A262" s="254">
        <v>42830</v>
      </c>
      <c r="B262" s="254" t="s">
        <v>183</v>
      </c>
      <c r="C262" s="210">
        <v>11254822</v>
      </c>
      <c r="D262" s="115" t="s">
        <v>292</v>
      </c>
      <c r="E262" s="34">
        <f t="shared" si="15"/>
        <v>42830</v>
      </c>
      <c r="F262" s="108" t="str">
        <f t="shared" si="19"/>
        <v>2016-17</v>
      </c>
      <c r="H262" s="119"/>
      <c r="I262" s="26"/>
      <c r="J262" s="101">
        <f t="shared" si="16"/>
        <v>0.84443766578674484</v>
      </c>
      <c r="K262" s="37"/>
      <c r="L262" s="26">
        <v>9.0350454033900007</v>
      </c>
      <c r="M262" s="26" t="s">
        <v>204</v>
      </c>
      <c r="N262" s="26">
        <v>696.6467060487804</v>
      </c>
      <c r="O262" s="95">
        <f t="shared" si="17"/>
        <v>6294.2346192728182</v>
      </c>
      <c r="P262" s="97">
        <f t="shared" si="18"/>
        <v>5315.0887898128594</v>
      </c>
      <c r="Q262" s="197">
        <v>1</v>
      </c>
    </row>
    <row r="263" spans="1:17" x14ac:dyDescent="0.25">
      <c r="A263" s="254">
        <v>42830</v>
      </c>
      <c r="B263" s="254" t="s">
        <v>183</v>
      </c>
      <c r="C263" s="210">
        <v>11254819</v>
      </c>
      <c r="D263" s="115" t="s">
        <v>292</v>
      </c>
      <c r="E263" s="34">
        <f t="shared" si="15"/>
        <v>42830</v>
      </c>
      <c r="F263" s="108" t="str">
        <f t="shared" si="19"/>
        <v>2016-17</v>
      </c>
      <c r="H263" s="119"/>
      <c r="I263" s="26"/>
      <c r="J263" s="101">
        <f t="shared" si="16"/>
        <v>0.84443766578674484</v>
      </c>
      <c r="K263" s="37"/>
      <c r="L263" s="26">
        <v>3.78921638476</v>
      </c>
      <c r="M263" s="26" t="s">
        <v>204</v>
      </c>
      <c r="N263" s="26">
        <v>771.6404230243902</v>
      </c>
      <c r="O263" s="95">
        <f t="shared" si="17"/>
        <v>2923.9125340671567</v>
      </c>
      <c r="P263" s="97">
        <f t="shared" si="18"/>
        <v>2469.0618752322757</v>
      </c>
      <c r="Q263" s="197">
        <v>1</v>
      </c>
    </row>
    <row r="264" spans="1:17" x14ac:dyDescent="0.25">
      <c r="A264" s="254">
        <v>42830</v>
      </c>
      <c r="B264" s="254" t="s">
        <v>183</v>
      </c>
      <c r="C264" s="210">
        <v>11254817</v>
      </c>
      <c r="D264" s="115" t="s">
        <v>292</v>
      </c>
      <c r="E264" s="34">
        <f t="shared" si="15"/>
        <v>42830</v>
      </c>
      <c r="F264" s="108" t="str">
        <f t="shared" si="19"/>
        <v>2016-17</v>
      </c>
      <c r="H264" s="119"/>
      <c r="I264" s="26"/>
      <c r="J264" s="101">
        <f t="shared" si="16"/>
        <v>0.84443766578674484</v>
      </c>
      <c r="K264" s="37"/>
      <c r="L264" s="26">
        <v>1.49773996408</v>
      </c>
      <c r="M264" s="26" t="s">
        <v>204</v>
      </c>
      <c r="N264" s="26">
        <v>696.6467060487804</v>
      </c>
      <c r="O264" s="95">
        <f t="shared" si="17"/>
        <v>1043.3956124939507</v>
      </c>
      <c r="P264" s="97">
        <f t="shared" si="18"/>
        <v>881.08255550652268</v>
      </c>
      <c r="Q264" s="197">
        <v>1</v>
      </c>
    </row>
    <row r="265" spans="1:17" x14ac:dyDescent="0.25">
      <c r="A265" s="254">
        <v>42830</v>
      </c>
      <c r="B265" s="254" t="s">
        <v>183</v>
      </c>
      <c r="C265" s="210">
        <v>11254815</v>
      </c>
      <c r="D265" s="115" t="s">
        <v>292</v>
      </c>
      <c r="E265" s="34">
        <f t="shared" si="15"/>
        <v>42830</v>
      </c>
      <c r="F265" s="108" t="str">
        <f t="shared" si="19"/>
        <v>2016-17</v>
      </c>
      <c r="H265" s="119"/>
      <c r="I265" s="26"/>
      <c r="J265" s="101">
        <f t="shared" si="16"/>
        <v>0.84443766578674484</v>
      </c>
      <c r="K265" s="37"/>
      <c r="L265" s="26">
        <v>1.99934239189</v>
      </c>
      <c r="M265" s="26" t="s">
        <v>204</v>
      </c>
      <c r="N265" s="26">
        <v>771.6404230243902</v>
      </c>
      <c r="O265" s="95">
        <f t="shared" si="17"/>
        <v>1542.7734090485958</v>
      </c>
      <c r="P265" s="97">
        <f t="shared" si="18"/>
        <v>1302.7759763748552</v>
      </c>
      <c r="Q265" s="197">
        <v>1</v>
      </c>
    </row>
    <row r="266" spans="1:17" x14ac:dyDescent="0.25">
      <c r="A266" s="254">
        <v>42830</v>
      </c>
      <c r="B266" s="254" t="s">
        <v>183</v>
      </c>
      <c r="C266" s="210">
        <v>11254906</v>
      </c>
      <c r="D266" s="115" t="s">
        <v>292</v>
      </c>
      <c r="E266" s="34">
        <f t="shared" si="15"/>
        <v>42830</v>
      </c>
      <c r="F266" s="108" t="str">
        <f t="shared" si="19"/>
        <v>2016-17</v>
      </c>
      <c r="H266" s="119"/>
      <c r="I266" s="26"/>
      <c r="J266" s="101">
        <f t="shared" si="16"/>
        <v>0.84443766578674484</v>
      </c>
      <c r="K266" s="37"/>
      <c r="L266" s="26">
        <v>3.5024600159100001</v>
      </c>
      <c r="M266" s="26" t="s">
        <v>204</v>
      </c>
      <c r="N266" s="26">
        <v>771.6404230243902</v>
      </c>
      <c r="O266" s="95">
        <f t="shared" si="17"/>
        <v>2702.639728302805</v>
      </c>
      <c r="P266" s="97">
        <f t="shared" si="18"/>
        <v>2282.2107836305431</v>
      </c>
      <c r="Q266" s="197">
        <v>1</v>
      </c>
    </row>
    <row r="267" spans="1:17" x14ac:dyDescent="0.25">
      <c r="A267" s="254">
        <v>42830</v>
      </c>
      <c r="B267" s="254" t="s">
        <v>183</v>
      </c>
      <c r="C267" s="210">
        <v>11254919</v>
      </c>
      <c r="D267" s="115" t="s">
        <v>292</v>
      </c>
      <c r="E267" s="34">
        <f t="shared" si="15"/>
        <v>42830</v>
      </c>
      <c r="F267" s="108" t="str">
        <f t="shared" si="19"/>
        <v>2016-17</v>
      </c>
      <c r="H267" s="119"/>
      <c r="I267" s="26"/>
      <c r="J267" s="101">
        <f t="shared" si="16"/>
        <v>0.84443766578674484</v>
      </c>
      <c r="K267" s="37"/>
      <c r="L267" s="26">
        <v>2.3769451823300001</v>
      </c>
      <c r="M267" s="26" t="s">
        <v>204</v>
      </c>
      <c r="N267" s="26">
        <v>771.6404230243902</v>
      </c>
      <c r="O267" s="95">
        <f t="shared" si="17"/>
        <v>1834.1469859989077</v>
      </c>
      <c r="P267" s="97">
        <f t="shared" si="18"/>
        <v>1548.822799566711</v>
      </c>
      <c r="Q267" s="197">
        <v>1</v>
      </c>
    </row>
    <row r="268" spans="1:17" x14ac:dyDescent="0.25">
      <c r="A268" s="254">
        <v>40770</v>
      </c>
      <c r="B268" s="254" t="s">
        <v>183</v>
      </c>
      <c r="C268" s="210">
        <v>10332060</v>
      </c>
      <c r="D268" s="115" t="s">
        <v>293</v>
      </c>
      <c r="E268" s="34">
        <f t="shared" si="15"/>
        <v>40770</v>
      </c>
      <c r="F268" s="108" t="str">
        <f t="shared" si="19"/>
        <v>2011-12</v>
      </c>
      <c r="H268" s="119"/>
      <c r="I268" s="26"/>
      <c r="J268" s="101">
        <f t="shared" si="16"/>
        <v>0.84443766578674484</v>
      </c>
      <c r="K268" s="37"/>
      <c r="L268" s="26">
        <v>0.99941232731999996</v>
      </c>
      <c r="M268" s="26" t="s">
        <v>204</v>
      </c>
      <c r="N268" s="26">
        <v>696.6467060487804</v>
      </c>
      <c r="O268" s="95">
        <f t="shared" si="17"/>
        <v>696.23730581202346</v>
      </c>
      <c r="P268" s="97">
        <f t="shared" si="18"/>
        <v>587.92900535355716</v>
      </c>
      <c r="Q268" s="197">
        <v>1</v>
      </c>
    </row>
    <row r="269" spans="1:17" x14ac:dyDescent="0.25">
      <c r="A269" s="254">
        <v>40770</v>
      </c>
      <c r="B269" s="254" t="s">
        <v>183</v>
      </c>
      <c r="C269" s="210">
        <v>10332051</v>
      </c>
      <c r="D269" s="115" t="s">
        <v>293</v>
      </c>
      <c r="E269" s="34">
        <f t="shared" si="15"/>
        <v>40770</v>
      </c>
      <c r="F269" s="108" t="str">
        <f t="shared" si="19"/>
        <v>2011-12</v>
      </c>
      <c r="H269" s="119"/>
      <c r="I269" s="26"/>
      <c r="J269" s="101">
        <f t="shared" si="16"/>
        <v>0.84443766578674484</v>
      </c>
      <c r="K269" s="37"/>
      <c r="L269" s="26">
        <v>0.99941232731999996</v>
      </c>
      <c r="M269" s="26" t="s">
        <v>204</v>
      </c>
      <c r="N269" s="26">
        <v>696.6467060487804</v>
      </c>
      <c r="O269" s="95">
        <f t="shared" si="17"/>
        <v>696.23730581202346</v>
      </c>
      <c r="P269" s="97">
        <f t="shared" si="18"/>
        <v>587.92900535355716</v>
      </c>
      <c r="Q269" s="197">
        <v>1</v>
      </c>
    </row>
    <row r="270" spans="1:17" x14ac:dyDescent="0.25">
      <c r="A270" s="254">
        <v>40364</v>
      </c>
      <c r="B270" s="254" t="s">
        <v>183</v>
      </c>
      <c r="C270" s="210">
        <v>10351019</v>
      </c>
      <c r="D270" s="115" t="s">
        <v>293</v>
      </c>
      <c r="E270" s="34">
        <f t="shared" si="15"/>
        <v>40364</v>
      </c>
      <c r="F270" s="108" t="str">
        <f t="shared" si="19"/>
        <v>2010-11</v>
      </c>
      <c r="H270" s="119"/>
      <c r="I270" s="26"/>
      <c r="J270" s="101">
        <f t="shared" si="16"/>
        <v>0.84443766578674484</v>
      </c>
      <c r="K270" s="37"/>
      <c r="L270" s="26">
        <v>1.6989455553399999</v>
      </c>
      <c r="M270" s="26" t="s">
        <v>204</v>
      </c>
      <c r="N270" s="26">
        <v>936.5640883902438</v>
      </c>
      <c r="O270" s="95">
        <f t="shared" si="17"/>
        <v>1591.1713952616635</v>
      </c>
      <c r="P270" s="97">
        <f t="shared" si="18"/>
        <v>1343.6450588813971</v>
      </c>
      <c r="Q270" s="197">
        <v>1</v>
      </c>
    </row>
    <row r="271" spans="1:17" x14ac:dyDescent="0.25">
      <c r="A271" s="254">
        <v>40364</v>
      </c>
      <c r="B271" s="254" t="s">
        <v>183</v>
      </c>
      <c r="C271" s="210">
        <v>10351022</v>
      </c>
      <c r="D271" s="115" t="s">
        <v>293</v>
      </c>
      <c r="E271" s="34">
        <f t="shared" si="15"/>
        <v>40364</v>
      </c>
      <c r="F271" s="108" t="str">
        <f t="shared" si="19"/>
        <v>2010-11</v>
      </c>
      <c r="H271" s="119"/>
      <c r="I271" s="26"/>
      <c r="J271" s="101">
        <f t="shared" si="16"/>
        <v>0.84443766578674484</v>
      </c>
      <c r="K271" s="37"/>
      <c r="L271" s="26">
        <v>8.4005287928799994</v>
      </c>
      <c r="M271" s="26" t="s">
        <v>204</v>
      </c>
      <c r="N271" s="26">
        <v>936.5640883902438</v>
      </c>
      <c r="O271" s="95">
        <f t="shared" si="17"/>
        <v>7867.6335908996516</v>
      </c>
      <c r="P271" s="97">
        <f t="shared" si="18"/>
        <v>6643.726144764687</v>
      </c>
      <c r="Q271" s="197">
        <v>1</v>
      </c>
    </row>
    <row r="272" spans="1:17" x14ac:dyDescent="0.25">
      <c r="A272" s="254">
        <v>40323</v>
      </c>
      <c r="B272" s="254" t="s">
        <v>183</v>
      </c>
      <c r="C272" s="210">
        <v>10287710</v>
      </c>
      <c r="D272" s="115" t="s">
        <v>294</v>
      </c>
      <c r="E272" s="34">
        <f t="shared" si="15"/>
        <v>40323</v>
      </c>
      <c r="F272" s="108" t="str">
        <f t="shared" si="19"/>
        <v>2009-10</v>
      </c>
      <c r="H272" s="119"/>
      <c r="I272" s="26"/>
      <c r="J272" s="101">
        <f t="shared" si="16"/>
        <v>0.84443766578674484</v>
      </c>
      <c r="K272" s="37"/>
      <c r="L272" s="26">
        <v>4.9966918055800003</v>
      </c>
      <c r="M272" s="26" t="s">
        <v>204</v>
      </c>
      <c r="N272" s="26">
        <v>936.5640883902438</v>
      </c>
      <c r="O272" s="95">
        <f t="shared" si="17"/>
        <v>4679.7221058600344</v>
      </c>
      <c r="P272" s="97">
        <f t="shared" si="18"/>
        <v>3951.7336116030774</v>
      </c>
      <c r="Q272" s="197">
        <v>1</v>
      </c>
    </row>
    <row r="273" spans="1:17" x14ac:dyDescent="0.25">
      <c r="A273" s="254">
        <v>41047</v>
      </c>
      <c r="B273" s="254" t="s">
        <v>183</v>
      </c>
      <c r="C273" s="210">
        <v>10291950</v>
      </c>
      <c r="D273" s="115" t="s">
        <v>294</v>
      </c>
      <c r="E273" s="34">
        <f t="shared" si="15"/>
        <v>41047</v>
      </c>
      <c r="F273" s="108" t="str">
        <f t="shared" si="19"/>
        <v>2011-12</v>
      </c>
      <c r="H273" s="119"/>
      <c r="I273" s="26"/>
      <c r="J273" s="101">
        <f t="shared" si="16"/>
        <v>0.84443766578674484</v>
      </c>
      <c r="K273" s="37"/>
      <c r="L273" s="26">
        <v>283.79222694999999</v>
      </c>
      <c r="M273" s="26" t="s">
        <v>204</v>
      </c>
      <c r="N273" s="26">
        <v>1003.0093919999996</v>
      </c>
      <c r="O273" s="95">
        <f t="shared" si="17"/>
        <v>284646.26900744537</v>
      </c>
      <c r="P273" s="97">
        <f t="shared" si="18"/>
        <v>240366.03097555303</v>
      </c>
      <c r="Q273" s="197">
        <v>1</v>
      </c>
    </row>
    <row r="274" spans="1:17" x14ac:dyDescent="0.25">
      <c r="A274" s="254">
        <v>39796</v>
      </c>
      <c r="B274" s="254" t="s">
        <v>183</v>
      </c>
      <c r="C274" s="210">
        <v>9341920</v>
      </c>
      <c r="D274" s="115" t="s">
        <v>295</v>
      </c>
      <c r="E274" s="34">
        <f t="shared" si="15"/>
        <v>39796</v>
      </c>
      <c r="F274" s="108" t="str">
        <f t="shared" si="19"/>
        <v>2008-09</v>
      </c>
      <c r="H274" s="119"/>
      <c r="I274" s="26"/>
      <c r="J274" s="101">
        <f t="shared" si="16"/>
        <v>0.84443766578674484</v>
      </c>
      <c r="K274" s="37"/>
      <c r="L274" s="26">
        <v>3.3492769621199998</v>
      </c>
      <c r="M274" s="26" t="s">
        <v>204</v>
      </c>
      <c r="N274" s="26">
        <v>936.5640883902438</v>
      </c>
      <c r="O274" s="95">
        <f t="shared" si="17"/>
        <v>3136.8125247943626</v>
      </c>
      <c r="P274" s="97">
        <f t="shared" si="18"/>
        <v>2648.8426464479771</v>
      </c>
      <c r="Q274" s="197">
        <v>1</v>
      </c>
    </row>
    <row r="275" spans="1:17" x14ac:dyDescent="0.25">
      <c r="A275" s="254">
        <v>39796</v>
      </c>
      <c r="B275" s="254" t="s">
        <v>183</v>
      </c>
      <c r="C275" s="210">
        <v>9331909</v>
      </c>
      <c r="D275" s="115" t="s">
        <v>295</v>
      </c>
      <c r="E275" s="34">
        <f t="shared" si="15"/>
        <v>39796</v>
      </c>
      <c r="F275" s="108" t="str">
        <f t="shared" si="19"/>
        <v>2008-09</v>
      </c>
      <c r="H275" s="119"/>
      <c r="I275" s="26"/>
      <c r="J275" s="101">
        <f t="shared" si="16"/>
        <v>0.84443766578674484</v>
      </c>
      <c r="K275" s="37"/>
      <c r="L275" s="26">
        <v>46.880180107199998</v>
      </c>
      <c r="M275" s="26" t="s">
        <v>204</v>
      </c>
      <c r="N275" s="26">
        <v>1003.0093919999996</v>
      </c>
      <c r="O275" s="95">
        <f t="shared" si="17"/>
        <v>47021.260946173148</v>
      </c>
      <c r="P275" s="97">
        <f t="shared" si="18"/>
        <v>39706.523835735876</v>
      </c>
      <c r="Q275" s="197">
        <v>1</v>
      </c>
    </row>
    <row r="276" spans="1:17" x14ac:dyDescent="0.25">
      <c r="A276" s="254">
        <v>39796</v>
      </c>
      <c r="B276" s="254" t="s">
        <v>183</v>
      </c>
      <c r="C276" s="210">
        <v>9331907</v>
      </c>
      <c r="D276" s="115" t="s">
        <v>295</v>
      </c>
      <c r="E276" s="34">
        <f t="shared" si="15"/>
        <v>39796</v>
      </c>
      <c r="F276" s="108" t="str">
        <f t="shared" si="19"/>
        <v>2008-09</v>
      </c>
      <c r="H276" s="119"/>
      <c r="I276" s="26"/>
      <c r="J276" s="101">
        <f t="shared" si="16"/>
        <v>0.84443766578674484</v>
      </c>
      <c r="K276" s="37"/>
      <c r="L276" s="26">
        <v>42.984254534800002</v>
      </c>
      <c r="M276" s="26" t="s">
        <v>204</v>
      </c>
      <c r="N276" s="26">
        <v>771.6404230243902</v>
      </c>
      <c r="O276" s="95">
        <f t="shared" si="17"/>
        <v>33168.388352621136</v>
      </c>
      <c r="P276" s="97">
        <f t="shared" si="18"/>
        <v>28008.636438395646</v>
      </c>
      <c r="Q276" s="197">
        <v>1</v>
      </c>
    </row>
    <row r="277" spans="1:17" x14ac:dyDescent="0.25">
      <c r="A277" s="254">
        <v>39796</v>
      </c>
      <c r="B277" s="254" t="s">
        <v>183</v>
      </c>
      <c r="C277" s="210">
        <v>9342077</v>
      </c>
      <c r="D277" s="115" t="s">
        <v>295</v>
      </c>
      <c r="E277" s="34">
        <f t="shared" si="15"/>
        <v>39796</v>
      </c>
      <c r="F277" s="108" t="str">
        <f t="shared" si="19"/>
        <v>2008-09</v>
      </c>
      <c r="H277" s="119"/>
      <c r="I277" s="26"/>
      <c r="J277" s="101">
        <f t="shared" si="16"/>
        <v>0.84443766578674484</v>
      </c>
      <c r="K277" s="37"/>
      <c r="L277" s="26">
        <v>2.67204266813</v>
      </c>
      <c r="M277" s="26" t="s">
        <v>204</v>
      </c>
      <c r="N277" s="26">
        <v>696.6467060487804</v>
      </c>
      <c r="O277" s="95">
        <f t="shared" si="17"/>
        <v>1861.469723174559</v>
      </c>
      <c r="P277" s="97">
        <f t="shared" si="18"/>
        <v>1571.8951479702228</v>
      </c>
      <c r="Q277" s="197">
        <v>1</v>
      </c>
    </row>
    <row r="278" spans="1:17" x14ac:dyDescent="0.25">
      <c r="A278" s="254">
        <v>39796</v>
      </c>
      <c r="B278" s="254" t="s">
        <v>183</v>
      </c>
      <c r="C278" s="210">
        <v>9204403</v>
      </c>
      <c r="D278" s="115" t="s">
        <v>295</v>
      </c>
      <c r="E278" s="34">
        <f t="shared" ref="E278:E341" si="20">IF(A278&lt;2022,DATEVALUE("30 Jun "&amp;A278),A278)</f>
        <v>39796</v>
      </c>
      <c r="F278" s="108" t="str">
        <f t="shared" si="19"/>
        <v>2008-09</v>
      </c>
      <c r="H278" s="119"/>
      <c r="I278" s="26"/>
      <c r="J278" s="101">
        <f t="shared" ref="J278:J341" si="21">J277</f>
        <v>0.84443766578674484</v>
      </c>
      <c r="K278" s="37"/>
      <c r="L278" s="26">
        <v>1.63600122249</v>
      </c>
      <c r="M278" s="26" t="s">
        <v>204</v>
      </c>
      <c r="N278" s="26">
        <v>696.6467060487804</v>
      </c>
      <c r="O278" s="95">
        <f t="shared" ref="O278:O341" si="22">IF(N278="","-",L278*N278)</f>
        <v>1139.7148627394365</v>
      </c>
      <c r="P278" s="97">
        <f t="shared" ref="P278:P341" si="23">IF(O278="-","-",IF(OR(E278&lt;$E$15,E278&gt;$E$16),0,O278*J278))*Q278</f>
        <v>962.41815835415002</v>
      </c>
      <c r="Q278" s="197">
        <v>1</v>
      </c>
    </row>
    <row r="279" spans="1:17" x14ac:dyDescent="0.25">
      <c r="A279" s="254">
        <v>39796</v>
      </c>
      <c r="B279" s="254" t="s">
        <v>183</v>
      </c>
      <c r="C279" s="210">
        <v>9331906</v>
      </c>
      <c r="D279" s="115" t="s">
        <v>295</v>
      </c>
      <c r="E279" s="34">
        <f t="shared" si="20"/>
        <v>39796</v>
      </c>
      <c r="F279" s="108" t="str">
        <f t="shared" ref="F279:F342" si="24">IF(E279="","-",IF(OR(E279&lt;$E$15,E279&gt;$E$16),"ERROR - date outside of range",IF(MONTH(E279)&gt;=7,YEAR(E279)&amp;"-"&amp;IF(YEAR(E279)=1999,"00",IF(AND(YEAR(E279)&gt;=2000,YEAR(E279)&lt;2009),"0","")&amp;RIGHT(YEAR(E279),2)+1),RIGHT(YEAR(E279),4)-1&amp;"-"&amp;RIGHT(YEAR(E279),2))))</f>
        <v>2008-09</v>
      </c>
      <c r="H279" s="119"/>
      <c r="I279" s="26"/>
      <c r="J279" s="101">
        <f t="shared" si="21"/>
        <v>0.84443766578674484</v>
      </c>
      <c r="K279" s="37"/>
      <c r="L279" s="26">
        <v>15.4988421135</v>
      </c>
      <c r="M279" s="26" t="s">
        <v>204</v>
      </c>
      <c r="N279" s="26">
        <v>771.6404230243902</v>
      </c>
      <c r="O279" s="95">
        <f t="shared" si="22"/>
        <v>11959.533084849374</v>
      </c>
      <c r="P279" s="97">
        <f t="shared" si="23"/>
        <v>10099.080202069554</v>
      </c>
      <c r="Q279" s="197">
        <v>1</v>
      </c>
    </row>
    <row r="280" spans="1:17" x14ac:dyDescent="0.25">
      <c r="A280" s="254">
        <v>39796</v>
      </c>
      <c r="B280" s="254" t="s">
        <v>183</v>
      </c>
      <c r="C280" s="210">
        <v>9331905</v>
      </c>
      <c r="D280" s="115" t="s">
        <v>295</v>
      </c>
      <c r="E280" s="34">
        <f t="shared" si="20"/>
        <v>39796</v>
      </c>
      <c r="F280" s="108" t="str">
        <f t="shared" si="24"/>
        <v>2008-09</v>
      </c>
      <c r="H280" s="119"/>
      <c r="I280" s="26"/>
      <c r="J280" s="101">
        <f t="shared" si="21"/>
        <v>0.84443766578674484</v>
      </c>
      <c r="K280" s="37"/>
      <c r="L280" s="26">
        <v>37.8961232256</v>
      </c>
      <c r="M280" s="26" t="s">
        <v>204</v>
      </c>
      <c r="N280" s="26">
        <v>771.6404230243902</v>
      </c>
      <c r="O280" s="95">
        <f t="shared" si="22"/>
        <v>29242.180556786403</v>
      </c>
      <c r="P280" s="97">
        <f t="shared" si="23"/>
        <v>24693.198691887246</v>
      </c>
      <c r="Q280" s="197">
        <v>1</v>
      </c>
    </row>
    <row r="281" spans="1:17" x14ac:dyDescent="0.25">
      <c r="A281" s="254">
        <v>41023</v>
      </c>
      <c r="B281" s="254" t="s">
        <v>183</v>
      </c>
      <c r="C281" s="210">
        <v>10528866</v>
      </c>
      <c r="D281" s="115" t="s">
        <v>296</v>
      </c>
      <c r="E281" s="34">
        <f t="shared" si="20"/>
        <v>41023</v>
      </c>
      <c r="F281" s="108" t="str">
        <f t="shared" si="24"/>
        <v>2011-12</v>
      </c>
      <c r="H281" s="119"/>
      <c r="I281" s="26"/>
      <c r="J281" s="101">
        <f t="shared" si="21"/>
        <v>0.84443766578674484</v>
      </c>
      <c r="K281" s="37"/>
      <c r="L281" s="26">
        <v>4.0004373978899999</v>
      </c>
      <c r="M281" s="26" t="s">
        <v>204</v>
      </c>
      <c r="N281" s="26">
        <v>1003.0093919999996</v>
      </c>
      <c r="O281" s="95">
        <f t="shared" si="22"/>
        <v>4012.4762821917093</v>
      </c>
      <c r="P281" s="97">
        <f t="shared" si="23"/>
        <v>3388.2861057586429</v>
      </c>
      <c r="Q281" s="197">
        <v>1</v>
      </c>
    </row>
    <row r="282" spans="1:17" x14ac:dyDescent="0.25">
      <c r="A282" s="254">
        <v>39931</v>
      </c>
      <c r="B282" s="254" t="s">
        <v>183</v>
      </c>
      <c r="C282" s="210">
        <v>9252751</v>
      </c>
      <c r="D282" s="115" t="s">
        <v>291</v>
      </c>
      <c r="E282" s="34">
        <f t="shared" si="20"/>
        <v>39931</v>
      </c>
      <c r="F282" s="108" t="str">
        <f t="shared" si="24"/>
        <v>2008-09</v>
      </c>
      <c r="H282" s="119"/>
      <c r="I282" s="26"/>
      <c r="J282" s="101">
        <f t="shared" si="21"/>
        <v>0.84443766578674484</v>
      </c>
      <c r="K282" s="37"/>
      <c r="L282" s="26">
        <v>3.53033286326</v>
      </c>
      <c r="M282" s="26" t="s">
        <v>204</v>
      </c>
      <c r="N282" s="26">
        <v>1473.6780487804876</v>
      </c>
      <c r="O282" s="95">
        <f t="shared" si="22"/>
        <v>5202.5740454746292</v>
      </c>
      <c r="P282" s="97">
        <f t="shared" si="23"/>
        <v>4393.2494830432979</v>
      </c>
      <c r="Q282" s="197">
        <v>1</v>
      </c>
    </row>
    <row r="283" spans="1:17" x14ac:dyDescent="0.25">
      <c r="A283" s="254">
        <v>39931</v>
      </c>
      <c r="B283" s="254" t="s">
        <v>183</v>
      </c>
      <c r="C283" s="210">
        <v>9345077</v>
      </c>
      <c r="D283" s="115" t="s">
        <v>291</v>
      </c>
      <c r="E283" s="34">
        <f t="shared" si="20"/>
        <v>39931</v>
      </c>
      <c r="F283" s="108" t="str">
        <f t="shared" si="24"/>
        <v>2008-09</v>
      </c>
      <c r="H283" s="119"/>
      <c r="I283" s="26"/>
      <c r="J283" s="101">
        <f t="shared" si="21"/>
        <v>0.84443766578674484</v>
      </c>
      <c r="K283" s="37"/>
      <c r="L283" s="26">
        <v>1.0007697037800001</v>
      </c>
      <c r="M283" s="26" t="s">
        <v>204</v>
      </c>
      <c r="N283" s="26">
        <v>1642.9278048780486</v>
      </c>
      <c r="O283" s="95">
        <f t="shared" si="22"/>
        <v>1644.1923726197306</v>
      </c>
      <c r="P283" s="97">
        <f t="shared" si="23"/>
        <v>1388.417969239375</v>
      </c>
      <c r="Q283" s="197">
        <v>1</v>
      </c>
    </row>
    <row r="284" spans="1:17" x14ac:dyDescent="0.25">
      <c r="A284" s="254">
        <v>39716</v>
      </c>
      <c r="B284" s="254" t="s">
        <v>183</v>
      </c>
      <c r="C284" s="210">
        <v>9287484</v>
      </c>
      <c r="D284" s="115" t="s">
        <v>296</v>
      </c>
      <c r="E284" s="34">
        <f t="shared" si="20"/>
        <v>39716</v>
      </c>
      <c r="F284" s="108" t="str">
        <f t="shared" si="24"/>
        <v>2008-09</v>
      </c>
      <c r="H284" s="119"/>
      <c r="I284" s="26"/>
      <c r="J284" s="101">
        <f t="shared" si="21"/>
        <v>0.84443766578674484</v>
      </c>
      <c r="K284" s="37"/>
      <c r="L284" s="26">
        <v>107.60085296</v>
      </c>
      <c r="M284" s="26" t="s">
        <v>204</v>
      </c>
      <c r="N284" s="26">
        <v>1128.7084557073169</v>
      </c>
      <c r="O284" s="95">
        <f t="shared" si="22"/>
        <v>121449.99257727168</v>
      </c>
      <c r="P284" s="97">
        <f t="shared" si="23"/>
        <v>27101.181088366822</v>
      </c>
      <c r="Q284" s="197">
        <v>0.26425494862111365</v>
      </c>
    </row>
    <row r="285" spans="1:17" x14ac:dyDescent="0.25">
      <c r="A285" s="254">
        <v>39716</v>
      </c>
      <c r="B285" s="254" t="s">
        <v>183</v>
      </c>
      <c r="C285" s="210">
        <v>9287489</v>
      </c>
      <c r="D285" s="115" t="s">
        <v>296</v>
      </c>
      <c r="E285" s="34">
        <f t="shared" si="20"/>
        <v>39716</v>
      </c>
      <c r="F285" s="108" t="str">
        <f t="shared" si="24"/>
        <v>2008-09</v>
      </c>
      <c r="H285" s="119"/>
      <c r="I285" s="26"/>
      <c r="J285" s="101">
        <f t="shared" si="21"/>
        <v>0.84443766578674484</v>
      </c>
      <c r="K285" s="37"/>
      <c r="L285" s="26">
        <v>17.273012924300001</v>
      </c>
      <c r="M285" s="26" t="s">
        <v>204</v>
      </c>
      <c r="N285" s="26">
        <v>1128.7084557073169</v>
      </c>
      <c r="O285" s="95">
        <f t="shared" si="22"/>
        <v>19496.19574319918</v>
      </c>
      <c r="P285" s="97">
        <f t="shared" si="23"/>
        <v>4350.5143158779183</v>
      </c>
      <c r="Q285" s="197">
        <v>0.26425494862111365</v>
      </c>
    </row>
    <row r="286" spans="1:17" x14ac:dyDescent="0.25">
      <c r="A286" s="254">
        <v>39890</v>
      </c>
      <c r="B286" s="254" t="s">
        <v>183</v>
      </c>
      <c r="C286" s="210">
        <v>9355842</v>
      </c>
      <c r="D286" s="115" t="s">
        <v>297</v>
      </c>
      <c r="E286" s="34">
        <f t="shared" si="20"/>
        <v>39890</v>
      </c>
      <c r="F286" s="108" t="str">
        <f t="shared" si="24"/>
        <v>2008-09</v>
      </c>
      <c r="H286" s="119"/>
      <c r="I286" s="26"/>
      <c r="J286" s="101">
        <f t="shared" si="21"/>
        <v>0.84443766578674484</v>
      </c>
      <c r="K286" s="37"/>
      <c r="L286" s="26">
        <v>3.4984645136900001</v>
      </c>
      <c r="M286" s="26" t="s">
        <v>204</v>
      </c>
      <c r="N286" s="26">
        <v>696.6467060487804</v>
      </c>
      <c r="O286" s="95">
        <f t="shared" si="22"/>
        <v>2437.1937796906868</v>
      </c>
      <c r="P286" s="97">
        <f t="shared" si="23"/>
        <v>2058.0582263919778</v>
      </c>
      <c r="Q286" s="197">
        <v>1</v>
      </c>
    </row>
    <row r="287" spans="1:17" x14ac:dyDescent="0.25">
      <c r="A287" s="254">
        <v>39890</v>
      </c>
      <c r="B287" s="254" t="s">
        <v>183</v>
      </c>
      <c r="C287" s="210">
        <v>9355846</v>
      </c>
      <c r="D287" s="115" t="s">
        <v>297</v>
      </c>
      <c r="E287" s="34">
        <f t="shared" si="20"/>
        <v>39890</v>
      </c>
      <c r="F287" s="108" t="str">
        <f t="shared" si="24"/>
        <v>2008-09</v>
      </c>
      <c r="H287" s="119"/>
      <c r="I287" s="26"/>
      <c r="J287" s="101">
        <f t="shared" si="21"/>
        <v>0.84443766578674484</v>
      </c>
      <c r="K287" s="37"/>
      <c r="L287" s="26">
        <v>4.9647553374499998</v>
      </c>
      <c r="M287" s="26" t="s">
        <v>204</v>
      </c>
      <c r="N287" s="26">
        <v>696.6467060487804</v>
      </c>
      <c r="O287" s="95">
        <f t="shared" si="22"/>
        <v>3458.6804521726435</v>
      </c>
      <c r="P287" s="97">
        <f t="shared" si="23"/>
        <v>2920.6400477349102</v>
      </c>
      <c r="Q287" s="197">
        <v>1</v>
      </c>
    </row>
    <row r="288" spans="1:17" x14ac:dyDescent="0.25">
      <c r="A288" s="254">
        <v>39895</v>
      </c>
      <c r="B288" s="254" t="s">
        <v>183</v>
      </c>
      <c r="C288" s="210">
        <v>9474466</v>
      </c>
      <c r="D288" s="115" t="s">
        <v>298</v>
      </c>
      <c r="E288" s="34">
        <f t="shared" si="20"/>
        <v>39895</v>
      </c>
      <c r="F288" s="108" t="str">
        <f t="shared" si="24"/>
        <v>2008-09</v>
      </c>
      <c r="H288" s="119"/>
      <c r="I288" s="26"/>
      <c r="J288" s="101">
        <f t="shared" si="21"/>
        <v>0.84443766578674484</v>
      </c>
      <c r="K288" s="37"/>
      <c r="L288" s="26">
        <v>2.2298542553299998</v>
      </c>
      <c r="M288" s="26" t="s">
        <v>204</v>
      </c>
      <c r="N288" s="26">
        <v>696.6467060487804</v>
      </c>
      <c r="O288" s="95">
        <f t="shared" si="22"/>
        <v>1553.4206219445005</v>
      </c>
      <c r="P288" s="97">
        <f t="shared" si="23"/>
        <v>183.21022416232174</v>
      </c>
      <c r="Q288" s="197">
        <v>0.13966675512227825</v>
      </c>
    </row>
    <row r="289" spans="1:17" x14ac:dyDescent="0.25">
      <c r="A289" s="254">
        <v>39895</v>
      </c>
      <c r="B289" s="254" t="s">
        <v>183</v>
      </c>
      <c r="C289" s="210">
        <v>9474538</v>
      </c>
      <c r="D289" s="115" t="s">
        <v>298</v>
      </c>
      <c r="E289" s="34">
        <f t="shared" si="20"/>
        <v>39895</v>
      </c>
      <c r="F289" s="108" t="str">
        <f t="shared" si="24"/>
        <v>2008-09</v>
      </c>
      <c r="H289" s="119"/>
      <c r="I289" s="26"/>
      <c r="J289" s="101">
        <f t="shared" si="21"/>
        <v>0.84443766578674484</v>
      </c>
      <c r="K289" s="37"/>
      <c r="L289" s="26">
        <v>6.4619878698199997</v>
      </c>
      <c r="M289" s="26" t="s">
        <v>204</v>
      </c>
      <c r="N289" s="26">
        <v>1003.0093919999996</v>
      </c>
      <c r="O289" s="95">
        <f t="shared" si="22"/>
        <v>6481.4345244195301</v>
      </c>
      <c r="P289" s="97">
        <f t="shared" si="23"/>
        <v>764.41953669051929</v>
      </c>
      <c r="Q289" s="197">
        <v>0.13966675512227825</v>
      </c>
    </row>
    <row r="290" spans="1:17" x14ac:dyDescent="0.25">
      <c r="A290" s="254">
        <v>39895</v>
      </c>
      <c r="B290" s="254" t="s">
        <v>183</v>
      </c>
      <c r="C290" s="210">
        <v>9474524</v>
      </c>
      <c r="D290" s="115" t="s">
        <v>298</v>
      </c>
      <c r="E290" s="34">
        <f t="shared" si="20"/>
        <v>39895</v>
      </c>
      <c r="F290" s="108" t="str">
        <f t="shared" si="24"/>
        <v>2008-09</v>
      </c>
      <c r="H290" s="119"/>
      <c r="I290" s="26"/>
      <c r="J290" s="101">
        <f t="shared" si="21"/>
        <v>0.84443766578674484</v>
      </c>
      <c r="K290" s="37"/>
      <c r="L290" s="26">
        <v>31.088040212900001</v>
      </c>
      <c r="M290" s="26" t="s">
        <v>204</v>
      </c>
      <c r="N290" s="26">
        <v>965.92878048780472</v>
      </c>
      <c r="O290" s="95">
        <f t="shared" si="22"/>
        <v>30028.83277060233</v>
      </c>
      <c r="P290" s="97">
        <f t="shared" si="23"/>
        <v>3541.5965936825851</v>
      </c>
      <c r="Q290" s="197">
        <v>0.13966675512227825</v>
      </c>
    </row>
    <row r="291" spans="1:17" x14ac:dyDescent="0.25">
      <c r="A291" s="254">
        <v>39895</v>
      </c>
      <c r="B291" s="254" t="s">
        <v>183</v>
      </c>
      <c r="C291" s="210">
        <v>9474523</v>
      </c>
      <c r="D291" s="115" t="s">
        <v>298</v>
      </c>
      <c r="E291" s="34">
        <f t="shared" si="20"/>
        <v>39895</v>
      </c>
      <c r="F291" s="108" t="str">
        <f t="shared" si="24"/>
        <v>2008-09</v>
      </c>
      <c r="H291" s="119"/>
      <c r="I291" s="26"/>
      <c r="J291" s="101">
        <f t="shared" si="21"/>
        <v>0.84443766578674484</v>
      </c>
      <c r="K291" s="37"/>
      <c r="L291" s="26">
        <v>4.4392156389300004</v>
      </c>
      <c r="M291" s="26" t="s">
        <v>204</v>
      </c>
      <c r="N291" s="26">
        <v>1003.0093919999996</v>
      </c>
      <c r="O291" s="95">
        <f t="shared" si="22"/>
        <v>4452.5749789600695</v>
      </c>
      <c r="P291" s="97">
        <f t="shared" si="23"/>
        <v>525.13610832183485</v>
      </c>
      <c r="Q291" s="197">
        <v>0.13966675512227825</v>
      </c>
    </row>
    <row r="292" spans="1:17" x14ac:dyDescent="0.25">
      <c r="A292" s="254">
        <v>39895</v>
      </c>
      <c r="B292" s="254" t="s">
        <v>183</v>
      </c>
      <c r="C292" s="210">
        <v>9474521</v>
      </c>
      <c r="D292" s="115" t="s">
        <v>298</v>
      </c>
      <c r="E292" s="34">
        <f t="shared" si="20"/>
        <v>39895</v>
      </c>
      <c r="F292" s="108" t="str">
        <f t="shared" si="24"/>
        <v>2008-09</v>
      </c>
      <c r="H292" s="119"/>
      <c r="I292" s="26"/>
      <c r="J292" s="101">
        <f t="shared" si="21"/>
        <v>0.84443766578674484</v>
      </c>
      <c r="K292" s="37"/>
      <c r="L292" s="26">
        <v>5.1438635885900004</v>
      </c>
      <c r="M292" s="26" t="s">
        <v>204</v>
      </c>
      <c r="N292" s="26">
        <v>696.6467060487804</v>
      </c>
      <c r="O292" s="95">
        <f t="shared" si="22"/>
        <v>3583.4556253554829</v>
      </c>
      <c r="P292" s="97">
        <f t="shared" si="23"/>
        <v>422.63228588745153</v>
      </c>
      <c r="Q292" s="197">
        <v>0.13966675512227825</v>
      </c>
    </row>
    <row r="293" spans="1:17" x14ac:dyDescent="0.25">
      <c r="A293" s="254">
        <v>41185</v>
      </c>
      <c r="B293" s="254" t="s">
        <v>183</v>
      </c>
      <c r="C293" s="210">
        <v>10496534</v>
      </c>
      <c r="D293" s="115" t="s">
        <v>299</v>
      </c>
      <c r="E293" s="34">
        <f t="shared" si="20"/>
        <v>41185</v>
      </c>
      <c r="F293" s="108" t="str">
        <f t="shared" si="24"/>
        <v>2012-13</v>
      </c>
      <c r="H293" s="119"/>
      <c r="I293" s="26"/>
      <c r="J293" s="101">
        <f t="shared" si="21"/>
        <v>0.84443766578674484</v>
      </c>
      <c r="K293" s="37"/>
      <c r="L293" s="26">
        <v>155.14397916300001</v>
      </c>
      <c r="M293" s="26" t="s">
        <v>204</v>
      </c>
      <c r="N293" s="26">
        <v>936.5640883902438</v>
      </c>
      <c r="O293" s="95">
        <f t="shared" si="22"/>
        <v>145302.27941403008</v>
      </c>
      <c r="P293" s="97">
        <f t="shared" si="23"/>
        <v>122698.71766187694</v>
      </c>
      <c r="Q293" s="197">
        <v>1</v>
      </c>
    </row>
    <row r="294" spans="1:17" x14ac:dyDescent="0.25">
      <c r="A294" s="254">
        <v>41185</v>
      </c>
      <c r="B294" s="254" t="s">
        <v>183</v>
      </c>
      <c r="C294" s="210">
        <v>10268267</v>
      </c>
      <c r="D294" s="115" t="s">
        <v>299</v>
      </c>
      <c r="E294" s="34">
        <f t="shared" si="20"/>
        <v>41185</v>
      </c>
      <c r="F294" s="108" t="str">
        <f t="shared" si="24"/>
        <v>2012-13</v>
      </c>
      <c r="H294" s="119"/>
      <c r="I294" s="26"/>
      <c r="J294" s="101">
        <f t="shared" si="21"/>
        <v>0.84443766578674484</v>
      </c>
      <c r="K294" s="37"/>
      <c r="L294" s="26">
        <v>27.048292424900001</v>
      </c>
      <c r="M294" s="26" t="s">
        <v>204</v>
      </c>
      <c r="N294" s="26">
        <v>936.5640883902438</v>
      </c>
      <c r="O294" s="95">
        <f t="shared" si="22"/>
        <v>25332.459337439206</v>
      </c>
      <c r="P294" s="97">
        <f t="shared" si="23"/>
        <v>21391.682831544793</v>
      </c>
      <c r="Q294" s="197">
        <v>1</v>
      </c>
    </row>
    <row r="295" spans="1:17" x14ac:dyDescent="0.25">
      <c r="A295" s="254">
        <v>41185</v>
      </c>
      <c r="B295" s="254" t="s">
        <v>183</v>
      </c>
      <c r="C295" s="210">
        <v>10268265</v>
      </c>
      <c r="D295" s="115" t="s">
        <v>300</v>
      </c>
      <c r="E295" s="34">
        <f t="shared" si="20"/>
        <v>41185</v>
      </c>
      <c r="F295" s="108" t="str">
        <f t="shared" si="24"/>
        <v>2012-13</v>
      </c>
      <c r="H295" s="119"/>
      <c r="I295" s="26"/>
      <c r="J295" s="101">
        <f t="shared" si="21"/>
        <v>0.84443766578674484</v>
      </c>
      <c r="K295" s="37"/>
      <c r="L295" s="26">
        <v>164.76005221099999</v>
      </c>
      <c r="M295" s="26" t="s">
        <v>204</v>
      </c>
      <c r="N295" s="26">
        <v>1385.4167692682922</v>
      </c>
      <c r="O295" s="95">
        <f t="shared" si="22"/>
        <v>228261.33923863876</v>
      </c>
      <c r="P295" s="97">
        <f t="shared" si="23"/>
        <v>192752.47249603242</v>
      </c>
      <c r="Q295" s="197">
        <v>1</v>
      </c>
    </row>
    <row r="296" spans="1:17" x14ac:dyDescent="0.25">
      <c r="A296" s="254">
        <v>41185</v>
      </c>
      <c r="B296" s="254" t="s">
        <v>183</v>
      </c>
      <c r="C296" s="210">
        <v>10496548</v>
      </c>
      <c r="D296" s="115" t="s">
        <v>300</v>
      </c>
      <c r="E296" s="34">
        <f t="shared" si="20"/>
        <v>41185</v>
      </c>
      <c r="F296" s="108" t="str">
        <f t="shared" si="24"/>
        <v>2012-13</v>
      </c>
      <c r="H296" s="119"/>
      <c r="I296" s="26"/>
      <c r="J296" s="101">
        <f t="shared" si="21"/>
        <v>0.84443766578674484</v>
      </c>
      <c r="K296" s="37"/>
      <c r="L296" s="26">
        <v>53.176930542000001</v>
      </c>
      <c r="M296" s="26" t="s">
        <v>204</v>
      </c>
      <c r="N296" s="26">
        <v>1181.2618378536583</v>
      </c>
      <c r="O296" s="95">
        <f t="shared" si="22"/>
        <v>62815.878703459253</v>
      </c>
      <c r="P296" s="97">
        <f t="shared" si="23"/>
        <v>53044.093986692431</v>
      </c>
      <c r="Q296" s="197">
        <v>1</v>
      </c>
    </row>
    <row r="297" spans="1:17" x14ac:dyDescent="0.25">
      <c r="A297" s="254">
        <v>40120</v>
      </c>
      <c r="B297" s="254" t="s">
        <v>183</v>
      </c>
      <c r="C297" s="210">
        <v>9468541</v>
      </c>
      <c r="D297" s="115" t="s">
        <v>301</v>
      </c>
      <c r="E297" s="34">
        <f t="shared" si="20"/>
        <v>40120</v>
      </c>
      <c r="F297" s="108" t="str">
        <f t="shared" si="24"/>
        <v>2009-10</v>
      </c>
      <c r="H297" s="119"/>
      <c r="I297" s="26"/>
      <c r="J297" s="101">
        <f t="shared" si="21"/>
        <v>0.84443766578674484</v>
      </c>
      <c r="K297" s="37"/>
      <c r="L297" s="26">
        <v>3.2661224729799998</v>
      </c>
      <c r="M297" s="26" t="s">
        <v>204</v>
      </c>
      <c r="N297" s="26">
        <v>771.6404230243902</v>
      </c>
      <c r="O297" s="95">
        <f t="shared" si="22"/>
        <v>2520.2721266997546</v>
      </c>
      <c r="P297" s="97">
        <f t="shared" si="23"/>
        <v>2128.2127118177359</v>
      </c>
      <c r="Q297" s="197">
        <v>1</v>
      </c>
    </row>
    <row r="298" spans="1:17" x14ac:dyDescent="0.25">
      <c r="A298" s="254">
        <v>40120</v>
      </c>
      <c r="B298" s="254" t="s">
        <v>183</v>
      </c>
      <c r="C298" s="210">
        <v>9468540</v>
      </c>
      <c r="D298" s="115" t="s">
        <v>301</v>
      </c>
      <c r="E298" s="34">
        <f t="shared" si="20"/>
        <v>40120</v>
      </c>
      <c r="F298" s="108" t="str">
        <f t="shared" si="24"/>
        <v>2009-10</v>
      </c>
      <c r="H298" s="119"/>
      <c r="I298" s="26"/>
      <c r="J298" s="101">
        <f t="shared" si="21"/>
        <v>0.84443766578674484</v>
      </c>
      <c r="K298" s="37"/>
      <c r="L298" s="26">
        <v>3.6967059141199998</v>
      </c>
      <c r="M298" s="26" t="s">
        <v>204</v>
      </c>
      <c r="N298" s="26">
        <v>696.6467060487804</v>
      </c>
      <c r="O298" s="95">
        <f t="shared" si="22"/>
        <v>2575.2979983027435</v>
      </c>
      <c r="P298" s="97">
        <f t="shared" si="23"/>
        <v>2174.6786303920453</v>
      </c>
      <c r="Q298" s="197">
        <v>1</v>
      </c>
    </row>
    <row r="299" spans="1:17" x14ac:dyDescent="0.25">
      <c r="A299" s="254">
        <v>40120</v>
      </c>
      <c r="B299" s="254" t="s">
        <v>183</v>
      </c>
      <c r="C299" s="210">
        <v>9468572</v>
      </c>
      <c r="D299" s="115" t="s">
        <v>301</v>
      </c>
      <c r="E299" s="34">
        <f t="shared" si="20"/>
        <v>40120</v>
      </c>
      <c r="F299" s="108" t="str">
        <f t="shared" si="24"/>
        <v>2009-10</v>
      </c>
      <c r="H299" s="119"/>
      <c r="I299" s="26"/>
      <c r="J299" s="101">
        <f t="shared" si="21"/>
        <v>0.84443766578674484</v>
      </c>
      <c r="K299" s="37"/>
      <c r="L299" s="26">
        <v>5.1046744249199998</v>
      </c>
      <c r="M299" s="26" t="s">
        <v>204</v>
      </c>
      <c r="N299" s="26">
        <v>771.6404230243902</v>
      </c>
      <c r="O299" s="95">
        <f t="shared" si="22"/>
        <v>3938.9731326470546</v>
      </c>
      <c r="P299" s="97">
        <f t="shared" si="23"/>
        <v>3326.2172777291808</v>
      </c>
      <c r="Q299" s="197">
        <v>1</v>
      </c>
    </row>
    <row r="300" spans="1:17" x14ac:dyDescent="0.25">
      <c r="A300" s="254">
        <v>40120</v>
      </c>
      <c r="B300" s="254" t="s">
        <v>183</v>
      </c>
      <c r="C300" s="210">
        <v>9468575</v>
      </c>
      <c r="D300" s="115" t="s">
        <v>301</v>
      </c>
      <c r="E300" s="34">
        <f t="shared" si="20"/>
        <v>40120</v>
      </c>
      <c r="F300" s="108" t="str">
        <f t="shared" si="24"/>
        <v>2009-10</v>
      </c>
      <c r="H300" s="119"/>
      <c r="I300" s="26"/>
      <c r="J300" s="101">
        <f t="shared" si="21"/>
        <v>0.84443766578674484</v>
      </c>
      <c r="K300" s="37"/>
      <c r="L300" s="26">
        <v>4.3196400971799997</v>
      </c>
      <c r="M300" s="26" t="s">
        <v>204</v>
      </c>
      <c r="N300" s="26">
        <v>696.6467060487804</v>
      </c>
      <c r="O300" s="95">
        <f t="shared" si="22"/>
        <v>3009.2630450166803</v>
      </c>
      <c r="P300" s="97">
        <f t="shared" si="23"/>
        <v>2541.1350614721978</v>
      </c>
      <c r="Q300" s="197">
        <v>1</v>
      </c>
    </row>
    <row r="301" spans="1:17" x14ac:dyDescent="0.25">
      <c r="A301" s="254">
        <v>40156</v>
      </c>
      <c r="B301" s="254" t="s">
        <v>183</v>
      </c>
      <c r="C301" s="210">
        <v>9469577</v>
      </c>
      <c r="D301" s="115" t="s">
        <v>301</v>
      </c>
      <c r="E301" s="34">
        <f t="shared" si="20"/>
        <v>40156</v>
      </c>
      <c r="F301" s="108" t="str">
        <f t="shared" si="24"/>
        <v>2009-10</v>
      </c>
      <c r="H301" s="119"/>
      <c r="I301" s="26"/>
      <c r="J301" s="101">
        <f t="shared" si="21"/>
        <v>0.84443766578674484</v>
      </c>
      <c r="K301" s="37"/>
      <c r="L301" s="26">
        <v>23.336955616499999</v>
      </c>
      <c r="M301" s="26" t="s">
        <v>204</v>
      </c>
      <c r="N301" s="26">
        <v>696.6467060487804</v>
      </c>
      <c r="O301" s="95">
        <f t="shared" si="22"/>
        <v>16257.61325944131</v>
      </c>
      <c r="P301" s="97">
        <f t="shared" si="23"/>
        <v>13728.540992066253</v>
      </c>
      <c r="Q301" s="197">
        <v>1</v>
      </c>
    </row>
    <row r="302" spans="1:17" x14ac:dyDescent="0.25">
      <c r="A302" s="254">
        <v>40120</v>
      </c>
      <c r="B302" s="254" t="s">
        <v>183</v>
      </c>
      <c r="C302" s="210">
        <v>9469562</v>
      </c>
      <c r="D302" s="115" t="s">
        <v>301</v>
      </c>
      <c r="E302" s="34">
        <f t="shared" si="20"/>
        <v>40120</v>
      </c>
      <c r="F302" s="108" t="str">
        <f t="shared" si="24"/>
        <v>2009-10</v>
      </c>
      <c r="H302" s="119"/>
      <c r="I302" s="26"/>
      <c r="J302" s="101">
        <f t="shared" si="21"/>
        <v>0.84443766578674484</v>
      </c>
      <c r="K302" s="37"/>
      <c r="L302" s="26">
        <v>3.6650231358599998</v>
      </c>
      <c r="M302" s="26" t="s">
        <v>204</v>
      </c>
      <c r="N302" s="26">
        <v>696.6467060487804</v>
      </c>
      <c r="O302" s="95">
        <f t="shared" si="22"/>
        <v>2553.2262951894409</v>
      </c>
      <c r="P302" s="97">
        <f t="shared" si="23"/>
        <v>2156.0404529351099</v>
      </c>
      <c r="Q302" s="197">
        <v>1</v>
      </c>
    </row>
    <row r="303" spans="1:17" x14ac:dyDescent="0.25">
      <c r="A303" s="254">
        <v>40156</v>
      </c>
      <c r="B303" s="254" t="s">
        <v>183</v>
      </c>
      <c r="C303" s="210">
        <v>9469569</v>
      </c>
      <c r="D303" s="115" t="s">
        <v>301</v>
      </c>
      <c r="E303" s="34">
        <f t="shared" si="20"/>
        <v>40156</v>
      </c>
      <c r="F303" s="108" t="str">
        <f t="shared" si="24"/>
        <v>2009-10</v>
      </c>
      <c r="H303" s="119"/>
      <c r="I303" s="26"/>
      <c r="J303" s="101">
        <f t="shared" si="21"/>
        <v>0.84443766578674484</v>
      </c>
      <c r="K303" s="37"/>
      <c r="L303" s="26">
        <v>1.9805769361500001</v>
      </c>
      <c r="M303" s="26" t="s">
        <v>204</v>
      </c>
      <c r="N303" s="26">
        <v>696.6467060487804</v>
      </c>
      <c r="O303" s="95">
        <f t="shared" si="22"/>
        <v>1379.7623986450833</v>
      </c>
      <c r="P303" s="97">
        <f t="shared" si="23"/>
        <v>1165.1233392521742</v>
      </c>
      <c r="Q303" s="197">
        <v>1</v>
      </c>
    </row>
    <row r="304" spans="1:17" x14ac:dyDescent="0.25">
      <c r="A304" s="254">
        <v>40156</v>
      </c>
      <c r="B304" s="254" t="s">
        <v>183</v>
      </c>
      <c r="C304" s="210">
        <v>9469575</v>
      </c>
      <c r="D304" s="115" t="s">
        <v>301</v>
      </c>
      <c r="E304" s="34">
        <f t="shared" si="20"/>
        <v>40156</v>
      </c>
      <c r="F304" s="108" t="str">
        <f t="shared" si="24"/>
        <v>2009-10</v>
      </c>
      <c r="H304" s="119"/>
      <c r="I304" s="26"/>
      <c r="J304" s="101">
        <f t="shared" si="21"/>
        <v>0.84443766578674484</v>
      </c>
      <c r="K304" s="37"/>
      <c r="L304" s="26">
        <v>2.8986253638599999</v>
      </c>
      <c r="M304" s="26" t="s">
        <v>204</v>
      </c>
      <c r="N304" s="26">
        <v>696.6467060487804</v>
      </c>
      <c r="O304" s="95">
        <f t="shared" si="22"/>
        <v>2019.3178118025164</v>
      </c>
      <c r="P304" s="97">
        <f t="shared" si="23"/>
        <v>1705.1880194801142</v>
      </c>
      <c r="Q304" s="197">
        <v>1</v>
      </c>
    </row>
    <row r="305" spans="1:17" x14ac:dyDescent="0.25">
      <c r="A305" s="254">
        <v>40120</v>
      </c>
      <c r="B305" s="254" t="s">
        <v>183</v>
      </c>
      <c r="C305" s="210">
        <v>9469573</v>
      </c>
      <c r="D305" s="115" t="s">
        <v>301</v>
      </c>
      <c r="E305" s="34">
        <f t="shared" si="20"/>
        <v>40120</v>
      </c>
      <c r="F305" s="108" t="str">
        <f t="shared" si="24"/>
        <v>2009-10</v>
      </c>
      <c r="H305" s="119"/>
      <c r="I305" s="26"/>
      <c r="J305" s="101">
        <f t="shared" si="21"/>
        <v>0.84443766578674484</v>
      </c>
      <c r="K305" s="37"/>
      <c r="L305" s="26">
        <v>2.0774631165900002</v>
      </c>
      <c r="M305" s="26" t="s">
        <v>204</v>
      </c>
      <c r="N305" s="26">
        <v>696.6467060487804</v>
      </c>
      <c r="O305" s="95">
        <f t="shared" si="22"/>
        <v>1447.257837110257</v>
      </c>
      <c r="P305" s="97">
        <f t="shared" si="23"/>
        <v>1222.1190297609585</v>
      </c>
      <c r="Q305" s="197">
        <v>1</v>
      </c>
    </row>
    <row r="306" spans="1:17" x14ac:dyDescent="0.25">
      <c r="A306" s="254">
        <v>40156</v>
      </c>
      <c r="B306" s="254" t="s">
        <v>183</v>
      </c>
      <c r="C306" s="210">
        <v>9469563</v>
      </c>
      <c r="D306" s="115" t="s">
        <v>301</v>
      </c>
      <c r="E306" s="34">
        <f t="shared" si="20"/>
        <v>40156</v>
      </c>
      <c r="F306" s="108" t="str">
        <f t="shared" si="24"/>
        <v>2009-10</v>
      </c>
      <c r="H306" s="119"/>
      <c r="I306" s="26"/>
      <c r="J306" s="101">
        <f t="shared" si="21"/>
        <v>0.84443766578674484</v>
      </c>
      <c r="K306" s="37"/>
      <c r="L306" s="26">
        <v>1.49942388937</v>
      </c>
      <c r="M306" s="26" t="s">
        <v>204</v>
      </c>
      <c r="N306" s="26">
        <v>696.6467060487804</v>
      </c>
      <c r="O306" s="95">
        <f t="shared" si="22"/>
        <v>1044.5687135004614</v>
      </c>
      <c r="P306" s="97">
        <f t="shared" si="23"/>
        <v>882.07316618219261</v>
      </c>
      <c r="Q306" s="197">
        <v>1</v>
      </c>
    </row>
    <row r="307" spans="1:17" x14ac:dyDescent="0.25">
      <c r="A307" s="254">
        <v>41599</v>
      </c>
      <c r="B307" s="254" t="s">
        <v>183</v>
      </c>
      <c r="C307" s="210">
        <v>10767751</v>
      </c>
      <c r="D307" s="115" t="s">
        <v>302</v>
      </c>
      <c r="E307" s="34">
        <f t="shared" si="20"/>
        <v>41599</v>
      </c>
      <c r="F307" s="108" t="str">
        <f t="shared" si="24"/>
        <v>2013-14</v>
      </c>
      <c r="H307" s="119"/>
      <c r="I307" s="26"/>
      <c r="J307" s="101">
        <f t="shared" si="21"/>
        <v>0.84443766578674484</v>
      </c>
      <c r="K307" s="37"/>
      <c r="L307" s="26">
        <v>1.9993965730900001</v>
      </c>
      <c r="M307" s="26" t="s">
        <v>204</v>
      </c>
      <c r="N307" s="26">
        <v>1181.2618378536583</v>
      </c>
      <c r="O307" s="95">
        <f t="shared" si="22"/>
        <v>2361.8108705266</v>
      </c>
      <c r="P307" s="97">
        <f t="shared" si="23"/>
        <v>1994.4020585372418</v>
      </c>
      <c r="Q307" s="197">
        <v>1</v>
      </c>
    </row>
    <row r="308" spans="1:17" x14ac:dyDescent="0.25">
      <c r="A308" s="254">
        <v>41599</v>
      </c>
      <c r="B308" s="254" t="s">
        <v>183</v>
      </c>
      <c r="C308" s="210">
        <v>10767740</v>
      </c>
      <c r="D308" s="115" t="s">
        <v>302</v>
      </c>
      <c r="E308" s="34">
        <f t="shared" si="20"/>
        <v>41599</v>
      </c>
      <c r="F308" s="108" t="str">
        <f t="shared" si="24"/>
        <v>2013-14</v>
      </c>
      <c r="H308" s="119"/>
      <c r="I308" s="26"/>
      <c r="J308" s="101">
        <f t="shared" si="21"/>
        <v>0.84443766578674484</v>
      </c>
      <c r="K308" s="37"/>
      <c r="L308" s="26">
        <v>1.9972315195000001</v>
      </c>
      <c r="M308" s="26" t="s">
        <v>204</v>
      </c>
      <c r="N308" s="26">
        <v>1181.2618378536583</v>
      </c>
      <c r="O308" s="95">
        <f t="shared" si="22"/>
        <v>2359.2533753438247</v>
      </c>
      <c r="P308" s="97">
        <f t="shared" si="23"/>
        <v>1992.2424132748383</v>
      </c>
      <c r="Q308" s="197">
        <v>1</v>
      </c>
    </row>
    <row r="309" spans="1:17" x14ac:dyDescent="0.25">
      <c r="A309" s="254">
        <v>39825</v>
      </c>
      <c r="B309" s="254" t="s">
        <v>183</v>
      </c>
      <c r="C309" s="210">
        <v>9364729</v>
      </c>
      <c r="D309" s="115" t="s">
        <v>303</v>
      </c>
      <c r="E309" s="34">
        <f t="shared" si="20"/>
        <v>39825</v>
      </c>
      <c r="F309" s="108" t="str">
        <f t="shared" si="24"/>
        <v>2008-09</v>
      </c>
      <c r="H309" s="119"/>
      <c r="I309" s="26"/>
      <c r="J309" s="101">
        <f t="shared" si="21"/>
        <v>0.84443766578674484</v>
      </c>
      <c r="K309" s="37"/>
      <c r="L309" s="26">
        <v>6.6972307720500002</v>
      </c>
      <c r="M309" s="26" t="s">
        <v>204</v>
      </c>
      <c r="N309" s="26">
        <v>771.6404230243902</v>
      </c>
      <c r="O309" s="95">
        <f t="shared" si="22"/>
        <v>5167.8539860366254</v>
      </c>
      <c r="P309" s="97">
        <f t="shared" si="23"/>
        <v>4363.930557095493</v>
      </c>
      <c r="Q309" s="197">
        <v>1</v>
      </c>
    </row>
    <row r="310" spans="1:17" x14ac:dyDescent="0.25">
      <c r="A310" s="254">
        <v>39825</v>
      </c>
      <c r="B310" s="254" t="s">
        <v>183</v>
      </c>
      <c r="C310" s="210">
        <v>9364735</v>
      </c>
      <c r="D310" s="115" t="s">
        <v>303</v>
      </c>
      <c r="E310" s="34">
        <f t="shared" si="20"/>
        <v>39825</v>
      </c>
      <c r="F310" s="108" t="str">
        <f t="shared" si="24"/>
        <v>2008-09</v>
      </c>
      <c r="H310" s="119"/>
      <c r="I310" s="26"/>
      <c r="J310" s="101">
        <f t="shared" si="21"/>
        <v>0.84443766578674484</v>
      </c>
      <c r="K310" s="37"/>
      <c r="L310" s="26">
        <v>17.0906763429</v>
      </c>
      <c r="M310" s="26" t="s">
        <v>204</v>
      </c>
      <c r="N310" s="26">
        <v>771.6404230243902</v>
      </c>
      <c r="O310" s="95">
        <f t="shared" si="22"/>
        <v>13187.856723008294</v>
      </c>
      <c r="P310" s="97">
        <f t="shared" si="23"/>
        <v>11136.322947907154</v>
      </c>
      <c r="Q310" s="197">
        <v>1</v>
      </c>
    </row>
    <row r="311" spans="1:17" x14ac:dyDescent="0.25">
      <c r="A311" s="254">
        <v>39825</v>
      </c>
      <c r="B311" s="254" t="s">
        <v>183</v>
      </c>
      <c r="C311" s="210">
        <v>9364725</v>
      </c>
      <c r="D311" s="115" t="s">
        <v>303</v>
      </c>
      <c r="E311" s="34">
        <f t="shared" si="20"/>
        <v>39825</v>
      </c>
      <c r="F311" s="108" t="str">
        <f t="shared" si="24"/>
        <v>2008-09</v>
      </c>
      <c r="H311" s="119"/>
      <c r="I311" s="26"/>
      <c r="J311" s="101">
        <f t="shared" si="21"/>
        <v>0.84443766578674484</v>
      </c>
      <c r="K311" s="37"/>
      <c r="L311" s="26">
        <v>5.3878605693799999</v>
      </c>
      <c r="M311" s="26" t="s">
        <v>204</v>
      </c>
      <c r="N311" s="26">
        <v>771.6404230243902</v>
      </c>
      <c r="O311" s="95">
        <f t="shared" si="22"/>
        <v>4157.4910089528148</v>
      </c>
      <c r="P311" s="97">
        <f t="shared" si="23"/>
        <v>3510.7420031294937</v>
      </c>
      <c r="Q311" s="197">
        <v>1</v>
      </c>
    </row>
    <row r="312" spans="1:17" x14ac:dyDescent="0.25">
      <c r="A312" s="254">
        <v>39825</v>
      </c>
      <c r="B312" s="254" t="s">
        <v>183</v>
      </c>
      <c r="C312" s="210">
        <v>9364704</v>
      </c>
      <c r="D312" s="115" t="s">
        <v>303</v>
      </c>
      <c r="E312" s="34">
        <f t="shared" si="20"/>
        <v>39825</v>
      </c>
      <c r="F312" s="108" t="str">
        <f t="shared" si="24"/>
        <v>2008-09</v>
      </c>
      <c r="H312" s="119"/>
      <c r="I312" s="26"/>
      <c r="J312" s="101">
        <f t="shared" si="21"/>
        <v>0.84443766578674484</v>
      </c>
      <c r="K312" s="37"/>
      <c r="L312" s="26">
        <v>1.6992635222700001</v>
      </c>
      <c r="M312" s="26" t="s">
        <v>204</v>
      </c>
      <c r="N312" s="26">
        <v>696.6467060487804</v>
      </c>
      <c r="O312" s="95">
        <f t="shared" si="22"/>
        <v>1183.7863354982439</v>
      </c>
      <c r="P312" s="97">
        <f t="shared" si="23"/>
        <v>999.63376993838153</v>
      </c>
      <c r="Q312" s="197">
        <v>1</v>
      </c>
    </row>
    <row r="313" spans="1:17" x14ac:dyDescent="0.25">
      <c r="A313" s="254">
        <v>39825</v>
      </c>
      <c r="B313" s="254" t="s">
        <v>183</v>
      </c>
      <c r="C313" s="210">
        <v>9364731</v>
      </c>
      <c r="D313" s="115" t="s">
        <v>303</v>
      </c>
      <c r="E313" s="34">
        <f t="shared" si="20"/>
        <v>39825</v>
      </c>
      <c r="F313" s="108" t="str">
        <f t="shared" si="24"/>
        <v>2008-09</v>
      </c>
      <c r="H313" s="119"/>
      <c r="I313" s="26"/>
      <c r="J313" s="101">
        <f t="shared" si="21"/>
        <v>0.84443766578674484</v>
      </c>
      <c r="K313" s="37"/>
      <c r="L313" s="26">
        <v>4.3895691169499997</v>
      </c>
      <c r="M313" s="26" t="s">
        <v>204</v>
      </c>
      <c r="N313" s="26">
        <v>771.6404230243902</v>
      </c>
      <c r="O313" s="95">
        <f t="shared" si="22"/>
        <v>3387.1689702980966</v>
      </c>
      <c r="P313" s="97">
        <f t="shared" si="23"/>
        <v>2860.253058903817</v>
      </c>
      <c r="Q313" s="197">
        <v>1</v>
      </c>
    </row>
    <row r="314" spans="1:17" x14ac:dyDescent="0.25">
      <c r="A314" s="254">
        <v>39825</v>
      </c>
      <c r="B314" s="254" t="s">
        <v>183</v>
      </c>
      <c r="C314" s="210">
        <v>9364699</v>
      </c>
      <c r="D314" s="115" t="s">
        <v>303</v>
      </c>
      <c r="E314" s="34">
        <f t="shared" si="20"/>
        <v>39825</v>
      </c>
      <c r="F314" s="108" t="str">
        <f t="shared" si="24"/>
        <v>2008-09</v>
      </c>
      <c r="H314" s="119"/>
      <c r="I314" s="26"/>
      <c r="J314" s="101">
        <f t="shared" si="21"/>
        <v>0.84443766578674484</v>
      </c>
      <c r="K314" s="37"/>
      <c r="L314" s="26">
        <v>2.9978228709699999</v>
      </c>
      <c r="M314" s="26" t="s">
        <v>204</v>
      </c>
      <c r="N314" s="26">
        <v>696.6467060487804</v>
      </c>
      <c r="O314" s="95">
        <f t="shared" si="22"/>
        <v>2088.4234283789483</v>
      </c>
      <c r="P314" s="97">
        <f t="shared" si="23"/>
        <v>1763.5434050346703</v>
      </c>
      <c r="Q314" s="197">
        <v>1</v>
      </c>
    </row>
    <row r="315" spans="1:17" x14ac:dyDescent="0.25">
      <c r="A315" s="254">
        <v>39825</v>
      </c>
      <c r="B315" s="254" t="s">
        <v>183</v>
      </c>
      <c r="C315" s="210">
        <v>9364723</v>
      </c>
      <c r="D315" s="115" t="s">
        <v>303</v>
      </c>
      <c r="E315" s="34">
        <f t="shared" si="20"/>
        <v>39825</v>
      </c>
      <c r="F315" s="108" t="str">
        <f t="shared" si="24"/>
        <v>2008-09</v>
      </c>
      <c r="H315" s="119"/>
      <c r="I315" s="26"/>
      <c r="J315" s="101">
        <f t="shared" si="21"/>
        <v>0.84443766578674484</v>
      </c>
      <c r="K315" s="37"/>
      <c r="L315" s="26">
        <v>1.4988188683100001</v>
      </c>
      <c r="M315" s="26" t="s">
        <v>204</v>
      </c>
      <c r="N315" s="26">
        <v>771.6404230243902</v>
      </c>
      <c r="O315" s="95">
        <f t="shared" si="22"/>
        <v>1156.5492255796662</v>
      </c>
      <c r="P315" s="97">
        <f t="shared" si="23"/>
        <v>976.63372841596072</v>
      </c>
      <c r="Q315" s="197">
        <v>1</v>
      </c>
    </row>
    <row r="316" spans="1:17" x14ac:dyDescent="0.25">
      <c r="A316" s="254">
        <v>39611</v>
      </c>
      <c r="B316" s="254" t="s">
        <v>183</v>
      </c>
      <c r="C316" s="210">
        <v>9287726</v>
      </c>
      <c r="D316" s="115" t="s">
        <v>302</v>
      </c>
      <c r="E316" s="34">
        <f t="shared" si="20"/>
        <v>39611</v>
      </c>
      <c r="F316" s="108" t="str">
        <f t="shared" si="24"/>
        <v>2007-08</v>
      </c>
      <c r="H316" s="119"/>
      <c r="I316" s="26"/>
      <c r="J316" s="101">
        <f t="shared" si="21"/>
        <v>0.84443766578674484</v>
      </c>
      <c r="K316" s="37"/>
      <c r="L316" s="26">
        <v>2.3982728043699999</v>
      </c>
      <c r="M316" s="26" t="s">
        <v>204</v>
      </c>
      <c r="N316" s="26">
        <v>696.6467060487804</v>
      </c>
      <c r="O316" s="95">
        <f t="shared" si="22"/>
        <v>1670.7488493707315</v>
      </c>
      <c r="P316" s="97">
        <f t="shared" si="23"/>
        <v>1410.8432584785103</v>
      </c>
      <c r="Q316" s="197">
        <v>1</v>
      </c>
    </row>
    <row r="317" spans="1:17" x14ac:dyDescent="0.25">
      <c r="A317" s="254">
        <v>39505</v>
      </c>
      <c r="B317" s="254" t="s">
        <v>183</v>
      </c>
      <c r="C317" s="210">
        <v>9204405</v>
      </c>
      <c r="D317" s="115" t="s">
        <v>302</v>
      </c>
      <c r="E317" s="34">
        <f t="shared" si="20"/>
        <v>39505</v>
      </c>
      <c r="F317" s="108" t="str">
        <f t="shared" si="24"/>
        <v>2007-08</v>
      </c>
      <c r="H317" s="119"/>
      <c r="I317" s="26"/>
      <c r="J317" s="101">
        <f t="shared" si="21"/>
        <v>0.84443766578674484</v>
      </c>
      <c r="K317" s="37"/>
      <c r="L317" s="26">
        <v>147.51708244899999</v>
      </c>
      <c r="M317" s="26" t="s">
        <v>204</v>
      </c>
      <c r="N317" s="26">
        <v>696.6467060487804</v>
      </c>
      <c r="O317" s="95">
        <f t="shared" si="22"/>
        <v>102767.2895740222</v>
      </c>
      <c r="P317" s="97">
        <f t="shared" si="23"/>
        <v>86780.570127117782</v>
      </c>
      <c r="Q317" s="197">
        <v>1</v>
      </c>
    </row>
    <row r="318" spans="1:17" x14ac:dyDescent="0.25">
      <c r="A318" s="254">
        <v>40973</v>
      </c>
      <c r="B318" s="254" t="s">
        <v>183</v>
      </c>
      <c r="C318" s="210">
        <v>10365081</v>
      </c>
      <c r="D318" s="115" t="s">
        <v>304</v>
      </c>
      <c r="E318" s="34">
        <f t="shared" si="20"/>
        <v>40973</v>
      </c>
      <c r="F318" s="108" t="str">
        <f t="shared" si="24"/>
        <v>2011-12</v>
      </c>
      <c r="H318" s="119"/>
      <c r="I318" s="26"/>
      <c r="J318" s="101">
        <f t="shared" si="21"/>
        <v>0.84443766578674484</v>
      </c>
      <c r="K318" s="37"/>
      <c r="L318" s="26">
        <v>3.9965049731</v>
      </c>
      <c r="M318" s="26" t="s">
        <v>204</v>
      </c>
      <c r="N318" s="26">
        <v>1272.2340968780488</v>
      </c>
      <c r="O318" s="95">
        <f t="shared" si="22"/>
        <v>5084.4898951205096</v>
      </c>
      <c r="P318" s="97">
        <f t="shared" si="23"/>
        <v>4293.534778751854</v>
      </c>
      <c r="Q318" s="197">
        <v>1</v>
      </c>
    </row>
    <row r="319" spans="1:17" x14ac:dyDescent="0.25">
      <c r="A319" s="254">
        <v>39913</v>
      </c>
      <c r="B319" s="254" t="s">
        <v>183</v>
      </c>
      <c r="C319" s="210">
        <v>9385443</v>
      </c>
      <c r="D319" s="115" t="s">
        <v>305</v>
      </c>
      <c r="E319" s="34">
        <f t="shared" si="20"/>
        <v>39913</v>
      </c>
      <c r="F319" s="108" t="str">
        <f t="shared" si="24"/>
        <v>2008-09</v>
      </c>
      <c r="H319" s="119"/>
      <c r="I319" s="26"/>
      <c r="J319" s="101">
        <f t="shared" si="21"/>
        <v>0.84443766578674484</v>
      </c>
      <c r="K319" s="37"/>
      <c r="L319" s="26">
        <v>872.70596299700003</v>
      </c>
      <c r="M319" s="26" t="s">
        <v>204</v>
      </c>
      <c r="N319" s="26">
        <v>1422.8466506341463</v>
      </c>
      <c r="O319" s="95">
        <f t="shared" si="22"/>
        <v>1241726.7564387287</v>
      </c>
      <c r="P319" s="97">
        <f t="shared" si="23"/>
        <v>1048560.8437520659</v>
      </c>
      <c r="Q319" s="197">
        <v>1</v>
      </c>
    </row>
    <row r="320" spans="1:17" x14ac:dyDescent="0.25">
      <c r="A320" s="254">
        <v>39913</v>
      </c>
      <c r="B320" s="254" t="s">
        <v>183</v>
      </c>
      <c r="C320" s="210">
        <v>9275329</v>
      </c>
      <c r="D320" s="115" t="s">
        <v>305</v>
      </c>
      <c r="E320" s="34">
        <f t="shared" si="20"/>
        <v>39913</v>
      </c>
      <c r="F320" s="108" t="str">
        <f t="shared" si="24"/>
        <v>2008-09</v>
      </c>
      <c r="H320" s="119"/>
      <c r="I320" s="26"/>
      <c r="J320" s="101">
        <f t="shared" si="21"/>
        <v>0.84443766578674484</v>
      </c>
      <c r="K320" s="37"/>
      <c r="L320" s="26">
        <v>317.76470866099999</v>
      </c>
      <c r="M320" s="26" t="s">
        <v>204</v>
      </c>
      <c r="N320" s="26">
        <v>1422.8466506341463</v>
      </c>
      <c r="O320" s="95">
        <f t="shared" si="22"/>
        <v>452130.45140803914</v>
      </c>
      <c r="P320" s="97">
        <f t="shared" si="23"/>
        <v>381795.98301811185</v>
      </c>
      <c r="Q320" s="197">
        <v>1</v>
      </c>
    </row>
    <row r="321" spans="1:17" x14ac:dyDescent="0.25">
      <c r="A321" s="254">
        <v>39913</v>
      </c>
      <c r="B321" s="254" t="s">
        <v>183</v>
      </c>
      <c r="C321" s="210">
        <v>9385451</v>
      </c>
      <c r="D321" s="115" t="s">
        <v>305</v>
      </c>
      <c r="E321" s="34">
        <f t="shared" si="20"/>
        <v>39913</v>
      </c>
      <c r="F321" s="108" t="str">
        <f t="shared" si="24"/>
        <v>2008-09</v>
      </c>
      <c r="H321" s="119"/>
      <c r="I321" s="26"/>
      <c r="J321" s="101">
        <f t="shared" si="21"/>
        <v>0.84443766578674484</v>
      </c>
      <c r="K321" s="37"/>
      <c r="L321" s="26">
        <v>28.255280384900001</v>
      </c>
      <c r="M321" s="26" t="s">
        <v>204</v>
      </c>
      <c r="N321" s="26">
        <v>1422.8466506341463</v>
      </c>
      <c r="O321" s="95">
        <f t="shared" si="22"/>
        <v>40202.931058383656</v>
      </c>
      <c r="P321" s="97">
        <f t="shared" si="23"/>
        <v>33948.869260726919</v>
      </c>
      <c r="Q321" s="197">
        <v>1</v>
      </c>
    </row>
    <row r="322" spans="1:17" x14ac:dyDescent="0.25">
      <c r="A322" s="254">
        <v>39913</v>
      </c>
      <c r="B322" s="254" t="s">
        <v>183</v>
      </c>
      <c r="C322" s="210">
        <v>9275328</v>
      </c>
      <c r="D322" s="115" t="s">
        <v>305</v>
      </c>
      <c r="E322" s="34">
        <f t="shared" si="20"/>
        <v>39913</v>
      </c>
      <c r="F322" s="108" t="str">
        <f t="shared" si="24"/>
        <v>2008-09</v>
      </c>
      <c r="H322" s="119"/>
      <c r="I322" s="26"/>
      <c r="J322" s="101">
        <f t="shared" si="21"/>
        <v>0.84443766578674484</v>
      </c>
      <c r="K322" s="37"/>
      <c r="L322" s="26">
        <v>75.774518381700005</v>
      </c>
      <c r="M322" s="26" t="s">
        <v>204</v>
      </c>
      <c r="N322" s="26">
        <v>1422.8466506341463</v>
      </c>
      <c r="O322" s="95">
        <f t="shared" si="22"/>
        <v>107815.51968281741</v>
      </c>
      <c r="P322" s="97">
        <f t="shared" si="23"/>
        <v>91043.485776543181</v>
      </c>
      <c r="Q322" s="197">
        <v>1</v>
      </c>
    </row>
    <row r="323" spans="1:17" x14ac:dyDescent="0.25">
      <c r="A323" s="254">
        <v>39913</v>
      </c>
      <c r="B323" s="254" t="s">
        <v>183</v>
      </c>
      <c r="C323" s="210">
        <v>9385489</v>
      </c>
      <c r="D323" s="115" t="s">
        <v>305</v>
      </c>
      <c r="E323" s="34">
        <f t="shared" si="20"/>
        <v>39913</v>
      </c>
      <c r="F323" s="108" t="str">
        <f t="shared" si="24"/>
        <v>2008-09</v>
      </c>
      <c r="H323" s="119"/>
      <c r="I323" s="26"/>
      <c r="J323" s="101">
        <f t="shared" si="21"/>
        <v>0.84443766578674484</v>
      </c>
      <c r="K323" s="37"/>
      <c r="L323" s="26">
        <v>13.5113229473</v>
      </c>
      <c r="M323" s="26" t="s">
        <v>204</v>
      </c>
      <c r="N323" s="26">
        <v>1422.8466506341463</v>
      </c>
      <c r="O323" s="95">
        <f t="shared" si="22"/>
        <v>19224.540601202087</v>
      </c>
      <c r="P323" s="97">
        <f t="shared" si="23"/>
        <v>16233.926191101595</v>
      </c>
      <c r="Q323" s="197">
        <v>1</v>
      </c>
    </row>
    <row r="324" spans="1:17" x14ac:dyDescent="0.25">
      <c r="A324" s="254">
        <v>39913</v>
      </c>
      <c r="B324" s="254" t="s">
        <v>183</v>
      </c>
      <c r="C324" s="210">
        <v>9385510</v>
      </c>
      <c r="D324" s="115" t="s">
        <v>305</v>
      </c>
      <c r="E324" s="34">
        <f t="shared" si="20"/>
        <v>39913</v>
      </c>
      <c r="F324" s="108" t="str">
        <f t="shared" si="24"/>
        <v>2008-09</v>
      </c>
      <c r="H324" s="119"/>
      <c r="I324" s="26"/>
      <c r="J324" s="101">
        <f t="shared" si="21"/>
        <v>0.84443766578674484</v>
      </c>
      <c r="K324" s="37"/>
      <c r="L324" s="26">
        <v>6.1971860999799997</v>
      </c>
      <c r="M324" s="26" t="s">
        <v>204</v>
      </c>
      <c r="N324" s="26">
        <v>1422.8466506341463</v>
      </c>
      <c r="O324" s="95">
        <f t="shared" si="22"/>
        <v>8817.6454857130302</v>
      </c>
      <c r="P324" s="97">
        <f t="shared" si="23"/>
        <v>7445.9519716905388</v>
      </c>
      <c r="Q324" s="197">
        <v>1</v>
      </c>
    </row>
    <row r="325" spans="1:17" x14ac:dyDescent="0.25">
      <c r="A325" s="254">
        <v>39913</v>
      </c>
      <c r="B325" s="254" t="s">
        <v>183</v>
      </c>
      <c r="C325" s="210">
        <v>9385517</v>
      </c>
      <c r="D325" s="115" t="s">
        <v>305</v>
      </c>
      <c r="E325" s="34">
        <f t="shared" si="20"/>
        <v>39913</v>
      </c>
      <c r="F325" s="108" t="str">
        <f t="shared" si="24"/>
        <v>2008-09</v>
      </c>
      <c r="H325" s="119"/>
      <c r="I325" s="26"/>
      <c r="J325" s="101">
        <f t="shared" si="21"/>
        <v>0.84443766578674484</v>
      </c>
      <c r="K325" s="37"/>
      <c r="L325" s="26">
        <v>6.8845347069400002</v>
      </c>
      <c r="M325" s="26" t="s">
        <v>204</v>
      </c>
      <c r="N325" s="26">
        <v>1422.8466506341463</v>
      </c>
      <c r="O325" s="95">
        <f t="shared" si="22"/>
        <v>9795.6371489441135</v>
      </c>
      <c r="P325" s="97">
        <f t="shared" si="23"/>
        <v>8271.8049689482923</v>
      </c>
      <c r="Q325" s="197">
        <v>1</v>
      </c>
    </row>
    <row r="326" spans="1:17" x14ac:dyDescent="0.25">
      <c r="A326" s="254">
        <v>39913</v>
      </c>
      <c r="B326" s="254" t="s">
        <v>183</v>
      </c>
      <c r="C326" s="210">
        <v>9385519</v>
      </c>
      <c r="D326" s="115" t="s">
        <v>305</v>
      </c>
      <c r="E326" s="34">
        <f t="shared" si="20"/>
        <v>39913</v>
      </c>
      <c r="F326" s="108" t="str">
        <f t="shared" si="24"/>
        <v>2008-09</v>
      </c>
      <c r="H326" s="119"/>
      <c r="I326" s="26"/>
      <c r="J326" s="101">
        <f t="shared" si="21"/>
        <v>0.84443766578674484</v>
      </c>
      <c r="K326" s="37"/>
      <c r="L326" s="26">
        <v>2.9988407441199998</v>
      </c>
      <c r="M326" s="26" t="s">
        <v>204</v>
      </c>
      <c r="N326" s="26">
        <v>1422.8466506341463</v>
      </c>
      <c r="O326" s="95">
        <f t="shared" si="22"/>
        <v>4266.8905085563529</v>
      </c>
      <c r="P326" s="97">
        <f t="shared" si="23"/>
        <v>3603.1230612129434</v>
      </c>
      <c r="Q326" s="197">
        <v>1</v>
      </c>
    </row>
    <row r="327" spans="1:17" x14ac:dyDescent="0.25">
      <c r="A327" s="254">
        <v>41585</v>
      </c>
      <c r="B327" s="254" t="s">
        <v>183</v>
      </c>
      <c r="C327" s="210">
        <v>10431669</v>
      </c>
      <c r="D327" s="115" t="s">
        <v>305</v>
      </c>
      <c r="E327" s="34">
        <f t="shared" si="20"/>
        <v>41585</v>
      </c>
      <c r="F327" s="108" t="str">
        <f t="shared" si="24"/>
        <v>2013-14</v>
      </c>
      <c r="H327" s="119"/>
      <c r="I327" s="26"/>
      <c r="J327" s="101">
        <f t="shared" si="21"/>
        <v>0.84443766578674484</v>
      </c>
      <c r="K327" s="37"/>
      <c r="L327" s="26">
        <v>135.46853827699999</v>
      </c>
      <c r="M327" s="26" t="s">
        <v>204</v>
      </c>
      <c r="N327" s="26">
        <v>771.6404230243902</v>
      </c>
      <c r="O327" s="95">
        <f t="shared" si="22"/>
        <v>104533.00018256008</v>
      </c>
      <c r="P327" s="97">
        <f t="shared" si="23"/>
        <v>88271.602671846398</v>
      </c>
      <c r="Q327" s="197">
        <v>1</v>
      </c>
    </row>
    <row r="328" spans="1:17" x14ac:dyDescent="0.25">
      <c r="A328" s="254">
        <v>41585</v>
      </c>
      <c r="B328" s="254" t="s">
        <v>183</v>
      </c>
      <c r="C328" s="210">
        <v>10652694</v>
      </c>
      <c r="D328" s="115" t="s">
        <v>305</v>
      </c>
      <c r="E328" s="34">
        <f t="shared" si="20"/>
        <v>41585</v>
      </c>
      <c r="F328" s="108" t="str">
        <f t="shared" si="24"/>
        <v>2013-14</v>
      </c>
      <c r="H328" s="119"/>
      <c r="I328" s="26"/>
      <c r="J328" s="101">
        <f t="shared" si="21"/>
        <v>0.84443766578674484</v>
      </c>
      <c r="K328" s="37"/>
      <c r="L328" s="26">
        <v>43.7691401091</v>
      </c>
      <c r="M328" s="26" t="s">
        <v>204</v>
      </c>
      <c r="N328" s="26">
        <v>696.6467060487804</v>
      </c>
      <c r="O328" s="95">
        <f t="shared" si="22"/>
        <v>30491.627283592072</v>
      </c>
      <c r="P328" s="97">
        <f t="shared" si="23"/>
        <v>25748.278569395912</v>
      </c>
      <c r="Q328" s="197">
        <v>1</v>
      </c>
    </row>
    <row r="329" spans="1:17" x14ac:dyDescent="0.25">
      <c r="A329" s="254">
        <v>41585</v>
      </c>
      <c r="B329" s="254" t="s">
        <v>183</v>
      </c>
      <c r="C329" s="210">
        <v>10652705</v>
      </c>
      <c r="D329" s="115" t="s">
        <v>305</v>
      </c>
      <c r="E329" s="34">
        <f t="shared" si="20"/>
        <v>41585</v>
      </c>
      <c r="F329" s="108" t="str">
        <f t="shared" si="24"/>
        <v>2013-14</v>
      </c>
      <c r="H329" s="119"/>
      <c r="I329" s="26"/>
      <c r="J329" s="101">
        <f t="shared" si="21"/>
        <v>0.84443766578674484</v>
      </c>
      <c r="K329" s="37"/>
      <c r="L329" s="26">
        <v>11.7936474543</v>
      </c>
      <c r="M329" s="26" t="s">
        <v>204</v>
      </c>
      <c r="N329" s="26">
        <v>696.6467060487804</v>
      </c>
      <c r="O329" s="95">
        <f t="shared" si="22"/>
        <v>8216.0056513386789</v>
      </c>
      <c r="P329" s="97">
        <f t="shared" si="23"/>
        <v>6937.9046343071386</v>
      </c>
      <c r="Q329" s="197">
        <v>1</v>
      </c>
    </row>
    <row r="330" spans="1:17" x14ac:dyDescent="0.25">
      <c r="A330" s="254">
        <v>41585</v>
      </c>
      <c r="B330" s="254" t="s">
        <v>183</v>
      </c>
      <c r="C330" s="210">
        <v>10652672</v>
      </c>
      <c r="D330" s="115" t="s">
        <v>305</v>
      </c>
      <c r="E330" s="34">
        <f t="shared" si="20"/>
        <v>41585</v>
      </c>
      <c r="F330" s="108" t="str">
        <f t="shared" si="24"/>
        <v>2013-14</v>
      </c>
      <c r="H330" s="119"/>
      <c r="I330" s="26"/>
      <c r="J330" s="101">
        <f t="shared" si="21"/>
        <v>0.84443766578674484</v>
      </c>
      <c r="K330" s="37"/>
      <c r="L330" s="26">
        <v>46.497758091500003</v>
      </c>
      <c r="M330" s="26" t="s">
        <v>204</v>
      </c>
      <c r="N330" s="26">
        <v>696.6467060487804</v>
      </c>
      <c r="O330" s="95">
        <f t="shared" si="22"/>
        <v>32392.510013096504</v>
      </c>
      <c r="P330" s="97">
        <f t="shared" si="23"/>
        <v>27353.455544432971</v>
      </c>
      <c r="Q330" s="197">
        <v>1</v>
      </c>
    </row>
    <row r="331" spans="1:17" x14ac:dyDescent="0.25">
      <c r="A331" s="254">
        <v>39660</v>
      </c>
      <c r="B331" s="254" t="s">
        <v>183</v>
      </c>
      <c r="C331" s="210">
        <v>9391614</v>
      </c>
      <c r="D331" s="115" t="s">
        <v>306</v>
      </c>
      <c r="E331" s="34">
        <f t="shared" si="20"/>
        <v>39660</v>
      </c>
      <c r="F331" s="108" t="str">
        <f t="shared" si="24"/>
        <v>2008-09</v>
      </c>
      <c r="H331" s="119"/>
      <c r="I331" s="26"/>
      <c r="J331" s="101">
        <f t="shared" si="21"/>
        <v>0.84443766578674484</v>
      </c>
      <c r="K331" s="37"/>
      <c r="L331" s="26">
        <v>13.369765875400001</v>
      </c>
      <c r="M331" s="26" t="s">
        <v>204</v>
      </c>
      <c r="N331" s="26">
        <v>696.6467060487804</v>
      </c>
      <c r="O331" s="95">
        <f t="shared" si="22"/>
        <v>9314.0033577407994</v>
      </c>
      <c r="P331" s="97">
        <f t="shared" si="23"/>
        <v>7865.0952545405444</v>
      </c>
      <c r="Q331" s="197">
        <v>1</v>
      </c>
    </row>
    <row r="332" spans="1:17" x14ac:dyDescent="0.25">
      <c r="A332" s="254">
        <v>39660</v>
      </c>
      <c r="B332" s="254" t="s">
        <v>183</v>
      </c>
      <c r="C332" s="210">
        <v>9391577</v>
      </c>
      <c r="D332" s="115" t="s">
        <v>306</v>
      </c>
      <c r="E332" s="34">
        <f t="shared" si="20"/>
        <v>39660</v>
      </c>
      <c r="F332" s="108" t="str">
        <f t="shared" si="24"/>
        <v>2008-09</v>
      </c>
      <c r="H332" s="119"/>
      <c r="I332" s="26"/>
      <c r="J332" s="101">
        <f t="shared" si="21"/>
        <v>0.84443766578674484</v>
      </c>
      <c r="K332" s="37"/>
      <c r="L332" s="26">
        <v>13.3012338624</v>
      </c>
      <c r="M332" s="26" t="s">
        <v>204</v>
      </c>
      <c r="N332" s="26">
        <v>696.6467060487804</v>
      </c>
      <c r="O332" s="95">
        <f t="shared" si="22"/>
        <v>9266.2607566254574</v>
      </c>
      <c r="P332" s="97">
        <f t="shared" si="23"/>
        <v>7824.7796038961169</v>
      </c>
      <c r="Q332" s="197">
        <v>1</v>
      </c>
    </row>
    <row r="333" spans="1:17" x14ac:dyDescent="0.25">
      <c r="A333" s="254">
        <v>39660</v>
      </c>
      <c r="B333" s="254" t="s">
        <v>183</v>
      </c>
      <c r="C333" s="210">
        <v>9391622</v>
      </c>
      <c r="D333" s="115" t="s">
        <v>306</v>
      </c>
      <c r="E333" s="34">
        <f t="shared" si="20"/>
        <v>39660</v>
      </c>
      <c r="F333" s="108" t="str">
        <f t="shared" si="24"/>
        <v>2008-09</v>
      </c>
      <c r="H333" s="119"/>
      <c r="I333" s="26"/>
      <c r="J333" s="101">
        <f t="shared" si="21"/>
        <v>0.84443766578674484</v>
      </c>
      <c r="K333" s="37"/>
      <c r="L333" s="26">
        <v>14.375329069799999</v>
      </c>
      <c r="M333" s="26" t="s">
        <v>204</v>
      </c>
      <c r="N333" s="26">
        <v>696.6467060487804</v>
      </c>
      <c r="O333" s="95">
        <f t="shared" si="22"/>
        <v>10014.525644843448</v>
      </c>
      <c r="P333" s="97">
        <f t="shared" si="23"/>
        <v>8456.6426594930981</v>
      </c>
      <c r="Q333" s="197">
        <v>1</v>
      </c>
    </row>
    <row r="334" spans="1:17" x14ac:dyDescent="0.25">
      <c r="A334" s="254">
        <v>39660</v>
      </c>
      <c r="B334" s="254" t="s">
        <v>183</v>
      </c>
      <c r="C334" s="210">
        <v>9391623</v>
      </c>
      <c r="D334" s="115" t="s">
        <v>306</v>
      </c>
      <c r="E334" s="34">
        <f t="shared" si="20"/>
        <v>39660</v>
      </c>
      <c r="F334" s="108" t="str">
        <f t="shared" si="24"/>
        <v>2008-09</v>
      </c>
      <c r="H334" s="119"/>
      <c r="I334" s="26"/>
      <c r="J334" s="101">
        <f t="shared" si="21"/>
        <v>0.84443766578674484</v>
      </c>
      <c r="K334" s="37"/>
      <c r="L334" s="26">
        <v>6.1137206586300001</v>
      </c>
      <c r="M334" s="26" t="s">
        <v>204</v>
      </c>
      <c r="N334" s="26">
        <v>696.6467060487804</v>
      </c>
      <c r="O334" s="95">
        <f t="shared" si="22"/>
        <v>4259.1033585369696</v>
      </c>
      <c r="P334" s="97">
        <f t="shared" si="23"/>
        <v>3596.5472984274438</v>
      </c>
      <c r="Q334" s="197">
        <v>1</v>
      </c>
    </row>
    <row r="335" spans="1:17" x14ac:dyDescent="0.25">
      <c r="A335" s="254">
        <v>39660</v>
      </c>
      <c r="B335" s="254" t="s">
        <v>183</v>
      </c>
      <c r="C335" s="210">
        <v>9391616</v>
      </c>
      <c r="D335" s="115" t="s">
        <v>306</v>
      </c>
      <c r="E335" s="34">
        <f t="shared" si="20"/>
        <v>39660</v>
      </c>
      <c r="F335" s="108" t="str">
        <f t="shared" si="24"/>
        <v>2008-09</v>
      </c>
      <c r="H335" s="119"/>
      <c r="I335" s="26"/>
      <c r="J335" s="101">
        <f t="shared" si="21"/>
        <v>0.84443766578674484</v>
      </c>
      <c r="K335" s="37"/>
      <c r="L335" s="26">
        <v>1.4802057289399999</v>
      </c>
      <c r="M335" s="26" t="s">
        <v>204</v>
      </c>
      <c r="N335" s="26">
        <v>696.6467060487804</v>
      </c>
      <c r="O335" s="95">
        <f t="shared" si="22"/>
        <v>1031.1804453405848</v>
      </c>
      <c r="P335" s="97">
        <f t="shared" si="23"/>
        <v>870.76760826833947</v>
      </c>
      <c r="Q335" s="197">
        <v>1</v>
      </c>
    </row>
    <row r="336" spans="1:17" x14ac:dyDescent="0.25">
      <c r="A336" s="254">
        <v>39660</v>
      </c>
      <c r="B336" s="254" t="s">
        <v>183</v>
      </c>
      <c r="C336" s="210">
        <v>9391578</v>
      </c>
      <c r="D336" s="115" t="s">
        <v>306</v>
      </c>
      <c r="E336" s="34">
        <f t="shared" si="20"/>
        <v>39660</v>
      </c>
      <c r="F336" s="108" t="str">
        <f t="shared" si="24"/>
        <v>2008-09</v>
      </c>
      <c r="H336" s="119"/>
      <c r="I336" s="26"/>
      <c r="J336" s="101">
        <f t="shared" si="21"/>
        <v>0.84443766578674484</v>
      </c>
      <c r="K336" s="37"/>
      <c r="L336" s="26">
        <v>1.3166187755000001</v>
      </c>
      <c r="M336" s="26" t="s">
        <v>204</v>
      </c>
      <c r="N336" s="26">
        <v>696.6467060487804</v>
      </c>
      <c r="O336" s="95">
        <f t="shared" si="22"/>
        <v>917.21813307405375</v>
      </c>
      <c r="P336" s="97">
        <f t="shared" si="23"/>
        <v>774.53353931032984</v>
      </c>
      <c r="Q336" s="197">
        <v>1</v>
      </c>
    </row>
    <row r="337" spans="1:17" x14ac:dyDescent="0.25">
      <c r="A337" s="254">
        <v>39660</v>
      </c>
      <c r="B337" s="254" t="s">
        <v>183</v>
      </c>
      <c r="C337" s="210">
        <v>9391581</v>
      </c>
      <c r="D337" s="115" t="s">
        <v>306</v>
      </c>
      <c r="E337" s="34">
        <f t="shared" si="20"/>
        <v>39660</v>
      </c>
      <c r="F337" s="108" t="str">
        <f t="shared" si="24"/>
        <v>2008-09</v>
      </c>
      <c r="H337" s="119"/>
      <c r="I337" s="26"/>
      <c r="J337" s="101">
        <f t="shared" si="21"/>
        <v>0.84443766578674484</v>
      </c>
      <c r="K337" s="37"/>
      <c r="L337" s="26">
        <v>1.4999549993200001</v>
      </c>
      <c r="M337" s="26" t="s">
        <v>204</v>
      </c>
      <c r="N337" s="26">
        <v>696.6467060487804</v>
      </c>
      <c r="O337" s="95">
        <f t="shared" si="22"/>
        <v>1044.9387094976787</v>
      </c>
      <c r="P337" s="97">
        <f t="shared" si="23"/>
        <v>882.38560473843324</v>
      </c>
      <c r="Q337" s="197">
        <v>1</v>
      </c>
    </row>
    <row r="338" spans="1:17" x14ac:dyDescent="0.25">
      <c r="A338" s="254">
        <v>41585</v>
      </c>
      <c r="B338" s="254" t="s">
        <v>183</v>
      </c>
      <c r="C338" s="210">
        <v>10652689</v>
      </c>
      <c r="D338" s="115" t="s">
        <v>305</v>
      </c>
      <c r="E338" s="34">
        <f t="shared" si="20"/>
        <v>41585</v>
      </c>
      <c r="F338" s="108" t="str">
        <f t="shared" si="24"/>
        <v>2013-14</v>
      </c>
      <c r="H338" s="119"/>
      <c r="I338" s="26"/>
      <c r="J338" s="101">
        <f t="shared" si="21"/>
        <v>0.84443766578674484</v>
      </c>
      <c r="K338" s="37"/>
      <c r="L338" s="26">
        <v>1.2096809496700001</v>
      </c>
      <c r="M338" s="26" t="s">
        <v>204</v>
      </c>
      <c r="N338" s="26">
        <v>696.6467060487804</v>
      </c>
      <c r="O338" s="95">
        <f t="shared" si="22"/>
        <v>842.72024895756601</v>
      </c>
      <c r="P338" s="97">
        <f t="shared" si="23"/>
        <v>711.62471994095154</v>
      </c>
      <c r="Q338" s="197">
        <v>1</v>
      </c>
    </row>
    <row r="339" spans="1:17" x14ac:dyDescent="0.25">
      <c r="A339" s="254">
        <v>40646</v>
      </c>
      <c r="B339" s="254" t="s">
        <v>183</v>
      </c>
      <c r="C339" s="210">
        <v>10290117</v>
      </c>
      <c r="D339" s="115" t="s">
        <v>307</v>
      </c>
      <c r="E339" s="34">
        <f t="shared" si="20"/>
        <v>40646</v>
      </c>
      <c r="F339" s="108" t="str">
        <f t="shared" si="24"/>
        <v>2010-11</v>
      </c>
      <c r="H339" s="119"/>
      <c r="I339" s="26"/>
      <c r="J339" s="101">
        <f t="shared" si="21"/>
        <v>0.84443766578674484</v>
      </c>
      <c r="K339" s="37"/>
      <c r="L339" s="26">
        <v>3.9975554419999999</v>
      </c>
      <c r="M339" s="26" t="s">
        <v>204</v>
      </c>
      <c r="N339" s="26">
        <v>1272.2340968780488</v>
      </c>
      <c r="O339" s="95">
        <f t="shared" si="22"/>
        <v>5085.8263374727994</v>
      </c>
      <c r="P339" s="97">
        <f t="shared" si="23"/>
        <v>4294.66332101228</v>
      </c>
      <c r="Q339" s="197">
        <v>1</v>
      </c>
    </row>
    <row r="340" spans="1:17" x14ac:dyDescent="0.25">
      <c r="A340" s="254">
        <v>40317</v>
      </c>
      <c r="B340" s="254" t="s">
        <v>183</v>
      </c>
      <c r="C340" s="210">
        <v>9440569</v>
      </c>
      <c r="D340" s="115" t="s">
        <v>308</v>
      </c>
      <c r="E340" s="34">
        <f t="shared" si="20"/>
        <v>40317</v>
      </c>
      <c r="F340" s="108" t="str">
        <f t="shared" si="24"/>
        <v>2009-10</v>
      </c>
      <c r="H340" s="119"/>
      <c r="I340" s="26"/>
      <c r="J340" s="101">
        <f t="shared" si="21"/>
        <v>0.84443766578674484</v>
      </c>
      <c r="K340" s="37"/>
      <c r="L340" s="26">
        <v>3.9971850094799999</v>
      </c>
      <c r="M340" s="26" t="s">
        <v>204</v>
      </c>
      <c r="N340" s="26">
        <v>1272.2340968780488</v>
      </c>
      <c r="O340" s="95">
        <f t="shared" si="22"/>
        <v>5085.3550605902628</v>
      </c>
      <c r="P340" s="97">
        <f t="shared" si="23"/>
        <v>4294.2653570616521</v>
      </c>
      <c r="Q340" s="197">
        <v>1</v>
      </c>
    </row>
    <row r="341" spans="1:17" x14ac:dyDescent="0.25">
      <c r="A341" s="254">
        <v>40673</v>
      </c>
      <c r="B341" s="254" t="s">
        <v>183</v>
      </c>
      <c r="C341" s="210">
        <v>10354092</v>
      </c>
      <c r="D341" s="115" t="s">
        <v>307</v>
      </c>
      <c r="E341" s="34">
        <f t="shared" si="20"/>
        <v>40673</v>
      </c>
      <c r="F341" s="108" t="str">
        <f t="shared" si="24"/>
        <v>2010-11</v>
      </c>
      <c r="H341" s="119"/>
      <c r="I341" s="26"/>
      <c r="J341" s="101">
        <f t="shared" si="21"/>
        <v>0.84443766578674484</v>
      </c>
      <c r="K341" s="37"/>
      <c r="L341" s="26">
        <v>5.2132270994100001</v>
      </c>
      <c r="M341" s="26" t="s">
        <v>204</v>
      </c>
      <c r="N341" s="26">
        <v>1422.8466506341463</v>
      </c>
      <c r="O341" s="95">
        <f t="shared" si="22"/>
        <v>7417.6227173906836</v>
      </c>
      <c r="P341" s="97">
        <f t="shared" si="23"/>
        <v>6263.7200131601203</v>
      </c>
      <c r="Q341" s="197">
        <v>1</v>
      </c>
    </row>
    <row r="342" spans="1:17" x14ac:dyDescent="0.25">
      <c r="A342" s="254">
        <v>40673</v>
      </c>
      <c r="B342" s="254" t="s">
        <v>183</v>
      </c>
      <c r="C342" s="210">
        <v>10354090</v>
      </c>
      <c r="D342" s="115" t="s">
        <v>307</v>
      </c>
      <c r="E342" s="34">
        <f t="shared" ref="E342:E405" si="25">IF(A342&lt;2022,DATEVALUE("30 Jun "&amp;A342),A342)</f>
        <v>40673</v>
      </c>
      <c r="F342" s="108" t="str">
        <f t="shared" si="24"/>
        <v>2010-11</v>
      </c>
      <c r="H342" s="119"/>
      <c r="I342" s="26"/>
      <c r="J342" s="101">
        <f t="shared" ref="J342:J405" si="26">J341</f>
        <v>0.84443766578674484</v>
      </c>
      <c r="K342" s="37"/>
      <c r="L342" s="26">
        <v>3.2742061408100001</v>
      </c>
      <c r="M342" s="26" t="s">
        <v>204</v>
      </c>
      <c r="N342" s="26">
        <v>1422.8466506341463</v>
      </c>
      <c r="O342" s="95">
        <f t="shared" ref="O342:O405" si="27">IF(N342="","-",L342*N342)</f>
        <v>4658.6932409372621</v>
      </c>
      <c r="P342" s="97">
        <f t="shared" ref="P342:P405" si="28">IF(O342="-","-",IF(OR(E342&lt;$E$15,E342&gt;$E$16),0,O342*J342))*Q342</f>
        <v>3933.9760459935469</v>
      </c>
      <c r="Q342" s="197">
        <v>1</v>
      </c>
    </row>
    <row r="343" spans="1:17" x14ac:dyDescent="0.25">
      <c r="A343" s="254">
        <v>40673</v>
      </c>
      <c r="B343" s="254" t="s">
        <v>183</v>
      </c>
      <c r="C343" s="210">
        <v>10354094</v>
      </c>
      <c r="D343" s="115" t="s">
        <v>307</v>
      </c>
      <c r="E343" s="34">
        <f t="shared" si="25"/>
        <v>40673</v>
      </c>
      <c r="F343" s="108" t="str">
        <f t="shared" ref="F343:F406" si="29">IF(E343="","-",IF(OR(E343&lt;$E$15,E343&gt;$E$16),"ERROR - date outside of range",IF(MONTH(E343)&gt;=7,YEAR(E343)&amp;"-"&amp;IF(YEAR(E343)=1999,"00",IF(AND(YEAR(E343)&gt;=2000,YEAR(E343)&lt;2009),"0","")&amp;RIGHT(YEAR(E343),2)+1),RIGHT(YEAR(E343),4)-1&amp;"-"&amp;RIGHT(YEAR(E343),2))))</f>
        <v>2010-11</v>
      </c>
      <c r="H343" s="119"/>
      <c r="I343" s="26"/>
      <c r="J343" s="101">
        <f t="shared" si="26"/>
        <v>0.84443766578674484</v>
      </c>
      <c r="K343" s="37"/>
      <c r="L343" s="26">
        <v>0.997076727238</v>
      </c>
      <c r="M343" s="26" t="s">
        <v>204</v>
      </c>
      <c r="N343" s="26">
        <v>1422.8466506341463</v>
      </c>
      <c r="O343" s="95">
        <f t="shared" si="27"/>
        <v>1418.6872817758444</v>
      </c>
      <c r="P343" s="97">
        <f t="shared" si="28"/>
        <v>1197.992976704136</v>
      </c>
      <c r="Q343" s="197">
        <v>1</v>
      </c>
    </row>
    <row r="344" spans="1:17" x14ac:dyDescent="0.25">
      <c r="A344" s="254">
        <v>40673</v>
      </c>
      <c r="B344" s="254" t="s">
        <v>183</v>
      </c>
      <c r="C344" s="210">
        <v>10354100</v>
      </c>
      <c r="D344" s="115" t="s">
        <v>307</v>
      </c>
      <c r="E344" s="34">
        <f t="shared" si="25"/>
        <v>40673</v>
      </c>
      <c r="F344" s="108" t="str">
        <f t="shared" si="29"/>
        <v>2010-11</v>
      </c>
      <c r="H344" s="119"/>
      <c r="I344" s="26"/>
      <c r="J344" s="101">
        <f t="shared" si="26"/>
        <v>0.84443766578674484</v>
      </c>
      <c r="K344" s="37"/>
      <c r="L344" s="26">
        <v>1.0010044954899999</v>
      </c>
      <c r="M344" s="26" t="s">
        <v>204</v>
      </c>
      <c r="N344" s="26">
        <v>1422.8466506341463</v>
      </c>
      <c r="O344" s="95">
        <f t="shared" si="27"/>
        <v>1424.2758936776697</v>
      </c>
      <c r="P344" s="97">
        <f t="shared" si="28"/>
        <v>1202.7122110935013</v>
      </c>
      <c r="Q344" s="197">
        <v>1</v>
      </c>
    </row>
    <row r="345" spans="1:17" x14ac:dyDescent="0.25">
      <c r="A345" s="254">
        <v>39707</v>
      </c>
      <c r="B345" s="254" t="s">
        <v>183</v>
      </c>
      <c r="C345" s="210">
        <v>9345545</v>
      </c>
      <c r="D345" s="115" t="s">
        <v>308</v>
      </c>
      <c r="E345" s="34">
        <f t="shared" si="25"/>
        <v>39707</v>
      </c>
      <c r="F345" s="108" t="str">
        <f t="shared" si="29"/>
        <v>2008-09</v>
      </c>
      <c r="H345" s="119"/>
      <c r="I345" s="26"/>
      <c r="J345" s="101">
        <f t="shared" si="26"/>
        <v>0.84443766578674484</v>
      </c>
      <c r="K345" s="37"/>
      <c r="L345" s="26">
        <v>15.4270497917</v>
      </c>
      <c r="M345" s="26" t="s">
        <v>204</v>
      </c>
      <c r="N345" s="26">
        <v>771.6404230243902</v>
      </c>
      <c r="O345" s="95">
        <f t="shared" si="27"/>
        <v>11904.135227285718</v>
      </c>
      <c r="P345" s="97">
        <f t="shared" si="28"/>
        <v>10052.300164538914</v>
      </c>
      <c r="Q345" s="197">
        <v>1</v>
      </c>
    </row>
    <row r="346" spans="1:17" x14ac:dyDescent="0.25">
      <c r="A346" s="254">
        <v>39707</v>
      </c>
      <c r="B346" s="254" t="s">
        <v>183</v>
      </c>
      <c r="C346" s="210">
        <v>9345539</v>
      </c>
      <c r="D346" s="115" t="s">
        <v>308</v>
      </c>
      <c r="E346" s="34">
        <f t="shared" si="25"/>
        <v>39707</v>
      </c>
      <c r="F346" s="108" t="str">
        <f t="shared" si="29"/>
        <v>2008-09</v>
      </c>
      <c r="H346" s="119"/>
      <c r="I346" s="26"/>
      <c r="J346" s="101">
        <f t="shared" si="26"/>
        <v>0.84443766578674484</v>
      </c>
      <c r="K346" s="37"/>
      <c r="L346" s="26">
        <v>8.9945031908900006</v>
      </c>
      <c r="M346" s="26" t="s">
        <v>204</v>
      </c>
      <c r="N346" s="26">
        <v>696.6467060487804</v>
      </c>
      <c r="O346" s="95">
        <f t="shared" si="27"/>
        <v>6265.9910204787639</v>
      </c>
      <c r="P346" s="97">
        <f t="shared" si="28"/>
        <v>5291.2388311737905</v>
      </c>
      <c r="Q346" s="197">
        <v>1</v>
      </c>
    </row>
    <row r="347" spans="1:17" x14ac:dyDescent="0.25">
      <c r="A347" s="254">
        <v>39707</v>
      </c>
      <c r="B347" s="254" t="s">
        <v>183</v>
      </c>
      <c r="C347" s="210">
        <v>9345560</v>
      </c>
      <c r="D347" s="115" t="s">
        <v>308</v>
      </c>
      <c r="E347" s="34">
        <f t="shared" si="25"/>
        <v>39707</v>
      </c>
      <c r="F347" s="108" t="str">
        <f t="shared" si="29"/>
        <v>2008-09</v>
      </c>
      <c r="H347" s="119"/>
      <c r="I347" s="26"/>
      <c r="J347" s="101">
        <f t="shared" si="26"/>
        <v>0.84443766578674484</v>
      </c>
      <c r="K347" s="37"/>
      <c r="L347" s="26">
        <v>2.9981769462100001</v>
      </c>
      <c r="M347" s="26" t="s">
        <v>204</v>
      </c>
      <c r="N347" s="26">
        <v>771.6404230243902</v>
      </c>
      <c r="O347" s="95">
        <f t="shared" si="27"/>
        <v>2313.5145270754588</v>
      </c>
      <c r="P347" s="97">
        <f t="shared" si="28"/>
        <v>1953.6188070073254</v>
      </c>
      <c r="Q347" s="197">
        <v>1</v>
      </c>
    </row>
    <row r="348" spans="1:17" x14ac:dyDescent="0.25">
      <c r="A348" s="254">
        <v>39707</v>
      </c>
      <c r="B348" s="254" t="s">
        <v>183</v>
      </c>
      <c r="C348" s="210">
        <v>9345538</v>
      </c>
      <c r="D348" s="115" t="s">
        <v>308</v>
      </c>
      <c r="E348" s="34">
        <f t="shared" si="25"/>
        <v>39707</v>
      </c>
      <c r="F348" s="108" t="str">
        <f t="shared" si="29"/>
        <v>2008-09</v>
      </c>
      <c r="H348" s="119"/>
      <c r="I348" s="26"/>
      <c r="J348" s="101">
        <f t="shared" si="26"/>
        <v>0.84443766578674484</v>
      </c>
      <c r="K348" s="37"/>
      <c r="L348" s="26">
        <v>1.4985886693799999</v>
      </c>
      <c r="M348" s="26" t="s">
        <v>204</v>
      </c>
      <c r="N348" s="26">
        <v>696.6467060487804</v>
      </c>
      <c r="O348" s="95">
        <f t="shared" si="27"/>
        <v>1043.9868602456017</v>
      </c>
      <c r="P348" s="97">
        <f t="shared" si="28"/>
        <v>881.58182737782852</v>
      </c>
      <c r="Q348" s="197">
        <v>1</v>
      </c>
    </row>
    <row r="349" spans="1:17" x14ac:dyDescent="0.25">
      <c r="A349" s="254">
        <v>39707</v>
      </c>
      <c r="B349" s="254" t="s">
        <v>183</v>
      </c>
      <c r="C349" s="210">
        <v>9345542</v>
      </c>
      <c r="D349" s="115" t="s">
        <v>308</v>
      </c>
      <c r="E349" s="34">
        <f t="shared" si="25"/>
        <v>39707</v>
      </c>
      <c r="F349" s="108" t="str">
        <f t="shared" si="29"/>
        <v>2008-09</v>
      </c>
      <c r="H349" s="119"/>
      <c r="I349" s="26"/>
      <c r="J349" s="101">
        <f t="shared" si="26"/>
        <v>0.84443766578674484</v>
      </c>
      <c r="K349" s="37"/>
      <c r="L349" s="26">
        <v>3.49837308592</v>
      </c>
      <c r="M349" s="26" t="s">
        <v>204</v>
      </c>
      <c r="N349" s="26">
        <v>696.6467060487804</v>
      </c>
      <c r="O349" s="95">
        <f t="shared" si="27"/>
        <v>2437.1300868358749</v>
      </c>
      <c r="P349" s="97">
        <f t="shared" si="28"/>
        <v>2058.0044417463328</v>
      </c>
      <c r="Q349" s="197">
        <v>1</v>
      </c>
    </row>
    <row r="350" spans="1:17" x14ac:dyDescent="0.25">
      <c r="A350" s="254">
        <v>42678</v>
      </c>
      <c r="B350" s="254" t="s">
        <v>183</v>
      </c>
      <c r="C350" s="210">
        <v>11057205</v>
      </c>
      <c r="D350" s="115" t="s">
        <v>309</v>
      </c>
      <c r="E350" s="34">
        <f t="shared" si="25"/>
        <v>42678</v>
      </c>
      <c r="F350" s="108" t="str">
        <f t="shared" si="29"/>
        <v>2016-17</v>
      </c>
      <c r="H350" s="119"/>
      <c r="I350" s="26"/>
      <c r="J350" s="101">
        <f t="shared" si="26"/>
        <v>0.84443766578674484</v>
      </c>
      <c r="K350" s="37"/>
      <c r="L350" s="26">
        <v>531.19311313000003</v>
      </c>
      <c r="M350" s="26" t="s">
        <v>204</v>
      </c>
      <c r="N350" s="26">
        <v>696.6467060487804</v>
      </c>
      <c r="O350" s="95">
        <f t="shared" si="27"/>
        <v>370053.93253781169</v>
      </c>
      <c r="P350" s="97">
        <f t="shared" si="28"/>
        <v>312487.47900743526</v>
      </c>
      <c r="Q350" s="197">
        <v>1</v>
      </c>
    </row>
    <row r="351" spans="1:17" x14ac:dyDescent="0.25">
      <c r="A351" s="254">
        <v>42678</v>
      </c>
      <c r="B351" s="254" t="s">
        <v>183</v>
      </c>
      <c r="C351" s="210">
        <v>11056938</v>
      </c>
      <c r="D351" s="115" t="s">
        <v>309</v>
      </c>
      <c r="E351" s="34">
        <f t="shared" si="25"/>
        <v>42678</v>
      </c>
      <c r="F351" s="108" t="str">
        <f t="shared" si="29"/>
        <v>2016-17</v>
      </c>
      <c r="H351" s="119"/>
      <c r="I351" s="26"/>
      <c r="J351" s="101">
        <f t="shared" si="26"/>
        <v>0.84443766578674484</v>
      </c>
      <c r="K351" s="37"/>
      <c r="L351" s="26">
        <v>91.592877766100003</v>
      </c>
      <c r="M351" s="26" t="s">
        <v>204</v>
      </c>
      <c r="N351" s="26">
        <v>696.6467060487804</v>
      </c>
      <c r="O351" s="95">
        <f t="shared" si="27"/>
        <v>63807.876593282141</v>
      </c>
      <c r="P351" s="97">
        <f t="shared" si="28"/>
        <v>53881.774369239844</v>
      </c>
      <c r="Q351" s="197">
        <v>1</v>
      </c>
    </row>
    <row r="352" spans="1:17" x14ac:dyDescent="0.25">
      <c r="A352" s="254">
        <v>42678</v>
      </c>
      <c r="B352" s="254" t="s">
        <v>183</v>
      </c>
      <c r="C352" s="210">
        <v>11056934</v>
      </c>
      <c r="D352" s="115" t="s">
        <v>307</v>
      </c>
      <c r="E352" s="34">
        <f t="shared" si="25"/>
        <v>42678</v>
      </c>
      <c r="F352" s="108" t="str">
        <f t="shared" si="29"/>
        <v>2016-17</v>
      </c>
      <c r="H352" s="119"/>
      <c r="I352" s="26"/>
      <c r="J352" s="101">
        <f t="shared" si="26"/>
        <v>0.84443766578674484</v>
      </c>
      <c r="K352" s="37"/>
      <c r="L352" s="26">
        <v>4.12678008405</v>
      </c>
      <c r="M352" s="26" t="s">
        <v>204</v>
      </c>
      <c r="N352" s="26">
        <v>696.6467060487804</v>
      </c>
      <c r="O352" s="95">
        <f t="shared" si="27"/>
        <v>2874.9077521411418</v>
      </c>
      <c r="P352" s="97">
        <f t="shared" si="28"/>
        <v>2427.6803915702835</v>
      </c>
      <c r="Q352" s="197">
        <v>1</v>
      </c>
    </row>
    <row r="353" spans="1:17" x14ac:dyDescent="0.25">
      <c r="A353" s="254">
        <v>42678</v>
      </c>
      <c r="B353" s="254" t="s">
        <v>183</v>
      </c>
      <c r="C353" s="210">
        <v>10768633</v>
      </c>
      <c r="D353" s="115" t="s">
        <v>309</v>
      </c>
      <c r="E353" s="34">
        <f t="shared" si="25"/>
        <v>42678</v>
      </c>
      <c r="F353" s="108" t="str">
        <f t="shared" si="29"/>
        <v>2016-17</v>
      </c>
      <c r="H353" s="119"/>
      <c r="I353" s="26"/>
      <c r="J353" s="101">
        <f t="shared" si="26"/>
        <v>0.84443766578674484</v>
      </c>
      <c r="K353" s="37"/>
      <c r="L353" s="26">
        <v>25.132677746100001</v>
      </c>
      <c r="M353" s="26" t="s">
        <v>204</v>
      </c>
      <c r="N353" s="26">
        <v>696.6467060487804</v>
      </c>
      <c r="O353" s="95">
        <f t="shared" si="27"/>
        <v>17508.597166006053</v>
      </c>
      <c r="P353" s="97">
        <f t="shared" si="28"/>
        <v>14784.918922062567</v>
      </c>
      <c r="Q353" s="197">
        <v>1</v>
      </c>
    </row>
    <row r="354" spans="1:17" x14ac:dyDescent="0.25">
      <c r="A354" s="254">
        <v>39787</v>
      </c>
      <c r="B354" s="254" t="s">
        <v>183</v>
      </c>
      <c r="C354" s="210">
        <v>9313544</v>
      </c>
      <c r="D354" s="115" t="s">
        <v>310</v>
      </c>
      <c r="E354" s="34">
        <f t="shared" si="25"/>
        <v>39787</v>
      </c>
      <c r="F354" s="108" t="str">
        <f t="shared" si="29"/>
        <v>2008-09</v>
      </c>
      <c r="H354" s="119"/>
      <c r="I354" s="26"/>
      <c r="J354" s="101">
        <f t="shared" si="26"/>
        <v>0.84443766578674484</v>
      </c>
      <c r="K354" s="37"/>
      <c r="L354" s="26">
        <v>6.0992178339200001</v>
      </c>
      <c r="M354" s="26" t="s">
        <v>204</v>
      </c>
      <c r="N354" s="26">
        <v>1642.9278048780486</v>
      </c>
      <c r="O354" s="95">
        <f t="shared" si="27"/>
        <v>10020.574567355232</v>
      </c>
      <c r="P354" s="97">
        <f t="shared" si="28"/>
        <v>8461.7505974994729</v>
      </c>
      <c r="Q354" s="197">
        <v>1</v>
      </c>
    </row>
    <row r="355" spans="1:17" x14ac:dyDescent="0.25">
      <c r="A355" s="254">
        <v>39009</v>
      </c>
      <c r="B355" s="254" t="s">
        <v>183</v>
      </c>
      <c r="C355" s="210">
        <v>11480735</v>
      </c>
      <c r="D355" s="115" t="s">
        <v>311</v>
      </c>
      <c r="E355" s="34">
        <f t="shared" si="25"/>
        <v>39009</v>
      </c>
      <c r="F355" s="108" t="str">
        <f t="shared" si="29"/>
        <v>2006-07</v>
      </c>
      <c r="H355" s="119"/>
      <c r="I355" s="26"/>
      <c r="J355" s="101">
        <f t="shared" si="26"/>
        <v>0.84443766578674484</v>
      </c>
      <c r="K355" s="37"/>
      <c r="L355" s="26">
        <v>6.6491535415999996</v>
      </c>
      <c r="M355" s="26" t="s">
        <v>204</v>
      </c>
      <c r="N355" s="26">
        <v>696.6467060487804</v>
      </c>
      <c r="O355" s="95">
        <f t="shared" si="27"/>
        <v>4632.1109127682221</v>
      </c>
      <c r="P355" s="97">
        <f t="shared" si="28"/>
        <v>3911.5289268433053</v>
      </c>
      <c r="Q355" s="197">
        <v>1</v>
      </c>
    </row>
    <row r="356" spans="1:17" x14ac:dyDescent="0.25">
      <c r="A356" s="254">
        <v>39009</v>
      </c>
      <c r="B356" s="254" t="s">
        <v>183</v>
      </c>
      <c r="C356" s="210">
        <v>9137998</v>
      </c>
      <c r="D356" s="115" t="s">
        <v>311</v>
      </c>
      <c r="E356" s="34">
        <f t="shared" si="25"/>
        <v>39009</v>
      </c>
      <c r="F356" s="108" t="str">
        <f t="shared" si="29"/>
        <v>2006-07</v>
      </c>
      <c r="H356" s="119"/>
      <c r="I356" s="26"/>
      <c r="J356" s="101">
        <f t="shared" si="26"/>
        <v>0.84443766578674484</v>
      </c>
      <c r="K356" s="37"/>
      <c r="L356" s="26">
        <v>7.8691410449600001</v>
      </c>
      <c r="M356" s="26" t="s">
        <v>204</v>
      </c>
      <c r="N356" s="26">
        <v>696.6467060487804</v>
      </c>
      <c r="O356" s="95">
        <f t="shared" si="27"/>
        <v>5482.0111884046419</v>
      </c>
      <c r="P356" s="97">
        <f t="shared" si="28"/>
        <v>4629.2167317532349</v>
      </c>
      <c r="Q356" s="197">
        <v>1</v>
      </c>
    </row>
    <row r="357" spans="1:17" x14ac:dyDescent="0.25">
      <c r="A357" s="254">
        <v>39009</v>
      </c>
      <c r="B357" s="254" t="s">
        <v>183</v>
      </c>
      <c r="C357" s="210">
        <v>8995079</v>
      </c>
      <c r="D357" s="115" t="s">
        <v>311</v>
      </c>
      <c r="E357" s="34">
        <f t="shared" si="25"/>
        <v>39009</v>
      </c>
      <c r="F357" s="108" t="str">
        <f t="shared" si="29"/>
        <v>2006-07</v>
      </c>
      <c r="H357" s="119"/>
      <c r="I357" s="26"/>
      <c r="J357" s="101">
        <f t="shared" si="26"/>
        <v>0.84443766578674484</v>
      </c>
      <c r="K357" s="37"/>
      <c r="L357" s="26">
        <v>4.6684963357799996</v>
      </c>
      <c r="M357" s="26" t="s">
        <v>204</v>
      </c>
      <c r="N357" s="26">
        <v>696.6467060487804</v>
      </c>
      <c r="O357" s="95">
        <f t="shared" si="27"/>
        <v>3252.2925945219376</v>
      </c>
      <c r="P357" s="97">
        <f t="shared" si="28"/>
        <v>2746.3583669736213</v>
      </c>
      <c r="Q357" s="197">
        <v>1</v>
      </c>
    </row>
    <row r="358" spans="1:17" x14ac:dyDescent="0.25">
      <c r="A358" s="254">
        <v>39009</v>
      </c>
      <c r="B358" s="254" t="s">
        <v>183</v>
      </c>
      <c r="C358" s="210">
        <v>8692356</v>
      </c>
      <c r="D358" s="115" t="s">
        <v>311</v>
      </c>
      <c r="E358" s="34">
        <f t="shared" si="25"/>
        <v>39009</v>
      </c>
      <c r="F358" s="108" t="str">
        <f t="shared" si="29"/>
        <v>2006-07</v>
      </c>
      <c r="H358" s="119"/>
      <c r="I358" s="26"/>
      <c r="J358" s="101">
        <f t="shared" si="26"/>
        <v>0.84443766578674484</v>
      </c>
      <c r="K358" s="37"/>
      <c r="L358" s="26">
        <v>1.4990963945</v>
      </c>
      <c r="M358" s="26" t="s">
        <v>204</v>
      </c>
      <c r="N358" s="26">
        <v>696.6467060487804</v>
      </c>
      <c r="O358" s="95">
        <f t="shared" si="27"/>
        <v>1044.340565278028</v>
      </c>
      <c r="P358" s="97">
        <f t="shared" si="28"/>
        <v>881.88050922978755</v>
      </c>
      <c r="Q358" s="197">
        <v>1</v>
      </c>
    </row>
    <row r="359" spans="1:17" x14ac:dyDescent="0.25">
      <c r="A359" s="254">
        <v>39009</v>
      </c>
      <c r="B359" s="254" t="s">
        <v>183</v>
      </c>
      <c r="C359" s="210">
        <v>8995082</v>
      </c>
      <c r="D359" s="115" t="s">
        <v>311</v>
      </c>
      <c r="E359" s="34">
        <f t="shared" si="25"/>
        <v>39009</v>
      </c>
      <c r="F359" s="108" t="str">
        <f t="shared" si="29"/>
        <v>2006-07</v>
      </c>
      <c r="H359" s="119"/>
      <c r="I359" s="26"/>
      <c r="J359" s="101">
        <f t="shared" si="26"/>
        <v>0.84443766578674484</v>
      </c>
      <c r="K359" s="37"/>
      <c r="L359" s="26">
        <v>1.50880383085</v>
      </c>
      <c r="M359" s="26" t="s">
        <v>204</v>
      </c>
      <c r="N359" s="26">
        <v>696.6467060487804</v>
      </c>
      <c r="O359" s="95">
        <f t="shared" si="27"/>
        <v>1051.1032188354338</v>
      </c>
      <c r="P359" s="97">
        <f t="shared" si="28"/>
        <v>887.59114861432784</v>
      </c>
      <c r="Q359" s="197">
        <v>1</v>
      </c>
    </row>
    <row r="360" spans="1:17" x14ac:dyDescent="0.25">
      <c r="A360" s="254">
        <v>39009</v>
      </c>
      <c r="B360" s="254" t="s">
        <v>183</v>
      </c>
      <c r="C360" s="210">
        <v>9137987</v>
      </c>
      <c r="D360" s="115" t="s">
        <v>311</v>
      </c>
      <c r="E360" s="34">
        <f t="shared" si="25"/>
        <v>39009</v>
      </c>
      <c r="F360" s="108" t="str">
        <f t="shared" si="29"/>
        <v>2006-07</v>
      </c>
      <c r="H360" s="119"/>
      <c r="I360" s="26"/>
      <c r="J360" s="101">
        <f t="shared" si="26"/>
        <v>0.84443766578674484</v>
      </c>
      <c r="K360" s="37"/>
      <c r="L360" s="26">
        <v>5.3242727180399996</v>
      </c>
      <c r="M360" s="26" t="s">
        <v>204</v>
      </c>
      <c r="N360" s="26">
        <v>696.6467060487804</v>
      </c>
      <c r="O360" s="95">
        <f t="shared" si="27"/>
        <v>3709.1370511279524</v>
      </c>
      <c r="P360" s="97">
        <f t="shared" si="28"/>
        <v>3132.1350335376183</v>
      </c>
      <c r="Q360" s="197">
        <v>1</v>
      </c>
    </row>
    <row r="361" spans="1:17" x14ac:dyDescent="0.25">
      <c r="A361" s="254">
        <v>40542</v>
      </c>
      <c r="B361" s="254" t="s">
        <v>183</v>
      </c>
      <c r="C361" s="210">
        <v>10286427</v>
      </c>
      <c r="D361" s="115" t="s">
        <v>312</v>
      </c>
      <c r="E361" s="34">
        <f t="shared" si="25"/>
        <v>40542</v>
      </c>
      <c r="F361" s="108" t="str">
        <f t="shared" si="29"/>
        <v>2010-11</v>
      </c>
      <c r="H361" s="119"/>
      <c r="I361" s="26"/>
      <c r="J361" s="101">
        <f t="shared" si="26"/>
        <v>0.84443766578674484</v>
      </c>
      <c r="K361" s="37"/>
      <c r="L361" s="26">
        <v>252.28968319500001</v>
      </c>
      <c r="M361" s="26" t="s">
        <v>204</v>
      </c>
      <c r="N361" s="26">
        <v>1128.7084557073169</v>
      </c>
      <c r="O361" s="95">
        <f t="shared" si="27"/>
        <v>284761.49870991672</v>
      </c>
      <c r="P361" s="97">
        <f t="shared" si="28"/>
        <v>240463.33527653723</v>
      </c>
      <c r="Q361" s="197">
        <v>1</v>
      </c>
    </row>
    <row r="362" spans="1:17" x14ac:dyDescent="0.25">
      <c r="A362" s="254">
        <v>40542</v>
      </c>
      <c r="B362" s="254" t="s">
        <v>183</v>
      </c>
      <c r="C362" s="210">
        <v>9350678</v>
      </c>
      <c r="D362" s="115" t="s">
        <v>312</v>
      </c>
      <c r="E362" s="34">
        <f t="shared" si="25"/>
        <v>40542</v>
      </c>
      <c r="F362" s="108" t="str">
        <f t="shared" si="29"/>
        <v>2010-11</v>
      </c>
      <c r="H362" s="119"/>
      <c r="I362" s="26"/>
      <c r="J362" s="101">
        <f t="shared" si="26"/>
        <v>0.84443766578674484</v>
      </c>
      <c r="K362" s="37"/>
      <c r="L362" s="26">
        <v>2.9985635319499999</v>
      </c>
      <c r="M362" s="26" t="s">
        <v>204</v>
      </c>
      <c r="N362" s="26">
        <v>1128.7084557073169</v>
      </c>
      <c r="O362" s="95">
        <f t="shared" si="27"/>
        <v>3384.5040134875621</v>
      </c>
      <c r="P362" s="97">
        <f t="shared" si="28"/>
        <v>2858.0026689953065</v>
      </c>
      <c r="Q362" s="197">
        <v>1</v>
      </c>
    </row>
    <row r="363" spans="1:17" x14ac:dyDescent="0.25">
      <c r="A363" s="254">
        <v>40542</v>
      </c>
      <c r="B363" s="254" t="s">
        <v>183</v>
      </c>
      <c r="C363" s="210">
        <v>10286481</v>
      </c>
      <c r="D363" s="115" t="s">
        <v>312</v>
      </c>
      <c r="E363" s="34">
        <f t="shared" si="25"/>
        <v>40542</v>
      </c>
      <c r="F363" s="108" t="str">
        <f t="shared" si="29"/>
        <v>2010-11</v>
      </c>
      <c r="H363" s="119"/>
      <c r="I363" s="26"/>
      <c r="J363" s="101">
        <f t="shared" si="26"/>
        <v>0.84443766578674484</v>
      </c>
      <c r="K363" s="37"/>
      <c r="L363" s="26">
        <v>191.816461941</v>
      </c>
      <c r="M363" s="26" t="s">
        <v>204</v>
      </c>
      <c r="N363" s="26">
        <v>1128.7084557073169</v>
      </c>
      <c r="O363" s="95">
        <f t="shared" si="27"/>
        <v>216504.86253666744</v>
      </c>
      <c r="P363" s="97">
        <f t="shared" si="28"/>
        <v>182824.86075194352</v>
      </c>
      <c r="Q363" s="197">
        <v>1</v>
      </c>
    </row>
    <row r="364" spans="1:17" x14ac:dyDescent="0.25">
      <c r="A364" s="254">
        <v>40542</v>
      </c>
      <c r="B364" s="254" t="s">
        <v>183</v>
      </c>
      <c r="C364" s="210">
        <v>10286417</v>
      </c>
      <c r="D364" s="115" t="s">
        <v>312</v>
      </c>
      <c r="E364" s="34">
        <f t="shared" si="25"/>
        <v>40542</v>
      </c>
      <c r="F364" s="108" t="str">
        <f t="shared" si="29"/>
        <v>2010-11</v>
      </c>
      <c r="H364" s="119"/>
      <c r="I364" s="26"/>
      <c r="J364" s="101">
        <f t="shared" si="26"/>
        <v>0.84443766578674484</v>
      </c>
      <c r="K364" s="37"/>
      <c r="L364" s="26">
        <v>2.9984279214299998</v>
      </c>
      <c r="M364" s="26" t="s">
        <v>204</v>
      </c>
      <c r="N364" s="26">
        <v>1128.7084557073169</v>
      </c>
      <c r="O364" s="95">
        <f t="shared" si="27"/>
        <v>3384.3509487469555</v>
      </c>
      <c r="P364" s="97">
        <f t="shared" si="28"/>
        <v>2857.8734153630344</v>
      </c>
      <c r="Q364" s="197">
        <v>1</v>
      </c>
    </row>
    <row r="365" spans="1:17" x14ac:dyDescent="0.25">
      <c r="A365" s="254">
        <v>40006</v>
      </c>
      <c r="B365" s="254" t="s">
        <v>183</v>
      </c>
      <c r="C365" s="210">
        <v>9382190</v>
      </c>
      <c r="D365" s="115" t="s">
        <v>313</v>
      </c>
      <c r="E365" s="34">
        <f t="shared" si="25"/>
        <v>40006</v>
      </c>
      <c r="F365" s="108" t="str">
        <f t="shared" si="29"/>
        <v>2009-10</v>
      </c>
      <c r="H365" s="119"/>
      <c r="I365" s="26"/>
      <c r="J365" s="101">
        <f t="shared" si="26"/>
        <v>0.84443766578674484</v>
      </c>
      <c r="K365" s="37"/>
      <c r="L365" s="26">
        <v>3.5952983713800002</v>
      </c>
      <c r="M365" s="26" t="s">
        <v>204</v>
      </c>
      <c r="N365" s="26">
        <v>771.6404230243902</v>
      </c>
      <c r="O365" s="95">
        <f t="shared" si="27"/>
        <v>2774.2775561905646</v>
      </c>
      <c r="P365" s="97">
        <f t="shared" si="28"/>
        <v>2342.7044637941153</v>
      </c>
      <c r="Q365" s="197">
        <v>1</v>
      </c>
    </row>
    <row r="366" spans="1:17" x14ac:dyDescent="0.25">
      <c r="A366" s="254">
        <v>40006</v>
      </c>
      <c r="B366" s="254" t="s">
        <v>183</v>
      </c>
      <c r="C366" s="210">
        <v>9382187</v>
      </c>
      <c r="D366" s="115" t="s">
        <v>313</v>
      </c>
      <c r="E366" s="34">
        <f t="shared" si="25"/>
        <v>40006</v>
      </c>
      <c r="F366" s="108" t="str">
        <f t="shared" si="29"/>
        <v>2009-10</v>
      </c>
      <c r="H366" s="119"/>
      <c r="I366" s="26"/>
      <c r="J366" s="101">
        <f t="shared" si="26"/>
        <v>0.84443766578674484</v>
      </c>
      <c r="K366" s="37"/>
      <c r="L366" s="26">
        <v>2.3965402145599999</v>
      </c>
      <c r="M366" s="26" t="s">
        <v>204</v>
      </c>
      <c r="N366" s="26">
        <v>771.6404230243902</v>
      </c>
      <c r="O366" s="95">
        <f t="shared" si="27"/>
        <v>1849.2673049580412</v>
      </c>
      <c r="P366" s="97">
        <f t="shared" si="28"/>
        <v>1561.5909664145126</v>
      </c>
      <c r="Q366" s="197">
        <v>1</v>
      </c>
    </row>
    <row r="367" spans="1:17" x14ac:dyDescent="0.25">
      <c r="A367" s="254">
        <v>40006</v>
      </c>
      <c r="B367" s="254" t="s">
        <v>183</v>
      </c>
      <c r="C367" s="210">
        <v>9382180</v>
      </c>
      <c r="D367" s="115" t="s">
        <v>313</v>
      </c>
      <c r="E367" s="34">
        <f t="shared" si="25"/>
        <v>40006</v>
      </c>
      <c r="F367" s="108" t="str">
        <f t="shared" si="29"/>
        <v>2009-10</v>
      </c>
      <c r="H367" s="119"/>
      <c r="I367" s="26"/>
      <c r="J367" s="101">
        <f t="shared" si="26"/>
        <v>0.84443766578674484</v>
      </c>
      <c r="K367" s="37"/>
      <c r="L367" s="26">
        <v>40.637725404599998</v>
      </c>
      <c r="M367" s="26" t="s">
        <v>204</v>
      </c>
      <c r="N367" s="26">
        <v>936.5640883902438</v>
      </c>
      <c r="O367" s="95">
        <f t="shared" si="27"/>
        <v>38059.83424781225</v>
      </c>
      <c r="P367" s="97">
        <f t="shared" si="28"/>
        <v>32139.157592452986</v>
      </c>
      <c r="Q367" s="197">
        <v>1</v>
      </c>
    </row>
    <row r="368" spans="1:17" x14ac:dyDescent="0.25">
      <c r="A368" s="254">
        <v>40006</v>
      </c>
      <c r="B368" s="254" t="s">
        <v>183</v>
      </c>
      <c r="C368" s="210">
        <v>9382181</v>
      </c>
      <c r="D368" s="115" t="s">
        <v>313</v>
      </c>
      <c r="E368" s="34">
        <f t="shared" si="25"/>
        <v>40006</v>
      </c>
      <c r="F368" s="108" t="str">
        <f t="shared" si="29"/>
        <v>2009-10</v>
      </c>
      <c r="H368" s="119"/>
      <c r="I368" s="26"/>
      <c r="J368" s="101">
        <f t="shared" si="26"/>
        <v>0.84443766578674484</v>
      </c>
      <c r="K368" s="37"/>
      <c r="L368" s="26">
        <v>43.467548170999997</v>
      </c>
      <c r="M368" s="26" t="s">
        <v>204</v>
      </c>
      <c r="N368" s="26">
        <v>1385.4167692682922</v>
      </c>
      <c r="O368" s="95">
        <f t="shared" si="27"/>
        <v>60220.670155080683</v>
      </c>
      <c r="P368" s="97">
        <f t="shared" si="28"/>
        <v>50852.602137869821</v>
      </c>
      <c r="Q368" s="197">
        <v>1</v>
      </c>
    </row>
    <row r="369" spans="1:17" x14ac:dyDescent="0.25">
      <c r="A369" s="254">
        <v>40006</v>
      </c>
      <c r="B369" s="254" t="s">
        <v>183</v>
      </c>
      <c r="C369" s="210">
        <v>9382234</v>
      </c>
      <c r="D369" s="115" t="s">
        <v>313</v>
      </c>
      <c r="E369" s="34">
        <f t="shared" si="25"/>
        <v>40006</v>
      </c>
      <c r="F369" s="108" t="str">
        <f t="shared" si="29"/>
        <v>2009-10</v>
      </c>
      <c r="H369" s="119"/>
      <c r="I369" s="26"/>
      <c r="J369" s="101">
        <f t="shared" si="26"/>
        <v>0.84443766578674484</v>
      </c>
      <c r="K369" s="37"/>
      <c r="L369" s="26">
        <v>7.0653221441099996</v>
      </c>
      <c r="M369" s="26" t="s">
        <v>204</v>
      </c>
      <c r="N369" s="26">
        <v>936.5640883902438</v>
      </c>
      <c r="O369" s="95">
        <f t="shared" si="27"/>
        <v>6617.1269930817843</v>
      </c>
      <c r="P369" s="97">
        <f t="shared" si="28"/>
        <v>5587.7512722524434</v>
      </c>
      <c r="Q369" s="197">
        <v>1</v>
      </c>
    </row>
    <row r="370" spans="1:17" x14ac:dyDescent="0.25">
      <c r="A370" s="254">
        <v>40006</v>
      </c>
      <c r="B370" s="254" t="s">
        <v>183</v>
      </c>
      <c r="C370" s="210">
        <v>9382235</v>
      </c>
      <c r="D370" s="115" t="s">
        <v>313</v>
      </c>
      <c r="E370" s="34">
        <f t="shared" si="25"/>
        <v>40006</v>
      </c>
      <c r="F370" s="108" t="str">
        <f t="shared" si="29"/>
        <v>2009-10</v>
      </c>
      <c r="H370" s="119"/>
      <c r="I370" s="26"/>
      <c r="J370" s="101">
        <f t="shared" si="26"/>
        <v>0.84443766578674484</v>
      </c>
      <c r="K370" s="37"/>
      <c r="L370" s="26">
        <v>1.3817425031599999</v>
      </c>
      <c r="M370" s="26" t="s">
        <v>204</v>
      </c>
      <c r="N370" s="26">
        <v>771.6404230243902</v>
      </c>
      <c r="O370" s="95">
        <f t="shared" si="27"/>
        <v>1066.2083696491623</v>
      </c>
      <c r="P370" s="97">
        <f t="shared" si="28"/>
        <v>900.34650690882938</v>
      </c>
      <c r="Q370" s="197">
        <v>1</v>
      </c>
    </row>
    <row r="371" spans="1:17" x14ac:dyDescent="0.25">
      <c r="A371" s="254">
        <v>40006</v>
      </c>
      <c r="B371" s="254" t="s">
        <v>183</v>
      </c>
      <c r="C371" s="210">
        <v>9382179</v>
      </c>
      <c r="D371" s="115" t="s">
        <v>313</v>
      </c>
      <c r="E371" s="34">
        <f t="shared" si="25"/>
        <v>40006</v>
      </c>
      <c r="F371" s="108" t="str">
        <f t="shared" si="29"/>
        <v>2009-10</v>
      </c>
      <c r="H371" s="119"/>
      <c r="I371" s="26"/>
      <c r="J371" s="101">
        <f t="shared" si="26"/>
        <v>0.84443766578674484</v>
      </c>
      <c r="K371" s="37"/>
      <c r="L371" s="26">
        <v>48.261029520000001</v>
      </c>
      <c r="M371" s="26" t="s">
        <v>204</v>
      </c>
      <c r="N371" s="26">
        <v>936.5640883902438</v>
      </c>
      <c r="O371" s="95">
        <f t="shared" si="27"/>
        <v>45199.547117173446</v>
      </c>
      <c r="P371" s="97">
        <f t="shared" si="28"/>
        <v>38168.200062243937</v>
      </c>
      <c r="Q371" s="197">
        <v>1</v>
      </c>
    </row>
    <row r="372" spans="1:17" x14ac:dyDescent="0.25">
      <c r="A372" s="254">
        <v>40753</v>
      </c>
      <c r="B372" s="254" t="s">
        <v>183</v>
      </c>
      <c r="C372" s="210">
        <v>10366491</v>
      </c>
      <c r="D372" s="115" t="s">
        <v>313</v>
      </c>
      <c r="E372" s="34">
        <f t="shared" si="25"/>
        <v>40753</v>
      </c>
      <c r="F372" s="108" t="str">
        <f t="shared" si="29"/>
        <v>2011-12</v>
      </c>
      <c r="H372" s="119"/>
      <c r="I372" s="26"/>
      <c r="J372" s="101">
        <f t="shared" si="26"/>
        <v>0.84443766578674484</v>
      </c>
      <c r="K372" s="37"/>
      <c r="L372" s="26">
        <v>2.0442595236400001</v>
      </c>
      <c r="M372" s="26" t="s">
        <v>204</v>
      </c>
      <c r="N372" s="26">
        <v>936.5640883902438</v>
      </c>
      <c r="O372" s="95">
        <f t="shared" si="27"/>
        <v>1914.5800571909708</v>
      </c>
      <c r="P372" s="97">
        <f t="shared" si="28"/>
        <v>1616.7435144561957</v>
      </c>
      <c r="Q372" s="197">
        <v>1</v>
      </c>
    </row>
    <row r="373" spans="1:17" x14ac:dyDescent="0.25">
      <c r="A373" s="254">
        <v>40753</v>
      </c>
      <c r="B373" s="254" t="s">
        <v>183</v>
      </c>
      <c r="C373" s="210">
        <v>10366486</v>
      </c>
      <c r="D373" s="115" t="s">
        <v>313</v>
      </c>
      <c r="E373" s="34">
        <f t="shared" si="25"/>
        <v>40753</v>
      </c>
      <c r="F373" s="108" t="str">
        <f t="shared" si="29"/>
        <v>2011-12</v>
      </c>
      <c r="H373" s="119"/>
      <c r="I373" s="26"/>
      <c r="J373" s="101">
        <f t="shared" si="26"/>
        <v>0.84443766578674484</v>
      </c>
      <c r="K373" s="37"/>
      <c r="L373" s="26">
        <v>5.6966680865199999</v>
      </c>
      <c r="M373" s="26" t="s">
        <v>204</v>
      </c>
      <c r="N373" s="26">
        <v>936.5640883902438</v>
      </c>
      <c r="O373" s="95">
        <f t="shared" si="27"/>
        <v>5335.2947533133984</v>
      </c>
      <c r="P373" s="97">
        <f t="shared" si="28"/>
        <v>4505.3238477722325</v>
      </c>
      <c r="Q373" s="197">
        <v>1</v>
      </c>
    </row>
    <row r="374" spans="1:17" x14ac:dyDescent="0.25">
      <c r="A374" s="254">
        <v>40753</v>
      </c>
      <c r="B374" s="254" t="s">
        <v>183</v>
      </c>
      <c r="C374" s="210">
        <v>10366483</v>
      </c>
      <c r="D374" s="115" t="s">
        <v>313</v>
      </c>
      <c r="E374" s="34">
        <f t="shared" si="25"/>
        <v>40753</v>
      </c>
      <c r="F374" s="108" t="str">
        <f t="shared" si="29"/>
        <v>2011-12</v>
      </c>
      <c r="H374" s="119"/>
      <c r="I374" s="26"/>
      <c r="J374" s="101">
        <f t="shared" si="26"/>
        <v>0.84443766578674484</v>
      </c>
      <c r="K374" s="37"/>
      <c r="L374" s="26">
        <v>1.49894396159</v>
      </c>
      <c r="M374" s="26" t="s">
        <v>204</v>
      </c>
      <c r="N374" s="26">
        <v>936.5640883902438</v>
      </c>
      <c r="O374" s="95">
        <f t="shared" si="27"/>
        <v>1403.857084934599</v>
      </c>
      <c r="P374" s="97">
        <f t="shared" si="28"/>
        <v>1185.4697999003567</v>
      </c>
      <c r="Q374" s="197">
        <v>1</v>
      </c>
    </row>
    <row r="375" spans="1:17" x14ac:dyDescent="0.25">
      <c r="A375" s="254">
        <v>40022</v>
      </c>
      <c r="B375" s="254" t="s">
        <v>183</v>
      </c>
      <c r="C375" s="210">
        <v>9404981</v>
      </c>
      <c r="D375" s="115" t="s">
        <v>313</v>
      </c>
      <c r="E375" s="34">
        <f t="shared" si="25"/>
        <v>40022</v>
      </c>
      <c r="F375" s="108" t="str">
        <f t="shared" si="29"/>
        <v>2009-10</v>
      </c>
      <c r="H375" s="119"/>
      <c r="I375" s="26"/>
      <c r="J375" s="101">
        <f t="shared" si="26"/>
        <v>0.84443766578674484</v>
      </c>
      <c r="K375" s="37"/>
      <c r="L375" s="26">
        <v>1.5463433385400001</v>
      </c>
      <c r="M375" s="26" t="s">
        <v>204</v>
      </c>
      <c r="N375" s="26">
        <v>936.5640883902438</v>
      </c>
      <c r="O375" s="95">
        <f t="shared" si="27"/>
        <v>1448.2496391980412</v>
      </c>
      <c r="P375" s="97">
        <f t="shared" si="28"/>
        <v>1222.9565448008893</v>
      </c>
      <c r="Q375" s="197">
        <v>1</v>
      </c>
    </row>
    <row r="376" spans="1:17" x14ac:dyDescent="0.25">
      <c r="A376" s="254">
        <v>40576</v>
      </c>
      <c r="B376" s="254" t="s">
        <v>183</v>
      </c>
      <c r="C376" s="210">
        <v>10301242</v>
      </c>
      <c r="D376" s="115" t="s">
        <v>314</v>
      </c>
      <c r="E376" s="34">
        <f t="shared" si="25"/>
        <v>40576</v>
      </c>
      <c r="F376" s="108" t="str">
        <f t="shared" si="29"/>
        <v>2010-11</v>
      </c>
      <c r="H376" s="119"/>
      <c r="I376" s="26"/>
      <c r="J376" s="101">
        <f t="shared" si="26"/>
        <v>0.84443766578674484</v>
      </c>
      <c r="K376" s="37"/>
      <c r="L376" s="26">
        <v>1.99903626781</v>
      </c>
      <c r="M376" s="26" t="s">
        <v>204</v>
      </c>
      <c r="N376" s="26">
        <v>696.6467060487804</v>
      </c>
      <c r="O376" s="95">
        <f t="shared" si="27"/>
        <v>1392.6220312418841</v>
      </c>
      <c r="P376" s="97">
        <f t="shared" si="28"/>
        <v>1175.9824973850918</v>
      </c>
      <c r="Q376" s="197">
        <v>1</v>
      </c>
    </row>
    <row r="377" spans="1:17" x14ac:dyDescent="0.25">
      <c r="A377" s="254">
        <v>40576</v>
      </c>
      <c r="B377" s="254" t="s">
        <v>183</v>
      </c>
      <c r="C377" s="210">
        <v>10301301</v>
      </c>
      <c r="D377" s="115" t="s">
        <v>314</v>
      </c>
      <c r="E377" s="34">
        <f t="shared" si="25"/>
        <v>40576</v>
      </c>
      <c r="F377" s="108" t="str">
        <f t="shared" si="29"/>
        <v>2010-11</v>
      </c>
      <c r="H377" s="119"/>
      <c r="I377" s="26"/>
      <c r="J377" s="101">
        <f t="shared" si="26"/>
        <v>0.84443766578674484</v>
      </c>
      <c r="K377" s="37"/>
      <c r="L377" s="26">
        <v>1.99903626781</v>
      </c>
      <c r="M377" s="26" t="s">
        <v>204</v>
      </c>
      <c r="N377" s="26">
        <v>696.6467060487804</v>
      </c>
      <c r="O377" s="95">
        <f t="shared" si="27"/>
        <v>1392.6220312418841</v>
      </c>
      <c r="P377" s="97">
        <f t="shared" si="28"/>
        <v>1175.9824973850918</v>
      </c>
      <c r="Q377" s="197">
        <v>1</v>
      </c>
    </row>
    <row r="378" spans="1:17" x14ac:dyDescent="0.25">
      <c r="A378" s="254">
        <v>41545</v>
      </c>
      <c r="B378" s="254" t="s">
        <v>183</v>
      </c>
      <c r="C378" s="210">
        <v>10651371</v>
      </c>
      <c r="D378" s="115" t="s">
        <v>315</v>
      </c>
      <c r="E378" s="34">
        <f t="shared" si="25"/>
        <v>41545</v>
      </c>
      <c r="F378" s="108" t="str">
        <f t="shared" si="29"/>
        <v>2013-14</v>
      </c>
      <c r="H378" s="119"/>
      <c r="I378" s="26"/>
      <c r="J378" s="101">
        <f t="shared" si="26"/>
        <v>0.84443766578674484</v>
      </c>
      <c r="K378" s="37"/>
      <c r="L378" s="26">
        <v>96.313328704400007</v>
      </c>
      <c r="M378" s="26" t="s">
        <v>204</v>
      </c>
      <c r="N378" s="26">
        <v>696.6467060487804</v>
      </c>
      <c r="O378" s="95">
        <f t="shared" si="27"/>
        <v>67096.363190513715</v>
      </c>
      <c r="P378" s="97">
        <f t="shared" si="28"/>
        <v>56658.69631537707</v>
      </c>
      <c r="Q378" s="197">
        <v>1</v>
      </c>
    </row>
    <row r="379" spans="1:17" x14ac:dyDescent="0.25">
      <c r="A379" s="254">
        <v>41545</v>
      </c>
      <c r="B379" s="254" t="s">
        <v>183</v>
      </c>
      <c r="C379" s="210">
        <v>10651350</v>
      </c>
      <c r="D379" s="115" t="s">
        <v>315</v>
      </c>
      <c r="E379" s="34">
        <f t="shared" si="25"/>
        <v>41545</v>
      </c>
      <c r="F379" s="108" t="str">
        <f t="shared" si="29"/>
        <v>2013-14</v>
      </c>
      <c r="H379" s="119"/>
      <c r="I379" s="26"/>
      <c r="J379" s="101">
        <f t="shared" si="26"/>
        <v>0.84443766578674484</v>
      </c>
      <c r="K379" s="37"/>
      <c r="L379" s="26">
        <v>63.887693882500002</v>
      </c>
      <c r="M379" s="26" t="s">
        <v>204</v>
      </c>
      <c r="N379" s="26">
        <v>1003.0093919999996</v>
      </c>
      <c r="O379" s="95">
        <f t="shared" si="27"/>
        <v>64079.956997368419</v>
      </c>
      <c r="P379" s="97">
        <f t="shared" si="28"/>
        <v>54111.529310572776</v>
      </c>
      <c r="Q379" s="197">
        <v>1</v>
      </c>
    </row>
    <row r="380" spans="1:17" x14ac:dyDescent="0.25">
      <c r="A380" s="254">
        <v>41545</v>
      </c>
      <c r="B380" s="254" t="s">
        <v>183</v>
      </c>
      <c r="C380" s="210">
        <v>10651573</v>
      </c>
      <c r="D380" s="115" t="s">
        <v>315</v>
      </c>
      <c r="E380" s="34">
        <f t="shared" si="25"/>
        <v>41545</v>
      </c>
      <c r="F380" s="108" t="str">
        <f t="shared" si="29"/>
        <v>2013-14</v>
      </c>
      <c r="H380" s="119"/>
      <c r="I380" s="26"/>
      <c r="J380" s="101">
        <f t="shared" si="26"/>
        <v>0.84443766578674484</v>
      </c>
      <c r="K380" s="37"/>
      <c r="L380" s="26">
        <v>0.37143640101600001</v>
      </c>
      <c r="M380" s="26" t="s">
        <v>204</v>
      </c>
      <c r="N380" s="26">
        <v>1003.0093919999996</v>
      </c>
      <c r="O380" s="95">
        <f t="shared" si="27"/>
        <v>372.5541987497262</v>
      </c>
      <c r="P380" s="97">
        <f t="shared" si="28"/>
        <v>314.59879797126979</v>
      </c>
      <c r="Q380" s="197">
        <v>1</v>
      </c>
    </row>
    <row r="381" spans="1:17" x14ac:dyDescent="0.25">
      <c r="A381" s="254">
        <v>41545</v>
      </c>
      <c r="B381" s="254" t="s">
        <v>183</v>
      </c>
      <c r="C381" s="210">
        <v>10651348</v>
      </c>
      <c r="D381" s="115" t="s">
        <v>315</v>
      </c>
      <c r="E381" s="34">
        <f t="shared" si="25"/>
        <v>41545</v>
      </c>
      <c r="F381" s="108" t="str">
        <f t="shared" si="29"/>
        <v>2013-14</v>
      </c>
      <c r="H381" s="119"/>
      <c r="I381" s="26"/>
      <c r="J381" s="101">
        <f t="shared" si="26"/>
        <v>0.84443766578674484</v>
      </c>
      <c r="K381" s="37"/>
      <c r="L381" s="26">
        <v>5.5954528912099999</v>
      </c>
      <c r="M381" s="26" t="s">
        <v>204</v>
      </c>
      <c r="N381" s="26">
        <v>696.6467060487804</v>
      </c>
      <c r="O381" s="95">
        <f t="shared" si="27"/>
        <v>3898.0538255125712</v>
      </c>
      <c r="P381" s="97">
        <f t="shared" si="28"/>
        <v>3291.6634735269267</v>
      </c>
      <c r="Q381" s="197">
        <v>1</v>
      </c>
    </row>
    <row r="382" spans="1:17" x14ac:dyDescent="0.25">
      <c r="A382" s="254">
        <v>41545</v>
      </c>
      <c r="B382" s="254" t="s">
        <v>183</v>
      </c>
      <c r="C382" s="210">
        <v>10652284</v>
      </c>
      <c r="D382" s="115" t="s">
        <v>315</v>
      </c>
      <c r="E382" s="34">
        <f t="shared" si="25"/>
        <v>41545</v>
      </c>
      <c r="F382" s="108" t="str">
        <f t="shared" si="29"/>
        <v>2013-14</v>
      </c>
      <c r="H382" s="119"/>
      <c r="I382" s="26"/>
      <c r="J382" s="101">
        <f t="shared" si="26"/>
        <v>0.84443766578674484</v>
      </c>
      <c r="K382" s="37"/>
      <c r="L382" s="26">
        <v>62.185871800999998</v>
      </c>
      <c r="M382" s="26" t="s">
        <v>204</v>
      </c>
      <c r="N382" s="26">
        <v>1003.0093919999996</v>
      </c>
      <c r="O382" s="95">
        <f t="shared" si="27"/>
        <v>62373.013466110926</v>
      </c>
      <c r="P382" s="97">
        <f t="shared" si="28"/>
        <v>52670.12189940791</v>
      </c>
      <c r="Q382" s="197">
        <v>1</v>
      </c>
    </row>
    <row r="383" spans="1:17" x14ac:dyDescent="0.25">
      <c r="A383" s="254">
        <v>41545</v>
      </c>
      <c r="B383" s="254" t="s">
        <v>183</v>
      </c>
      <c r="C383" s="210">
        <v>10652283</v>
      </c>
      <c r="D383" s="115" t="s">
        <v>315</v>
      </c>
      <c r="E383" s="34">
        <f t="shared" si="25"/>
        <v>41545</v>
      </c>
      <c r="F383" s="108" t="str">
        <f t="shared" si="29"/>
        <v>2013-14</v>
      </c>
      <c r="H383" s="119"/>
      <c r="I383" s="26"/>
      <c r="J383" s="101">
        <f t="shared" si="26"/>
        <v>0.84443766578674484</v>
      </c>
      <c r="K383" s="37"/>
      <c r="L383" s="26">
        <v>8.8398014683599992</v>
      </c>
      <c r="M383" s="26" t="s">
        <v>204</v>
      </c>
      <c r="N383" s="26">
        <v>696.6467060487804</v>
      </c>
      <c r="O383" s="95">
        <f t="shared" si="27"/>
        <v>6158.2185750581657</v>
      </c>
      <c r="P383" s="97">
        <f t="shared" si="28"/>
        <v>5200.2317189266914</v>
      </c>
      <c r="Q383" s="197">
        <v>1</v>
      </c>
    </row>
    <row r="384" spans="1:17" x14ac:dyDescent="0.25">
      <c r="A384" s="254">
        <v>39936</v>
      </c>
      <c r="B384" s="254" t="s">
        <v>183</v>
      </c>
      <c r="C384" s="210">
        <v>9372383</v>
      </c>
      <c r="D384" s="115" t="s">
        <v>315</v>
      </c>
      <c r="E384" s="34">
        <f t="shared" si="25"/>
        <v>39936</v>
      </c>
      <c r="F384" s="108" t="str">
        <f t="shared" si="29"/>
        <v>2008-09</v>
      </c>
      <c r="H384" s="119"/>
      <c r="I384" s="26"/>
      <c r="J384" s="101">
        <f t="shared" si="26"/>
        <v>0.84443766578674484</v>
      </c>
      <c r="K384" s="37"/>
      <c r="L384" s="26">
        <v>104.421906659</v>
      </c>
      <c r="M384" s="26" t="s">
        <v>204</v>
      </c>
      <c r="N384" s="26">
        <v>696.6467060487804</v>
      </c>
      <c r="O384" s="95">
        <f t="shared" si="27"/>
        <v>72745.177313325563</v>
      </c>
      <c r="P384" s="97">
        <f t="shared" si="28"/>
        <v>61428.767727707505</v>
      </c>
      <c r="Q384" s="197">
        <v>1</v>
      </c>
    </row>
    <row r="385" spans="1:17" x14ac:dyDescent="0.25">
      <c r="A385" s="254">
        <v>41132</v>
      </c>
      <c r="B385" s="254" t="s">
        <v>183</v>
      </c>
      <c r="C385" s="210">
        <v>10451588</v>
      </c>
      <c r="D385" s="115" t="s">
        <v>315</v>
      </c>
      <c r="E385" s="34">
        <f t="shared" si="25"/>
        <v>41132</v>
      </c>
      <c r="F385" s="108" t="str">
        <f t="shared" si="29"/>
        <v>2012-13</v>
      </c>
      <c r="H385" s="119"/>
      <c r="I385" s="26"/>
      <c r="J385" s="101">
        <f t="shared" si="26"/>
        <v>0.84443766578674484</v>
      </c>
      <c r="K385" s="37"/>
      <c r="L385" s="26">
        <v>45.378283011299999</v>
      </c>
      <c r="M385" s="26" t="s">
        <v>204</v>
      </c>
      <c r="N385" s="26">
        <v>1003.0093919999996</v>
      </c>
      <c r="O385" s="95">
        <f t="shared" si="27"/>
        <v>45514.844053167923</v>
      </c>
      <c r="P385" s="97">
        <f t="shared" si="28"/>
        <v>38434.448670904821</v>
      </c>
      <c r="Q385" s="197">
        <v>1</v>
      </c>
    </row>
    <row r="386" spans="1:17" x14ac:dyDescent="0.25">
      <c r="A386" s="254">
        <v>41132</v>
      </c>
      <c r="B386" s="254" t="s">
        <v>183</v>
      </c>
      <c r="C386" s="210">
        <v>10451386</v>
      </c>
      <c r="D386" s="115" t="s">
        <v>315</v>
      </c>
      <c r="E386" s="34">
        <f t="shared" si="25"/>
        <v>41132</v>
      </c>
      <c r="F386" s="108" t="str">
        <f t="shared" si="29"/>
        <v>2012-13</v>
      </c>
      <c r="H386" s="119"/>
      <c r="I386" s="26"/>
      <c r="J386" s="101">
        <f t="shared" si="26"/>
        <v>0.84443766578674484</v>
      </c>
      <c r="K386" s="37"/>
      <c r="L386" s="26">
        <v>2.51700536352</v>
      </c>
      <c r="M386" s="26" t="s">
        <v>204</v>
      </c>
      <c r="N386" s="26">
        <v>1003.0093919999996</v>
      </c>
      <c r="O386" s="95">
        <f t="shared" si="27"/>
        <v>2524.5800193249333</v>
      </c>
      <c r="P386" s="97">
        <f t="shared" si="28"/>
        <v>2131.8504586106019</v>
      </c>
      <c r="Q386" s="197">
        <v>1</v>
      </c>
    </row>
    <row r="387" spans="1:17" x14ac:dyDescent="0.25">
      <c r="A387" s="254">
        <v>40431</v>
      </c>
      <c r="B387" s="254" t="s">
        <v>183</v>
      </c>
      <c r="C387" s="210">
        <v>10257296</v>
      </c>
      <c r="D387" s="115" t="s">
        <v>316</v>
      </c>
      <c r="E387" s="34">
        <f t="shared" si="25"/>
        <v>40431</v>
      </c>
      <c r="F387" s="108" t="str">
        <f t="shared" si="29"/>
        <v>2010-11</v>
      </c>
      <c r="H387" s="119"/>
      <c r="I387" s="26"/>
      <c r="J387" s="101">
        <f t="shared" si="26"/>
        <v>0.84443766578674484</v>
      </c>
      <c r="K387" s="37"/>
      <c r="L387" s="26">
        <v>3.99848341606</v>
      </c>
      <c r="M387" s="26" t="s">
        <v>204</v>
      </c>
      <c r="N387" s="26">
        <v>936.5640883902438</v>
      </c>
      <c r="O387" s="95">
        <f t="shared" si="27"/>
        <v>3744.8359755057418</v>
      </c>
      <c r="P387" s="97">
        <f t="shared" si="28"/>
        <v>3162.280549910296</v>
      </c>
      <c r="Q387" s="197">
        <v>1</v>
      </c>
    </row>
    <row r="388" spans="1:17" x14ac:dyDescent="0.25">
      <c r="A388" s="254">
        <v>40431</v>
      </c>
      <c r="B388" s="254" t="s">
        <v>183</v>
      </c>
      <c r="C388" s="210">
        <v>10257290</v>
      </c>
      <c r="D388" s="115" t="s">
        <v>316</v>
      </c>
      <c r="E388" s="34">
        <f t="shared" si="25"/>
        <v>40431</v>
      </c>
      <c r="F388" s="108" t="str">
        <f t="shared" si="29"/>
        <v>2010-11</v>
      </c>
      <c r="H388" s="119"/>
      <c r="I388" s="26"/>
      <c r="J388" s="101">
        <f t="shared" si="26"/>
        <v>0.84443766578674484</v>
      </c>
      <c r="K388" s="37"/>
      <c r="L388" s="26">
        <v>1.4993415221399999</v>
      </c>
      <c r="M388" s="26" t="s">
        <v>204</v>
      </c>
      <c r="N388" s="26">
        <v>936.5640883902438</v>
      </c>
      <c r="O388" s="95">
        <f t="shared" si="27"/>
        <v>1404.2294258686895</v>
      </c>
      <c r="P388" s="97">
        <f t="shared" si="28"/>
        <v>1185.784218609617</v>
      </c>
      <c r="Q388" s="197">
        <v>1</v>
      </c>
    </row>
    <row r="389" spans="1:17" x14ac:dyDescent="0.25">
      <c r="A389" s="254">
        <v>39936</v>
      </c>
      <c r="B389" s="254" t="s">
        <v>183</v>
      </c>
      <c r="C389" s="210">
        <v>9372536</v>
      </c>
      <c r="D389" s="115" t="s">
        <v>315</v>
      </c>
      <c r="E389" s="34">
        <f t="shared" si="25"/>
        <v>39936</v>
      </c>
      <c r="F389" s="108" t="str">
        <f t="shared" si="29"/>
        <v>2008-09</v>
      </c>
      <c r="H389" s="119"/>
      <c r="I389" s="26"/>
      <c r="J389" s="101">
        <f t="shared" si="26"/>
        <v>0.84443766578674484</v>
      </c>
      <c r="K389" s="37"/>
      <c r="L389" s="26">
        <v>2.24264352941</v>
      </c>
      <c r="M389" s="26" t="s">
        <v>204</v>
      </c>
      <c r="N389" s="26">
        <v>696.6467060487804</v>
      </c>
      <c r="O389" s="95">
        <f t="shared" si="27"/>
        <v>1562.3302276050877</v>
      </c>
      <c r="P389" s="97">
        <f t="shared" si="28"/>
        <v>1319.2904905869141</v>
      </c>
      <c r="Q389" s="197">
        <v>1</v>
      </c>
    </row>
    <row r="390" spans="1:17" x14ac:dyDescent="0.25">
      <c r="A390" s="254">
        <v>39936</v>
      </c>
      <c r="B390" s="254" t="s">
        <v>183</v>
      </c>
      <c r="C390" s="210">
        <v>9372930</v>
      </c>
      <c r="D390" s="115" t="s">
        <v>315</v>
      </c>
      <c r="E390" s="34">
        <f t="shared" si="25"/>
        <v>39936</v>
      </c>
      <c r="F390" s="108" t="str">
        <f t="shared" si="29"/>
        <v>2008-09</v>
      </c>
      <c r="H390" s="119"/>
      <c r="I390" s="26"/>
      <c r="J390" s="101">
        <f t="shared" si="26"/>
        <v>0.84443766578674484</v>
      </c>
      <c r="K390" s="37"/>
      <c r="L390" s="26">
        <v>29.2533862911</v>
      </c>
      <c r="M390" s="26" t="s">
        <v>204</v>
      </c>
      <c r="N390" s="26">
        <v>696.6467060487804</v>
      </c>
      <c r="O390" s="95">
        <f t="shared" si="27"/>
        <v>20379.275200467364</v>
      </c>
      <c r="P390" s="97">
        <f t="shared" si="28"/>
        <v>17209.027580708356</v>
      </c>
      <c r="Q390" s="197">
        <v>1</v>
      </c>
    </row>
    <row r="391" spans="1:17" x14ac:dyDescent="0.25">
      <c r="A391" s="254">
        <v>39936</v>
      </c>
      <c r="B391" s="254" t="s">
        <v>183</v>
      </c>
      <c r="C391" s="210">
        <v>9372932</v>
      </c>
      <c r="D391" s="115" t="s">
        <v>315</v>
      </c>
      <c r="E391" s="34">
        <f t="shared" si="25"/>
        <v>39936</v>
      </c>
      <c r="F391" s="108" t="str">
        <f t="shared" si="29"/>
        <v>2008-09</v>
      </c>
      <c r="H391" s="119"/>
      <c r="I391" s="26"/>
      <c r="J391" s="101">
        <f t="shared" si="26"/>
        <v>0.84443766578674484</v>
      </c>
      <c r="K391" s="37"/>
      <c r="L391" s="26">
        <v>4.99757946141</v>
      </c>
      <c r="M391" s="26" t="s">
        <v>204</v>
      </c>
      <c r="N391" s="26">
        <v>696.6467060487804</v>
      </c>
      <c r="O391" s="95">
        <f t="shared" si="27"/>
        <v>3481.5472700083146</v>
      </c>
      <c r="P391" s="97">
        <f t="shared" si="28"/>
        <v>2939.9496500120349</v>
      </c>
      <c r="Q391" s="197">
        <v>1</v>
      </c>
    </row>
    <row r="392" spans="1:17" x14ac:dyDescent="0.25">
      <c r="A392" s="254">
        <v>39936</v>
      </c>
      <c r="B392" s="254" t="s">
        <v>183</v>
      </c>
      <c r="C392" s="210">
        <v>9372419</v>
      </c>
      <c r="D392" s="115" t="s">
        <v>315</v>
      </c>
      <c r="E392" s="34">
        <f t="shared" si="25"/>
        <v>39936</v>
      </c>
      <c r="F392" s="108" t="str">
        <f t="shared" si="29"/>
        <v>2008-09</v>
      </c>
      <c r="H392" s="119"/>
      <c r="I392" s="26"/>
      <c r="J392" s="101">
        <f t="shared" si="26"/>
        <v>0.84443766578674484</v>
      </c>
      <c r="K392" s="37"/>
      <c r="L392" s="26">
        <v>1.4094683394800001</v>
      </c>
      <c r="M392" s="26" t="s">
        <v>204</v>
      </c>
      <c r="N392" s="26">
        <v>696.6467060487804</v>
      </c>
      <c r="O392" s="95">
        <f t="shared" si="27"/>
        <v>981.90147597878627</v>
      </c>
      <c r="P392" s="97">
        <f t="shared" si="28"/>
        <v>829.15459040808582</v>
      </c>
      <c r="Q392" s="197">
        <v>1</v>
      </c>
    </row>
    <row r="393" spans="1:17" x14ac:dyDescent="0.25">
      <c r="A393" s="254">
        <v>41132</v>
      </c>
      <c r="B393" s="254" t="s">
        <v>183</v>
      </c>
      <c r="C393" s="210">
        <v>10451367</v>
      </c>
      <c r="D393" s="115" t="s">
        <v>315</v>
      </c>
      <c r="E393" s="34">
        <f t="shared" si="25"/>
        <v>41132</v>
      </c>
      <c r="F393" s="108" t="str">
        <f t="shared" si="29"/>
        <v>2012-13</v>
      </c>
      <c r="H393" s="119"/>
      <c r="I393" s="26"/>
      <c r="J393" s="101">
        <f t="shared" si="26"/>
        <v>0.84443766578674484</v>
      </c>
      <c r="K393" s="37"/>
      <c r="L393" s="26">
        <v>67.448142017400002</v>
      </c>
      <c r="M393" s="26" t="s">
        <v>204</v>
      </c>
      <c r="N393" s="26">
        <v>1003.0093919999996</v>
      </c>
      <c r="O393" s="95">
        <f t="shared" si="27"/>
        <v>67651.119916402007</v>
      </c>
      <c r="P393" s="97">
        <f t="shared" si="28"/>
        <v>57127.153790065677</v>
      </c>
      <c r="Q393" s="197">
        <v>1</v>
      </c>
    </row>
    <row r="394" spans="1:17" x14ac:dyDescent="0.25">
      <c r="A394" s="254">
        <v>41132</v>
      </c>
      <c r="B394" s="254" t="s">
        <v>183</v>
      </c>
      <c r="C394" s="210">
        <v>10451549</v>
      </c>
      <c r="D394" s="115" t="s">
        <v>315</v>
      </c>
      <c r="E394" s="34">
        <f t="shared" si="25"/>
        <v>41132</v>
      </c>
      <c r="F394" s="108" t="str">
        <f t="shared" si="29"/>
        <v>2012-13</v>
      </c>
      <c r="H394" s="119"/>
      <c r="I394" s="26"/>
      <c r="J394" s="101">
        <f t="shared" si="26"/>
        <v>0.84443766578674484</v>
      </c>
      <c r="K394" s="37"/>
      <c r="L394" s="26">
        <v>8.2091792415900002</v>
      </c>
      <c r="M394" s="26" t="s">
        <v>204</v>
      </c>
      <c r="N394" s="26">
        <v>1003.0093919999996</v>
      </c>
      <c r="O394" s="95">
        <f t="shared" si="27"/>
        <v>8233.883879926203</v>
      </c>
      <c r="P394" s="97">
        <f t="shared" si="28"/>
        <v>6953.0016839239888</v>
      </c>
      <c r="Q394" s="197">
        <v>1</v>
      </c>
    </row>
    <row r="395" spans="1:17" x14ac:dyDescent="0.25">
      <c r="A395" s="254">
        <v>41132</v>
      </c>
      <c r="B395" s="254" t="s">
        <v>183</v>
      </c>
      <c r="C395" s="210">
        <v>10451567</v>
      </c>
      <c r="D395" s="115" t="s">
        <v>315</v>
      </c>
      <c r="E395" s="34">
        <f t="shared" si="25"/>
        <v>41132</v>
      </c>
      <c r="F395" s="108" t="str">
        <f t="shared" si="29"/>
        <v>2012-13</v>
      </c>
      <c r="H395" s="119"/>
      <c r="I395" s="26"/>
      <c r="J395" s="101">
        <f t="shared" si="26"/>
        <v>0.84443766578674484</v>
      </c>
      <c r="K395" s="37"/>
      <c r="L395" s="26">
        <v>37.6719130269</v>
      </c>
      <c r="M395" s="26" t="s">
        <v>204</v>
      </c>
      <c r="N395" s="26">
        <v>1003.0093919999996</v>
      </c>
      <c r="O395" s="95">
        <f t="shared" si="27"/>
        <v>37785.282580587831</v>
      </c>
      <c r="P395" s="97">
        <f t="shared" si="28"/>
        <v>31907.31582344414</v>
      </c>
      <c r="Q395" s="197">
        <v>1</v>
      </c>
    </row>
    <row r="396" spans="1:17" x14ac:dyDescent="0.25">
      <c r="A396" s="254">
        <v>41132</v>
      </c>
      <c r="B396" s="254" t="s">
        <v>183</v>
      </c>
      <c r="C396" s="210">
        <v>10451552</v>
      </c>
      <c r="D396" s="115" t="s">
        <v>315</v>
      </c>
      <c r="E396" s="34">
        <f t="shared" si="25"/>
        <v>41132</v>
      </c>
      <c r="F396" s="108" t="str">
        <f t="shared" si="29"/>
        <v>2012-13</v>
      </c>
      <c r="H396" s="119"/>
      <c r="I396" s="26"/>
      <c r="J396" s="101">
        <f t="shared" si="26"/>
        <v>0.84443766578674484</v>
      </c>
      <c r="K396" s="37"/>
      <c r="L396" s="26">
        <v>70.541754741600002</v>
      </c>
      <c r="M396" s="26" t="s">
        <v>204</v>
      </c>
      <c r="N396" s="26">
        <v>1003.0093919999996</v>
      </c>
      <c r="O396" s="95">
        <f t="shared" si="27"/>
        <v>70754.04253398531</v>
      </c>
      <c r="P396" s="97">
        <f t="shared" si="28"/>
        <v>59747.378522374616</v>
      </c>
      <c r="Q396" s="197">
        <v>1</v>
      </c>
    </row>
    <row r="397" spans="1:17" x14ac:dyDescent="0.25">
      <c r="A397" s="254">
        <v>41132</v>
      </c>
      <c r="B397" s="254" t="s">
        <v>183</v>
      </c>
      <c r="C397" s="210">
        <v>10451365</v>
      </c>
      <c r="D397" s="115" t="s">
        <v>315</v>
      </c>
      <c r="E397" s="34">
        <f t="shared" si="25"/>
        <v>41132</v>
      </c>
      <c r="F397" s="108" t="str">
        <f t="shared" si="29"/>
        <v>2012-13</v>
      </c>
      <c r="H397" s="119"/>
      <c r="I397" s="26"/>
      <c r="J397" s="101">
        <f t="shared" si="26"/>
        <v>0.84443766578674484</v>
      </c>
      <c r="K397" s="37"/>
      <c r="L397" s="26">
        <v>60.984702733299997</v>
      </c>
      <c r="M397" s="26" t="s">
        <v>204</v>
      </c>
      <c r="N397" s="26">
        <v>696.6467060487804</v>
      </c>
      <c r="O397" s="95">
        <f t="shared" si="27"/>
        <v>42484.792278517496</v>
      </c>
      <c r="P397" s="97">
        <f t="shared" si="28"/>
        <v>35875.758823106036</v>
      </c>
      <c r="Q397" s="197">
        <v>1</v>
      </c>
    </row>
    <row r="398" spans="1:17" x14ac:dyDescent="0.25">
      <c r="A398" s="254">
        <v>41132</v>
      </c>
      <c r="B398" s="254" t="s">
        <v>183</v>
      </c>
      <c r="C398" s="210">
        <v>10451487</v>
      </c>
      <c r="D398" s="115" t="s">
        <v>315</v>
      </c>
      <c r="E398" s="34">
        <f t="shared" si="25"/>
        <v>41132</v>
      </c>
      <c r="F398" s="108" t="str">
        <f t="shared" si="29"/>
        <v>2012-13</v>
      </c>
      <c r="H398" s="119"/>
      <c r="I398" s="26"/>
      <c r="J398" s="101">
        <f t="shared" si="26"/>
        <v>0.84443766578674484</v>
      </c>
      <c r="K398" s="37"/>
      <c r="L398" s="26">
        <v>32.605748970900002</v>
      </c>
      <c r="M398" s="26" t="s">
        <v>204</v>
      </c>
      <c r="N398" s="26">
        <v>696.6467060487804</v>
      </c>
      <c r="O398" s="95">
        <f t="shared" si="27"/>
        <v>22714.6876188309</v>
      </c>
      <c r="P398" s="97">
        <f t="shared" si="28"/>
        <v>19181.137791920639</v>
      </c>
      <c r="Q398" s="197">
        <v>1</v>
      </c>
    </row>
    <row r="399" spans="1:17" x14ac:dyDescent="0.25">
      <c r="A399" s="254">
        <v>41132</v>
      </c>
      <c r="B399" s="254" t="s">
        <v>183</v>
      </c>
      <c r="C399" s="210">
        <v>10451537</v>
      </c>
      <c r="D399" s="115" t="s">
        <v>315</v>
      </c>
      <c r="E399" s="34">
        <f t="shared" si="25"/>
        <v>41132</v>
      </c>
      <c r="F399" s="108" t="str">
        <f t="shared" si="29"/>
        <v>2012-13</v>
      </c>
      <c r="H399" s="119"/>
      <c r="I399" s="26"/>
      <c r="J399" s="101">
        <f t="shared" si="26"/>
        <v>0.84443766578674484</v>
      </c>
      <c r="K399" s="37"/>
      <c r="L399" s="26">
        <v>207.721625141</v>
      </c>
      <c r="M399" s="26" t="s">
        <v>204</v>
      </c>
      <c r="N399" s="26">
        <v>1003.0093919999996</v>
      </c>
      <c r="O399" s="95">
        <f t="shared" si="27"/>
        <v>208346.74093792625</v>
      </c>
      <c r="P399" s="97">
        <f t="shared" si="28"/>
        <v>175935.83559189807</v>
      </c>
      <c r="Q399" s="197">
        <v>1</v>
      </c>
    </row>
    <row r="400" spans="1:17" x14ac:dyDescent="0.25">
      <c r="A400" s="254">
        <v>41132</v>
      </c>
      <c r="B400" s="254" t="s">
        <v>183</v>
      </c>
      <c r="C400" s="210">
        <v>10451368</v>
      </c>
      <c r="D400" s="115" t="s">
        <v>315</v>
      </c>
      <c r="E400" s="34">
        <f t="shared" si="25"/>
        <v>41132</v>
      </c>
      <c r="F400" s="108" t="str">
        <f t="shared" si="29"/>
        <v>2012-13</v>
      </c>
      <c r="H400" s="119"/>
      <c r="I400" s="26"/>
      <c r="J400" s="101">
        <f t="shared" si="26"/>
        <v>0.84443766578674484</v>
      </c>
      <c r="K400" s="37"/>
      <c r="L400" s="26">
        <v>78.109369273599995</v>
      </c>
      <c r="M400" s="26" t="s">
        <v>204</v>
      </c>
      <c r="N400" s="26">
        <v>1003.0093919999996</v>
      </c>
      <c r="O400" s="95">
        <f t="shared" si="27"/>
        <v>78344.430984616978</v>
      </c>
      <c r="P400" s="97">
        <f t="shared" si="28"/>
        <v>66156.988428040684</v>
      </c>
      <c r="Q400" s="197">
        <v>1</v>
      </c>
    </row>
    <row r="401" spans="1:17" x14ac:dyDescent="0.25">
      <c r="A401" s="254">
        <v>41132</v>
      </c>
      <c r="B401" s="254" t="s">
        <v>183</v>
      </c>
      <c r="C401" s="210">
        <v>10451524</v>
      </c>
      <c r="D401" s="115" t="s">
        <v>315</v>
      </c>
      <c r="E401" s="34">
        <f t="shared" si="25"/>
        <v>41132</v>
      </c>
      <c r="F401" s="108" t="str">
        <f t="shared" si="29"/>
        <v>2012-13</v>
      </c>
      <c r="H401" s="119"/>
      <c r="I401" s="26"/>
      <c r="J401" s="101">
        <f t="shared" si="26"/>
        <v>0.84443766578674484</v>
      </c>
      <c r="K401" s="37"/>
      <c r="L401" s="26">
        <v>2.2272963430999999</v>
      </c>
      <c r="M401" s="26" t="s">
        <v>204</v>
      </c>
      <c r="N401" s="26">
        <v>1003.0093919999996</v>
      </c>
      <c r="O401" s="95">
        <f t="shared" si="27"/>
        <v>2233.9991508965536</v>
      </c>
      <c r="P401" s="97">
        <f t="shared" si="28"/>
        <v>1886.4730283526558</v>
      </c>
      <c r="Q401" s="197">
        <v>1</v>
      </c>
    </row>
    <row r="402" spans="1:17" x14ac:dyDescent="0.25">
      <c r="A402" s="254">
        <v>41132</v>
      </c>
      <c r="B402" s="254" t="s">
        <v>183</v>
      </c>
      <c r="C402" s="210">
        <v>10451363</v>
      </c>
      <c r="D402" s="115" t="s">
        <v>315</v>
      </c>
      <c r="E402" s="34">
        <f t="shared" si="25"/>
        <v>41132</v>
      </c>
      <c r="F402" s="108" t="str">
        <f t="shared" si="29"/>
        <v>2012-13</v>
      </c>
      <c r="H402" s="119"/>
      <c r="I402" s="26"/>
      <c r="J402" s="101">
        <f t="shared" si="26"/>
        <v>0.84443766578674484</v>
      </c>
      <c r="K402" s="37"/>
      <c r="L402" s="26">
        <v>2.1992839743900001</v>
      </c>
      <c r="M402" s="26" t="s">
        <v>204</v>
      </c>
      <c r="N402" s="26">
        <v>1003.0093919999996</v>
      </c>
      <c r="O402" s="95">
        <f t="shared" si="27"/>
        <v>2205.9024819882566</v>
      </c>
      <c r="P402" s="97">
        <f t="shared" si="28"/>
        <v>1862.7471428433503</v>
      </c>
      <c r="Q402" s="197">
        <v>1</v>
      </c>
    </row>
    <row r="403" spans="1:17" x14ac:dyDescent="0.25">
      <c r="A403" s="254">
        <v>41132</v>
      </c>
      <c r="B403" s="254" t="s">
        <v>183</v>
      </c>
      <c r="C403" s="210">
        <v>10451388</v>
      </c>
      <c r="D403" s="115" t="s">
        <v>315</v>
      </c>
      <c r="E403" s="34">
        <f t="shared" si="25"/>
        <v>41132</v>
      </c>
      <c r="F403" s="108" t="str">
        <f t="shared" si="29"/>
        <v>2012-13</v>
      </c>
      <c r="H403" s="119"/>
      <c r="I403" s="26"/>
      <c r="J403" s="101">
        <f t="shared" si="26"/>
        <v>0.84443766578674484</v>
      </c>
      <c r="K403" s="37"/>
      <c r="L403" s="26">
        <v>227.093414747</v>
      </c>
      <c r="M403" s="26" t="s">
        <v>204</v>
      </c>
      <c r="N403" s="26">
        <v>1003.0093919999996</v>
      </c>
      <c r="O403" s="95">
        <f t="shared" si="27"/>
        <v>227776.82785259222</v>
      </c>
      <c r="P403" s="97">
        <f t="shared" si="28"/>
        <v>192343.33283215217</v>
      </c>
      <c r="Q403" s="197">
        <v>1</v>
      </c>
    </row>
    <row r="404" spans="1:17" x14ac:dyDescent="0.25">
      <c r="A404" s="254">
        <v>41132</v>
      </c>
      <c r="B404" s="254" t="s">
        <v>183</v>
      </c>
      <c r="C404" s="210">
        <v>10286886</v>
      </c>
      <c r="D404" s="115" t="s">
        <v>315</v>
      </c>
      <c r="E404" s="34">
        <f t="shared" si="25"/>
        <v>41132</v>
      </c>
      <c r="F404" s="108" t="str">
        <f t="shared" si="29"/>
        <v>2012-13</v>
      </c>
      <c r="H404" s="119"/>
      <c r="I404" s="26"/>
      <c r="J404" s="101">
        <f t="shared" si="26"/>
        <v>0.84443766578674484</v>
      </c>
      <c r="K404" s="37"/>
      <c r="L404" s="26">
        <v>110.587464982</v>
      </c>
      <c r="M404" s="26" t="s">
        <v>204</v>
      </c>
      <c r="N404" s="26">
        <v>1003.0093919999996</v>
      </c>
      <c r="O404" s="95">
        <f t="shared" si="27"/>
        <v>110920.26601441707</v>
      </c>
      <c r="P404" s="97">
        <f t="shared" si="28"/>
        <v>93665.250521659153</v>
      </c>
      <c r="Q404" s="197">
        <v>1</v>
      </c>
    </row>
    <row r="405" spans="1:17" x14ac:dyDescent="0.25">
      <c r="A405" s="254">
        <v>41132</v>
      </c>
      <c r="B405" s="254" t="s">
        <v>183</v>
      </c>
      <c r="C405" s="210">
        <v>10451509</v>
      </c>
      <c r="D405" s="115" t="s">
        <v>315</v>
      </c>
      <c r="E405" s="34">
        <f t="shared" si="25"/>
        <v>41132</v>
      </c>
      <c r="F405" s="108" t="str">
        <f t="shared" si="29"/>
        <v>2012-13</v>
      </c>
      <c r="H405" s="119"/>
      <c r="I405" s="26"/>
      <c r="J405" s="101">
        <f t="shared" si="26"/>
        <v>0.84443766578674484</v>
      </c>
      <c r="K405" s="37"/>
      <c r="L405" s="26">
        <v>6.5472797299599996</v>
      </c>
      <c r="M405" s="26" t="s">
        <v>204</v>
      </c>
      <c r="N405" s="26">
        <v>1003.0093919999996</v>
      </c>
      <c r="O405" s="95">
        <f t="shared" si="27"/>
        <v>6566.983061201101</v>
      </c>
      <c r="P405" s="97">
        <f t="shared" si="28"/>
        <v>5545.40784746175</v>
      </c>
      <c r="Q405" s="197">
        <v>1</v>
      </c>
    </row>
    <row r="406" spans="1:17" x14ac:dyDescent="0.25">
      <c r="A406" s="254">
        <v>41132</v>
      </c>
      <c r="B406" s="254" t="s">
        <v>183</v>
      </c>
      <c r="C406" s="210">
        <v>10451504</v>
      </c>
      <c r="D406" s="115" t="s">
        <v>315</v>
      </c>
      <c r="E406" s="34">
        <f t="shared" ref="E406:E469" si="30">IF(A406&lt;2022,DATEVALUE("30 Jun "&amp;A406),A406)</f>
        <v>41132</v>
      </c>
      <c r="F406" s="108" t="str">
        <f t="shared" si="29"/>
        <v>2012-13</v>
      </c>
      <c r="H406" s="119"/>
      <c r="I406" s="26"/>
      <c r="J406" s="101">
        <f t="shared" ref="J406:J469" si="31">J405</f>
        <v>0.84443766578674484</v>
      </c>
      <c r="K406" s="37"/>
      <c r="L406" s="26">
        <v>2.7358307696200002</v>
      </c>
      <c r="M406" s="26" t="s">
        <v>204</v>
      </c>
      <c r="N406" s="26">
        <v>1003.0093919999996</v>
      </c>
      <c r="O406" s="95">
        <f t="shared" ref="O406:O469" si="32">IF(N406="","-",L406*N406)</f>
        <v>2744.0639568514475</v>
      </c>
      <c r="P406" s="97">
        <f t="shared" ref="P406:P469" si="33">IF(O406="-","-",IF(OR(E406&lt;$E$15,E406&gt;$E$16),0,O406*J406))*Q406</f>
        <v>2317.1909624931754</v>
      </c>
      <c r="Q406" s="197">
        <v>1</v>
      </c>
    </row>
    <row r="407" spans="1:17" x14ac:dyDescent="0.25">
      <c r="A407" s="254">
        <v>41132</v>
      </c>
      <c r="B407" s="254" t="s">
        <v>183</v>
      </c>
      <c r="C407" s="210">
        <v>10451359</v>
      </c>
      <c r="D407" s="115" t="s">
        <v>315</v>
      </c>
      <c r="E407" s="34">
        <f t="shared" si="30"/>
        <v>41132</v>
      </c>
      <c r="F407" s="108" t="str">
        <f t="shared" ref="F407:F470" si="34">IF(E407="","-",IF(OR(E407&lt;$E$15,E407&gt;$E$16),"ERROR - date outside of range",IF(MONTH(E407)&gt;=7,YEAR(E407)&amp;"-"&amp;IF(YEAR(E407)=1999,"00",IF(AND(YEAR(E407)&gt;=2000,YEAR(E407)&lt;2009),"0","")&amp;RIGHT(YEAR(E407),2)+1),RIGHT(YEAR(E407),4)-1&amp;"-"&amp;RIGHT(YEAR(E407),2))))</f>
        <v>2012-13</v>
      </c>
      <c r="H407" s="119"/>
      <c r="I407" s="26"/>
      <c r="J407" s="101">
        <f t="shared" si="31"/>
        <v>0.84443766578674484</v>
      </c>
      <c r="K407" s="37"/>
      <c r="L407" s="26">
        <v>3.1418185085800001</v>
      </c>
      <c r="M407" s="26" t="s">
        <v>204</v>
      </c>
      <c r="N407" s="26">
        <v>696.6467060487804</v>
      </c>
      <c r="O407" s="95">
        <f t="shared" si="32"/>
        <v>2188.737515005349</v>
      </c>
      <c r="P407" s="97">
        <f t="shared" si="33"/>
        <v>1848.2523981909974</v>
      </c>
      <c r="Q407" s="197">
        <v>1</v>
      </c>
    </row>
    <row r="408" spans="1:17" x14ac:dyDescent="0.25">
      <c r="A408" s="254">
        <v>40431</v>
      </c>
      <c r="B408" s="254" t="s">
        <v>183</v>
      </c>
      <c r="C408" s="210">
        <v>10257272</v>
      </c>
      <c r="D408" s="115" t="s">
        <v>316</v>
      </c>
      <c r="E408" s="34">
        <f t="shared" si="30"/>
        <v>40431</v>
      </c>
      <c r="F408" s="108" t="str">
        <f t="shared" si="34"/>
        <v>2010-11</v>
      </c>
      <c r="H408" s="119"/>
      <c r="I408" s="26"/>
      <c r="J408" s="101">
        <f t="shared" si="31"/>
        <v>0.84443766578674484</v>
      </c>
      <c r="K408" s="37"/>
      <c r="L408" s="26">
        <v>1.2267911374</v>
      </c>
      <c r="M408" s="26" t="s">
        <v>204</v>
      </c>
      <c r="N408" s="26">
        <v>696.6467060487804</v>
      </c>
      <c r="O408" s="95">
        <f t="shared" si="32"/>
        <v>854.64000487954672</v>
      </c>
      <c r="P408" s="97">
        <f t="shared" si="33"/>
        <v>721.69021080845664</v>
      </c>
      <c r="Q408" s="197">
        <v>1</v>
      </c>
    </row>
    <row r="409" spans="1:17" x14ac:dyDescent="0.25">
      <c r="A409" s="254">
        <v>41132</v>
      </c>
      <c r="B409" s="254" t="s">
        <v>183</v>
      </c>
      <c r="C409" s="210">
        <v>10451389</v>
      </c>
      <c r="D409" s="115" t="s">
        <v>315</v>
      </c>
      <c r="E409" s="34">
        <f t="shared" si="30"/>
        <v>41132</v>
      </c>
      <c r="F409" s="108" t="str">
        <f t="shared" si="34"/>
        <v>2012-13</v>
      </c>
      <c r="H409" s="119"/>
      <c r="I409" s="26"/>
      <c r="J409" s="101">
        <f t="shared" si="31"/>
        <v>0.84443766578674484</v>
      </c>
      <c r="K409" s="37"/>
      <c r="L409" s="26">
        <v>1.96251929927</v>
      </c>
      <c r="M409" s="26" t="s">
        <v>204</v>
      </c>
      <c r="N409" s="26">
        <v>696.6467060487804</v>
      </c>
      <c r="O409" s="95">
        <f t="shared" si="32"/>
        <v>1367.1826053936063</v>
      </c>
      <c r="P409" s="97">
        <f t="shared" si="33"/>
        <v>1154.5004880028171</v>
      </c>
      <c r="Q409" s="197">
        <v>1</v>
      </c>
    </row>
    <row r="410" spans="1:17" x14ac:dyDescent="0.25">
      <c r="A410" s="254">
        <v>40431</v>
      </c>
      <c r="B410" s="254" t="s">
        <v>183</v>
      </c>
      <c r="C410" s="210">
        <v>10257240</v>
      </c>
      <c r="D410" s="115" t="s">
        <v>316</v>
      </c>
      <c r="E410" s="34">
        <f t="shared" si="30"/>
        <v>40431</v>
      </c>
      <c r="F410" s="108" t="str">
        <f t="shared" si="34"/>
        <v>2010-11</v>
      </c>
      <c r="H410" s="119"/>
      <c r="I410" s="26"/>
      <c r="J410" s="101">
        <f t="shared" si="31"/>
        <v>0.84443766578674484</v>
      </c>
      <c r="K410" s="37"/>
      <c r="L410" s="26">
        <v>2.7599878715299999</v>
      </c>
      <c r="M410" s="26" t="s">
        <v>204</v>
      </c>
      <c r="N410" s="26">
        <v>696.6467060487804</v>
      </c>
      <c r="O410" s="95">
        <f t="shared" si="32"/>
        <v>1922.736459435959</v>
      </c>
      <c r="P410" s="97">
        <f t="shared" si="33"/>
        <v>1623.6310877291714</v>
      </c>
      <c r="Q410" s="197">
        <v>1</v>
      </c>
    </row>
    <row r="411" spans="1:17" x14ac:dyDescent="0.25">
      <c r="A411" s="254">
        <v>40431</v>
      </c>
      <c r="B411" s="254" t="s">
        <v>183</v>
      </c>
      <c r="C411" s="210">
        <v>10257117</v>
      </c>
      <c r="D411" s="115" t="s">
        <v>316</v>
      </c>
      <c r="E411" s="34">
        <f t="shared" si="30"/>
        <v>40431</v>
      </c>
      <c r="F411" s="108" t="str">
        <f t="shared" si="34"/>
        <v>2010-11</v>
      </c>
      <c r="H411" s="119"/>
      <c r="I411" s="26"/>
      <c r="J411" s="101">
        <f t="shared" si="31"/>
        <v>0.84443766578674484</v>
      </c>
      <c r="K411" s="37"/>
      <c r="L411" s="26">
        <v>2.6308460405499998</v>
      </c>
      <c r="M411" s="26" t="s">
        <v>204</v>
      </c>
      <c r="N411" s="26">
        <v>696.6467060487804</v>
      </c>
      <c r="O411" s="95">
        <f t="shared" si="32"/>
        <v>1832.7702282706334</v>
      </c>
      <c r="P411" s="97">
        <f t="shared" si="33"/>
        <v>1547.6602134842933</v>
      </c>
      <c r="Q411" s="197">
        <v>1</v>
      </c>
    </row>
    <row r="412" spans="1:17" x14ac:dyDescent="0.25">
      <c r="A412" s="254">
        <v>41166</v>
      </c>
      <c r="B412" s="254" t="s">
        <v>183</v>
      </c>
      <c r="C412" s="210">
        <v>10486291</v>
      </c>
      <c r="D412" s="115" t="s">
        <v>315</v>
      </c>
      <c r="E412" s="34">
        <f t="shared" si="30"/>
        <v>41166</v>
      </c>
      <c r="F412" s="108" t="str">
        <f t="shared" si="34"/>
        <v>2012-13</v>
      </c>
      <c r="H412" s="119"/>
      <c r="I412" s="26"/>
      <c r="J412" s="101">
        <f t="shared" si="31"/>
        <v>0.84443766578674484</v>
      </c>
      <c r="K412" s="37"/>
      <c r="L412" s="26">
        <v>152.04797197900001</v>
      </c>
      <c r="M412" s="26" t="s">
        <v>204</v>
      </c>
      <c r="N412" s="26">
        <v>936.5640883902438</v>
      </c>
      <c r="O412" s="95">
        <f t="shared" si="32"/>
        <v>142402.67026809748</v>
      </c>
      <c r="P412" s="97">
        <f t="shared" si="33"/>
        <v>120250.17848299173</v>
      </c>
      <c r="Q412" s="197">
        <v>1</v>
      </c>
    </row>
    <row r="413" spans="1:17" x14ac:dyDescent="0.25">
      <c r="A413" s="254">
        <v>41166</v>
      </c>
      <c r="B413" s="254" t="s">
        <v>183</v>
      </c>
      <c r="C413" s="210">
        <v>10486296</v>
      </c>
      <c r="D413" s="115" t="s">
        <v>315</v>
      </c>
      <c r="E413" s="34">
        <f t="shared" si="30"/>
        <v>41166</v>
      </c>
      <c r="F413" s="108" t="str">
        <f t="shared" si="34"/>
        <v>2012-13</v>
      </c>
      <c r="H413" s="119"/>
      <c r="I413" s="26"/>
      <c r="J413" s="101">
        <f t="shared" si="31"/>
        <v>0.84443766578674484</v>
      </c>
      <c r="K413" s="37"/>
      <c r="L413" s="26">
        <v>2.2356039452499998</v>
      </c>
      <c r="M413" s="26" t="s">
        <v>204</v>
      </c>
      <c r="N413" s="26">
        <v>771.6404230243902</v>
      </c>
      <c r="O413" s="95">
        <f t="shared" si="32"/>
        <v>1725.0823740277056</v>
      </c>
      <c r="P413" s="97">
        <f t="shared" si="33"/>
        <v>1456.724533213812</v>
      </c>
      <c r="Q413" s="197">
        <v>1</v>
      </c>
    </row>
    <row r="414" spans="1:17" x14ac:dyDescent="0.25">
      <c r="A414" s="254">
        <v>41166</v>
      </c>
      <c r="B414" s="254" t="s">
        <v>183</v>
      </c>
      <c r="C414" s="210">
        <v>10286881</v>
      </c>
      <c r="D414" s="115" t="s">
        <v>315</v>
      </c>
      <c r="E414" s="34">
        <f t="shared" si="30"/>
        <v>41166</v>
      </c>
      <c r="F414" s="108" t="str">
        <f t="shared" si="34"/>
        <v>2012-13</v>
      </c>
      <c r="H414" s="119"/>
      <c r="I414" s="26"/>
      <c r="J414" s="101">
        <f t="shared" si="31"/>
        <v>0.84443766578674484</v>
      </c>
      <c r="K414" s="37"/>
      <c r="L414" s="26">
        <v>1.64976028562</v>
      </c>
      <c r="M414" s="26" t="s">
        <v>204</v>
      </c>
      <c r="N414" s="26">
        <v>771.6404230243902</v>
      </c>
      <c r="O414" s="95">
        <f t="shared" si="32"/>
        <v>1273.0217246846555</v>
      </c>
      <c r="P414" s="97">
        <f t="shared" si="33"/>
        <v>1074.9874936885267</v>
      </c>
      <c r="Q414" s="197">
        <v>1</v>
      </c>
    </row>
    <row r="415" spans="1:17" x14ac:dyDescent="0.25">
      <c r="A415" s="254">
        <v>41132</v>
      </c>
      <c r="B415" s="254" t="s">
        <v>183</v>
      </c>
      <c r="C415" s="210">
        <v>10451495</v>
      </c>
      <c r="D415" s="115" t="s">
        <v>315</v>
      </c>
      <c r="E415" s="34">
        <f t="shared" si="30"/>
        <v>41132</v>
      </c>
      <c r="F415" s="108" t="str">
        <f t="shared" si="34"/>
        <v>2012-13</v>
      </c>
      <c r="H415" s="119"/>
      <c r="I415" s="26"/>
      <c r="J415" s="101">
        <f t="shared" si="31"/>
        <v>0.84443766578674484</v>
      </c>
      <c r="K415" s="37"/>
      <c r="L415" s="26">
        <v>112.86955926500001</v>
      </c>
      <c r="M415" s="26" t="s">
        <v>204</v>
      </c>
      <c r="N415" s="26">
        <v>1003.0093919999996</v>
      </c>
      <c r="O415" s="95">
        <f t="shared" si="32"/>
        <v>113209.22801369558</v>
      </c>
      <c r="P415" s="97">
        <f t="shared" si="33"/>
        <v>95598.136249404459</v>
      </c>
      <c r="Q415" s="197">
        <v>1</v>
      </c>
    </row>
    <row r="416" spans="1:17" x14ac:dyDescent="0.25">
      <c r="A416" s="254">
        <v>41132</v>
      </c>
      <c r="B416" s="254" t="s">
        <v>183</v>
      </c>
      <c r="C416" s="210">
        <v>10451385</v>
      </c>
      <c r="D416" s="115" t="s">
        <v>315</v>
      </c>
      <c r="E416" s="34">
        <f t="shared" si="30"/>
        <v>41132</v>
      </c>
      <c r="F416" s="108" t="str">
        <f t="shared" si="34"/>
        <v>2012-13</v>
      </c>
      <c r="H416" s="119"/>
      <c r="I416" s="26"/>
      <c r="J416" s="101">
        <f t="shared" si="31"/>
        <v>0.84443766578674484</v>
      </c>
      <c r="K416" s="37"/>
      <c r="L416" s="26">
        <v>3.35363733349</v>
      </c>
      <c r="M416" s="26" t="s">
        <v>204</v>
      </c>
      <c r="N416" s="26">
        <v>696.6467060487804</v>
      </c>
      <c r="O416" s="95">
        <f t="shared" si="32"/>
        <v>2336.3004016580239</v>
      </c>
      <c r="P416" s="97">
        <f t="shared" si="33"/>
        <v>1972.8600577527361</v>
      </c>
      <c r="Q416" s="197">
        <v>1</v>
      </c>
    </row>
    <row r="417" spans="1:17" x14ac:dyDescent="0.25">
      <c r="A417" s="254">
        <v>41132</v>
      </c>
      <c r="B417" s="254" t="s">
        <v>183</v>
      </c>
      <c r="C417" s="210">
        <v>10451501</v>
      </c>
      <c r="D417" s="115" t="s">
        <v>315</v>
      </c>
      <c r="E417" s="34">
        <f t="shared" si="30"/>
        <v>41132</v>
      </c>
      <c r="F417" s="108" t="str">
        <f t="shared" si="34"/>
        <v>2012-13</v>
      </c>
      <c r="H417" s="119"/>
      <c r="I417" s="26"/>
      <c r="J417" s="101">
        <f t="shared" si="31"/>
        <v>0.84443766578674484</v>
      </c>
      <c r="K417" s="37"/>
      <c r="L417" s="26">
        <v>5.9346149583600001</v>
      </c>
      <c r="M417" s="26" t="s">
        <v>204</v>
      </c>
      <c r="N417" s="26">
        <v>696.6467060487804</v>
      </c>
      <c r="O417" s="95">
        <f t="shared" si="32"/>
        <v>4134.3299624093142</v>
      </c>
      <c r="P417" s="97">
        <f t="shared" si="33"/>
        <v>3491.1839430491218</v>
      </c>
      <c r="Q417" s="197">
        <v>1</v>
      </c>
    </row>
    <row r="418" spans="1:17" x14ac:dyDescent="0.25">
      <c r="A418" s="254">
        <v>41132</v>
      </c>
      <c r="B418" s="254" t="s">
        <v>183</v>
      </c>
      <c r="C418" s="210">
        <v>10451500</v>
      </c>
      <c r="D418" s="115" t="s">
        <v>315</v>
      </c>
      <c r="E418" s="34">
        <f t="shared" si="30"/>
        <v>41132</v>
      </c>
      <c r="F418" s="108" t="str">
        <f t="shared" si="34"/>
        <v>2012-13</v>
      </c>
      <c r="H418" s="119"/>
      <c r="I418" s="26"/>
      <c r="J418" s="101">
        <f t="shared" si="31"/>
        <v>0.84443766578674484</v>
      </c>
      <c r="K418" s="37"/>
      <c r="L418" s="26">
        <v>2.1414597824800001</v>
      </c>
      <c r="M418" s="26" t="s">
        <v>204</v>
      </c>
      <c r="N418" s="26">
        <v>1003.0093919999996</v>
      </c>
      <c r="O418" s="95">
        <f t="shared" si="32"/>
        <v>2147.9042744177164</v>
      </c>
      <c r="P418" s="97">
        <f t="shared" si="33"/>
        <v>1813.7712718226683</v>
      </c>
      <c r="Q418" s="197">
        <v>1</v>
      </c>
    </row>
    <row r="419" spans="1:17" x14ac:dyDescent="0.25">
      <c r="A419" s="254">
        <v>41132</v>
      </c>
      <c r="B419" s="254" t="s">
        <v>183</v>
      </c>
      <c r="C419" s="210">
        <v>10451434</v>
      </c>
      <c r="D419" s="115" t="s">
        <v>315</v>
      </c>
      <c r="E419" s="34">
        <f t="shared" si="30"/>
        <v>41132</v>
      </c>
      <c r="F419" s="108" t="str">
        <f t="shared" si="34"/>
        <v>2012-13</v>
      </c>
      <c r="H419" s="119"/>
      <c r="I419" s="26"/>
      <c r="J419" s="101">
        <f t="shared" si="31"/>
        <v>0.84443766578674484</v>
      </c>
      <c r="K419" s="37"/>
      <c r="L419" s="26">
        <v>5.17188654018</v>
      </c>
      <c r="M419" s="26" t="s">
        <v>204</v>
      </c>
      <c r="N419" s="26">
        <v>696.6467060487804</v>
      </c>
      <c r="O419" s="95">
        <f t="shared" si="32"/>
        <v>3602.9777222744206</v>
      </c>
      <c r="P419" s="97">
        <f t="shared" si="33"/>
        <v>3042.4900976790545</v>
      </c>
      <c r="Q419" s="197">
        <v>1</v>
      </c>
    </row>
    <row r="420" spans="1:17" x14ac:dyDescent="0.25">
      <c r="A420" s="254">
        <v>40607</v>
      </c>
      <c r="B420" s="254" t="s">
        <v>183</v>
      </c>
      <c r="C420" s="210">
        <v>10293148</v>
      </c>
      <c r="D420" s="115" t="s">
        <v>294</v>
      </c>
      <c r="E420" s="34">
        <f t="shared" si="30"/>
        <v>40607</v>
      </c>
      <c r="F420" s="108" t="str">
        <f t="shared" si="34"/>
        <v>2010-11</v>
      </c>
      <c r="H420" s="119"/>
      <c r="I420" s="26"/>
      <c r="J420" s="101">
        <f t="shared" si="31"/>
        <v>0.84443766578674484</v>
      </c>
      <c r="K420" s="37"/>
      <c r="L420" s="26">
        <v>131.89021197299999</v>
      </c>
      <c r="M420" s="26" t="s">
        <v>204</v>
      </c>
      <c r="N420" s="26">
        <v>771.6404230243902</v>
      </c>
      <c r="O420" s="95">
        <f t="shared" si="32"/>
        <v>101771.81895962221</v>
      </c>
      <c r="P420" s="97">
        <f t="shared" si="33"/>
        <v>85939.957245134559</v>
      </c>
      <c r="Q420" s="197">
        <v>1</v>
      </c>
    </row>
    <row r="421" spans="1:17" x14ac:dyDescent="0.25">
      <c r="A421" s="254">
        <v>40607</v>
      </c>
      <c r="B421" s="254" t="s">
        <v>183</v>
      </c>
      <c r="C421" s="210">
        <v>10293125</v>
      </c>
      <c r="D421" s="115" t="s">
        <v>294</v>
      </c>
      <c r="E421" s="34">
        <f t="shared" si="30"/>
        <v>40607</v>
      </c>
      <c r="F421" s="108" t="str">
        <f t="shared" si="34"/>
        <v>2010-11</v>
      </c>
      <c r="H421" s="119"/>
      <c r="I421" s="26"/>
      <c r="J421" s="101">
        <f t="shared" si="31"/>
        <v>0.84443766578674484</v>
      </c>
      <c r="K421" s="37"/>
      <c r="L421" s="26">
        <v>2.8559728640199999</v>
      </c>
      <c r="M421" s="26" t="s">
        <v>204</v>
      </c>
      <c r="N421" s="26">
        <v>696.6467060487804</v>
      </c>
      <c r="O421" s="95">
        <f t="shared" si="32"/>
        <v>1989.6040882842344</v>
      </c>
      <c r="P421" s="97">
        <f t="shared" si="33"/>
        <v>1680.0966321505034</v>
      </c>
      <c r="Q421" s="197">
        <v>1</v>
      </c>
    </row>
    <row r="422" spans="1:17" x14ac:dyDescent="0.25">
      <c r="A422" s="254">
        <v>40607</v>
      </c>
      <c r="B422" s="254" t="s">
        <v>183</v>
      </c>
      <c r="C422" s="210">
        <v>9370964</v>
      </c>
      <c r="D422" s="115" t="s">
        <v>294</v>
      </c>
      <c r="E422" s="34">
        <f t="shared" si="30"/>
        <v>40607</v>
      </c>
      <c r="F422" s="108" t="str">
        <f t="shared" si="34"/>
        <v>2010-11</v>
      </c>
      <c r="H422" s="119"/>
      <c r="I422" s="26"/>
      <c r="J422" s="101">
        <f t="shared" si="31"/>
        <v>0.84443766578674484</v>
      </c>
      <c r="K422" s="37"/>
      <c r="L422" s="26">
        <v>15.8466903573</v>
      </c>
      <c r="M422" s="26" t="s">
        <v>204</v>
      </c>
      <c r="N422" s="26">
        <v>1128.7084557073169</v>
      </c>
      <c r="O422" s="95">
        <f t="shared" si="32"/>
        <v>17886.293401260114</v>
      </c>
      <c r="P422" s="97">
        <f t="shared" si="33"/>
        <v>15103.859849336948</v>
      </c>
      <c r="Q422" s="197">
        <v>1</v>
      </c>
    </row>
    <row r="423" spans="1:17" x14ac:dyDescent="0.25">
      <c r="A423" s="254">
        <v>40607</v>
      </c>
      <c r="B423" s="254" t="s">
        <v>183</v>
      </c>
      <c r="C423" s="210">
        <v>10293126</v>
      </c>
      <c r="D423" s="115" t="s">
        <v>294</v>
      </c>
      <c r="E423" s="34">
        <f t="shared" si="30"/>
        <v>40607</v>
      </c>
      <c r="F423" s="108" t="str">
        <f t="shared" si="34"/>
        <v>2010-11</v>
      </c>
      <c r="H423" s="119"/>
      <c r="I423" s="26"/>
      <c r="J423" s="101">
        <f t="shared" si="31"/>
        <v>0.84443766578674484</v>
      </c>
      <c r="K423" s="37"/>
      <c r="L423" s="26">
        <v>0.99910860270500002</v>
      </c>
      <c r="M423" s="26" t="s">
        <v>204</v>
      </c>
      <c r="N423" s="26">
        <v>1003.0093919999996</v>
      </c>
      <c r="O423" s="95">
        <f t="shared" si="32"/>
        <v>1002.1153121411112</v>
      </c>
      <c r="P423" s="97">
        <f t="shared" si="33"/>
        <v>846.22391503359518</v>
      </c>
      <c r="Q423" s="197">
        <v>1</v>
      </c>
    </row>
    <row r="424" spans="1:17" x14ac:dyDescent="0.25">
      <c r="A424" s="254">
        <v>40607</v>
      </c>
      <c r="B424" s="254" t="s">
        <v>183</v>
      </c>
      <c r="C424" s="210">
        <v>10293139</v>
      </c>
      <c r="D424" s="115" t="s">
        <v>294</v>
      </c>
      <c r="E424" s="34">
        <f t="shared" si="30"/>
        <v>40607</v>
      </c>
      <c r="F424" s="108" t="str">
        <f t="shared" si="34"/>
        <v>2010-11</v>
      </c>
      <c r="H424" s="119"/>
      <c r="I424" s="26"/>
      <c r="J424" s="101">
        <f t="shared" si="31"/>
        <v>0.84443766578674484</v>
      </c>
      <c r="K424" s="37"/>
      <c r="L424" s="26">
        <v>14.693160739</v>
      </c>
      <c r="M424" s="26" t="s">
        <v>204</v>
      </c>
      <c r="N424" s="26">
        <v>771.6404230243902</v>
      </c>
      <c r="O424" s="95">
        <f t="shared" si="32"/>
        <v>11337.836768207322</v>
      </c>
      <c r="P424" s="97">
        <f t="shared" si="33"/>
        <v>9574.0964156161226</v>
      </c>
      <c r="Q424" s="197">
        <v>1</v>
      </c>
    </row>
    <row r="425" spans="1:17" x14ac:dyDescent="0.25">
      <c r="A425" s="254">
        <v>40607</v>
      </c>
      <c r="B425" s="254" t="s">
        <v>183</v>
      </c>
      <c r="C425" s="210">
        <v>10293135</v>
      </c>
      <c r="D425" s="115" t="s">
        <v>294</v>
      </c>
      <c r="E425" s="34">
        <f t="shared" si="30"/>
        <v>40607</v>
      </c>
      <c r="F425" s="108" t="str">
        <f t="shared" si="34"/>
        <v>2010-11</v>
      </c>
      <c r="H425" s="119"/>
      <c r="I425" s="26"/>
      <c r="J425" s="101">
        <f t="shared" si="31"/>
        <v>0.84443766578674484</v>
      </c>
      <c r="K425" s="37"/>
      <c r="L425" s="26">
        <v>3.3978162752799999</v>
      </c>
      <c r="M425" s="26" t="s">
        <v>204</v>
      </c>
      <c r="N425" s="26">
        <v>771.6404230243902</v>
      </c>
      <c r="O425" s="95">
        <f t="shared" si="32"/>
        <v>2621.892388016217</v>
      </c>
      <c r="P425" s="97">
        <f t="shared" si="33"/>
        <v>2214.0246880804484</v>
      </c>
      <c r="Q425" s="197">
        <v>1</v>
      </c>
    </row>
    <row r="426" spans="1:17" x14ac:dyDescent="0.25">
      <c r="A426" s="254">
        <v>40607</v>
      </c>
      <c r="B426" s="254" t="s">
        <v>183</v>
      </c>
      <c r="C426" s="210">
        <v>10293145</v>
      </c>
      <c r="D426" s="115" t="s">
        <v>294</v>
      </c>
      <c r="E426" s="34">
        <f t="shared" si="30"/>
        <v>40607</v>
      </c>
      <c r="F426" s="108" t="str">
        <f t="shared" si="34"/>
        <v>2010-11</v>
      </c>
      <c r="H426" s="119"/>
      <c r="I426" s="26"/>
      <c r="J426" s="101">
        <f t="shared" si="31"/>
        <v>0.84443766578674484</v>
      </c>
      <c r="K426" s="37"/>
      <c r="L426" s="26">
        <v>1.49961628425</v>
      </c>
      <c r="M426" s="26" t="s">
        <v>204</v>
      </c>
      <c r="N426" s="26">
        <v>771.6404230243902</v>
      </c>
      <c r="O426" s="95">
        <f t="shared" si="32"/>
        <v>1157.1645439529343</v>
      </c>
      <c r="P426" s="97">
        <f t="shared" si="33"/>
        <v>977.15332642679891</v>
      </c>
      <c r="Q426" s="197">
        <v>1</v>
      </c>
    </row>
    <row r="427" spans="1:17" x14ac:dyDescent="0.25">
      <c r="A427" s="254">
        <v>40607</v>
      </c>
      <c r="B427" s="254" t="s">
        <v>183</v>
      </c>
      <c r="C427" s="210">
        <v>10293291</v>
      </c>
      <c r="D427" s="115" t="s">
        <v>294</v>
      </c>
      <c r="E427" s="34">
        <f t="shared" si="30"/>
        <v>40607</v>
      </c>
      <c r="F427" s="108" t="str">
        <f t="shared" si="34"/>
        <v>2010-11</v>
      </c>
      <c r="H427" s="119"/>
      <c r="I427" s="26"/>
      <c r="J427" s="101">
        <f t="shared" si="31"/>
        <v>0.84443766578674484</v>
      </c>
      <c r="K427" s="37"/>
      <c r="L427" s="26">
        <v>298.54202286200001</v>
      </c>
      <c r="M427" s="26" t="s">
        <v>204</v>
      </c>
      <c r="N427" s="26">
        <v>771.6404230243902</v>
      </c>
      <c r="O427" s="95">
        <f t="shared" si="32"/>
        <v>230367.09281179085</v>
      </c>
      <c r="P427" s="97">
        <f t="shared" si="33"/>
        <v>194530.65012806706</v>
      </c>
      <c r="Q427" s="197">
        <v>1</v>
      </c>
    </row>
    <row r="428" spans="1:17" x14ac:dyDescent="0.25">
      <c r="A428" s="254">
        <v>40607</v>
      </c>
      <c r="B428" s="254" t="s">
        <v>183</v>
      </c>
      <c r="C428" s="210">
        <v>10293152</v>
      </c>
      <c r="D428" s="115" t="s">
        <v>294</v>
      </c>
      <c r="E428" s="34">
        <f t="shared" si="30"/>
        <v>40607</v>
      </c>
      <c r="F428" s="108" t="str">
        <f t="shared" si="34"/>
        <v>2010-11</v>
      </c>
      <c r="H428" s="119"/>
      <c r="I428" s="26"/>
      <c r="J428" s="101">
        <f t="shared" si="31"/>
        <v>0.84443766578674484</v>
      </c>
      <c r="K428" s="37"/>
      <c r="L428" s="26">
        <v>105.038140228</v>
      </c>
      <c r="M428" s="26" t="s">
        <v>204</v>
      </c>
      <c r="N428" s="26">
        <v>771.6404230243902</v>
      </c>
      <c r="O428" s="95">
        <f t="shared" si="32"/>
        <v>81051.674959229145</v>
      </c>
      <c r="P428" s="97">
        <f t="shared" si="33"/>
        <v>68443.087210677419</v>
      </c>
      <c r="Q428" s="197">
        <v>1</v>
      </c>
    </row>
    <row r="429" spans="1:17" x14ac:dyDescent="0.25">
      <c r="A429" s="254">
        <v>40607</v>
      </c>
      <c r="B429" s="254" t="s">
        <v>183</v>
      </c>
      <c r="C429" s="210">
        <v>10293282</v>
      </c>
      <c r="D429" s="115" t="s">
        <v>294</v>
      </c>
      <c r="E429" s="34">
        <f t="shared" si="30"/>
        <v>40607</v>
      </c>
      <c r="F429" s="108" t="str">
        <f t="shared" si="34"/>
        <v>2010-11</v>
      </c>
      <c r="H429" s="119"/>
      <c r="I429" s="26"/>
      <c r="J429" s="101">
        <f t="shared" si="31"/>
        <v>0.84443766578674484</v>
      </c>
      <c r="K429" s="37"/>
      <c r="L429" s="26">
        <v>6.1083919703599996</v>
      </c>
      <c r="M429" s="26" t="s">
        <v>204</v>
      </c>
      <c r="N429" s="26">
        <v>771.6404230243902</v>
      </c>
      <c r="O429" s="95">
        <f t="shared" si="32"/>
        <v>4713.4821640073787</v>
      </c>
      <c r="P429" s="97">
        <f t="shared" si="33"/>
        <v>3980.2418763018459</v>
      </c>
      <c r="Q429" s="197">
        <v>1</v>
      </c>
    </row>
    <row r="430" spans="1:17" x14ac:dyDescent="0.25">
      <c r="A430" s="254">
        <v>40607</v>
      </c>
      <c r="B430" s="254" t="s">
        <v>183</v>
      </c>
      <c r="C430" s="210">
        <v>10293156</v>
      </c>
      <c r="D430" s="115" t="s">
        <v>294</v>
      </c>
      <c r="E430" s="34">
        <f t="shared" si="30"/>
        <v>40607</v>
      </c>
      <c r="F430" s="108" t="str">
        <f t="shared" si="34"/>
        <v>2010-11</v>
      </c>
      <c r="H430" s="119"/>
      <c r="I430" s="26"/>
      <c r="J430" s="101">
        <f t="shared" si="31"/>
        <v>0.84443766578674484</v>
      </c>
      <c r="K430" s="37"/>
      <c r="L430" s="26">
        <v>2.4182162847900002</v>
      </c>
      <c r="M430" s="26" t="s">
        <v>204</v>
      </c>
      <c r="N430" s="26">
        <v>696.6467060487804</v>
      </c>
      <c r="O430" s="95">
        <f t="shared" si="32"/>
        <v>1684.6424093124731</v>
      </c>
      <c r="P430" s="97">
        <f t="shared" si="33"/>
        <v>1422.5755038051827</v>
      </c>
      <c r="Q430" s="197">
        <v>1</v>
      </c>
    </row>
    <row r="431" spans="1:17" x14ac:dyDescent="0.25">
      <c r="A431" s="254">
        <v>40607</v>
      </c>
      <c r="B431" s="254" t="s">
        <v>183</v>
      </c>
      <c r="C431" s="210">
        <v>10293284</v>
      </c>
      <c r="D431" s="115" t="s">
        <v>294</v>
      </c>
      <c r="E431" s="34">
        <f t="shared" si="30"/>
        <v>40607</v>
      </c>
      <c r="F431" s="108" t="str">
        <f t="shared" si="34"/>
        <v>2010-11</v>
      </c>
      <c r="H431" s="119"/>
      <c r="I431" s="26"/>
      <c r="J431" s="101">
        <f t="shared" si="31"/>
        <v>0.84443766578674484</v>
      </c>
      <c r="K431" s="37"/>
      <c r="L431" s="26">
        <v>5.5020210566700003</v>
      </c>
      <c r="M431" s="26" t="s">
        <v>204</v>
      </c>
      <c r="N431" s="26">
        <v>696.6467060487804</v>
      </c>
      <c r="O431" s="95">
        <f t="shared" si="32"/>
        <v>3832.9648457401859</v>
      </c>
      <c r="P431" s="97">
        <f t="shared" si="33"/>
        <v>3236.6998873794932</v>
      </c>
      <c r="Q431" s="197">
        <v>1</v>
      </c>
    </row>
    <row r="432" spans="1:17" x14ac:dyDescent="0.25">
      <c r="A432" s="254">
        <v>40607</v>
      </c>
      <c r="B432" s="254" t="s">
        <v>183</v>
      </c>
      <c r="C432" s="210">
        <v>10293131</v>
      </c>
      <c r="D432" s="115" t="s">
        <v>294</v>
      </c>
      <c r="E432" s="34">
        <f t="shared" si="30"/>
        <v>40607</v>
      </c>
      <c r="F432" s="108" t="str">
        <f t="shared" si="34"/>
        <v>2010-11</v>
      </c>
      <c r="H432" s="119"/>
      <c r="I432" s="26"/>
      <c r="J432" s="101">
        <f t="shared" si="31"/>
        <v>0.84443766578674484</v>
      </c>
      <c r="K432" s="37"/>
      <c r="L432" s="26">
        <v>6.7548705868500001</v>
      </c>
      <c r="M432" s="26" t="s">
        <v>204</v>
      </c>
      <c r="N432" s="26">
        <v>771.6404230243902</v>
      </c>
      <c r="O432" s="95">
        <f t="shared" si="32"/>
        <v>5212.3311971119447</v>
      </c>
      <c r="P432" s="97">
        <f t="shared" si="33"/>
        <v>4401.4887893966397</v>
      </c>
      <c r="Q432" s="197">
        <v>1</v>
      </c>
    </row>
    <row r="433" spans="1:17" x14ac:dyDescent="0.25">
      <c r="A433" s="254">
        <v>40607</v>
      </c>
      <c r="B433" s="254" t="s">
        <v>183</v>
      </c>
      <c r="C433" s="210">
        <v>10293464</v>
      </c>
      <c r="D433" s="115" t="s">
        <v>294</v>
      </c>
      <c r="E433" s="34">
        <f t="shared" si="30"/>
        <v>40607</v>
      </c>
      <c r="F433" s="108" t="str">
        <f t="shared" si="34"/>
        <v>2010-11</v>
      </c>
      <c r="H433" s="119"/>
      <c r="I433" s="26"/>
      <c r="J433" s="101">
        <f t="shared" si="31"/>
        <v>0.84443766578674484</v>
      </c>
      <c r="K433" s="37"/>
      <c r="L433" s="26">
        <v>122.833078978</v>
      </c>
      <c r="M433" s="26" t="s">
        <v>204</v>
      </c>
      <c r="N433" s="26">
        <v>771.6404230243902</v>
      </c>
      <c r="O433" s="95">
        <f t="shared" si="32"/>
        <v>94782.969023972255</v>
      </c>
      <c r="P433" s="97">
        <f t="shared" si="33"/>
        <v>80038.309118940466</v>
      </c>
      <c r="Q433" s="197">
        <v>1</v>
      </c>
    </row>
    <row r="434" spans="1:17" x14ac:dyDescent="0.25">
      <c r="A434" s="254">
        <v>40607</v>
      </c>
      <c r="B434" s="254" t="s">
        <v>183</v>
      </c>
      <c r="C434" s="210">
        <v>10293431</v>
      </c>
      <c r="D434" s="115" t="s">
        <v>294</v>
      </c>
      <c r="E434" s="34">
        <f t="shared" si="30"/>
        <v>40607</v>
      </c>
      <c r="F434" s="108" t="str">
        <f t="shared" si="34"/>
        <v>2010-11</v>
      </c>
      <c r="H434" s="119"/>
      <c r="I434" s="26"/>
      <c r="J434" s="101">
        <f t="shared" si="31"/>
        <v>0.84443766578674484</v>
      </c>
      <c r="K434" s="37"/>
      <c r="L434" s="26">
        <v>5.8594406193799999</v>
      </c>
      <c r="M434" s="26" t="s">
        <v>204</v>
      </c>
      <c r="N434" s="26">
        <v>696.6467060487804</v>
      </c>
      <c r="O434" s="95">
        <f t="shared" si="32"/>
        <v>4081.9600067795027</v>
      </c>
      <c r="P434" s="97">
        <f t="shared" si="33"/>
        <v>3446.9607799597284</v>
      </c>
      <c r="Q434" s="197">
        <v>1</v>
      </c>
    </row>
    <row r="435" spans="1:17" x14ac:dyDescent="0.25">
      <c r="A435" s="254">
        <v>40607</v>
      </c>
      <c r="B435" s="254" t="s">
        <v>183</v>
      </c>
      <c r="C435" s="210">
        <v>10293294</v>
      </c>
      <c r="D435" s="115" t="s">
        <v>294</v>
      </c>
      <c r="E435" s="34">
        <f t="shared" si="30"/>
        <v>40607</v>
      </c>
      <c r="F435" s="108" t="str">
        <f t="shared" si="34"/>
        <v>2010-11</v>
      </c>
      <c r="H435" s="119"/>
      <c r="I435" s="26"/>
      <c r="J435" s="101">
        <f t="shared" si="31"/>
        <v>0.84443766578674484</v>
      </c>
      <c r="K435" s="37"/>
      <c r="L435" s="26">
        <v>7.4160470511199996</v>
      </c>
      <c r="M435" s="26" t="s">
        <v>204</v>
      </c>
      <c r="N435" s="26">
        <v>771.6404230243902</v>
      </c>
      <c r="O435" s="95">
        <f t="shared" si="32"/>
        <v>5722.5216836950176</v>
      </c>
      <c r="P435" s="97">
        <f t="shared" si="33"/>
        <v>4832.3128529934538</v>
      </c>
      <c r="Q435" s="197">
        <v>1</v>
      </c>
    </row>
    <row r="436" spans="1:17" x14ac:dyDescent="0.25">
      <c r="A436" s="254">
        <v>40607</v>
      </c>
      <c r="B436" s="254" t="s">
        <v>183</v>
      </c>
      <c r="C436" s="210">
        <v>10293296</v>
      </c>
      <c r="D436" s="115" t="s">
        <v>294</v>
      </c>
      <c r="E436" s="34">
        <f t="shared" si="30"/>
        <v>40607</v>
      </c>
      <c r="F436" s="108" t="str">
        <f t="shared" si="34"/>
        <v>2010-11</v>
      </c>
      <c r="H436" s="119"/>
      <c r="I436" s="26"/>
      <c r="J436" s="101">
        <f t="shared" si="31"/>
        <v>0.84443766578674484</v>
      </c>
      <c r="K436" s="37"/>
      <c r="L436" s="26">
        <v>4.9976440392799999</v>
      </c>
      <c r="M436" s="26" t="s">
        <v>204</v>
      </c>
      <c r="N436" s="26">
        <v>771.6404230243902</v>
      </c>
      <c r="O436" s="95">
        <f t="shared" si="32"/>
        <v>3856.3841605953412</v>
      </c>
      <c r="P436" s="97">
        <f t="shared" si="33"/>
        <v>3256.4760389501052</v>
      </c>
      <c r="Q436" s="197">
        <v>1</v>
      </c>
    </row>
    <row r="437" spans="1:17" x14ac:dyDescent="0.25">
      <c r="A437" s="254">
        <v>40607</v>
      </c>
      <c r="B437" s="254" t="s">
        <v>183</v>
      </c>
      <c r="C437" s="210">
        <v>9370965</v>
      </c>
      <c r="D437" s="115" t="s">
        <v>294</v>
      </c>
      <c r="E437" s="34">
        <f t="shared" si="30"/>
        <v>40607</v>
      </c>
      <c r="F437" s="108" t="str">
        <f t="shared" si="34"/>
        <v>2010-11</v>
      </c>
      <c r="H437" s="119"/>
      <c r="I437" s="26"/>
      <c r="J437" s="101">
        <f t="shared" si="31"/>
        <v>0.84443766578674484</v>
      </c>
      <c r="K437" s="37"/>
      <c r="L437" s="26">
        <v>4.5513183296899999</v>
      </c>
      <c r="M437" s="26" t="s">
        <v>204</v>
      </c>
      <c r="N437" s="26">
        <v>696.6467060487804</v>
      </c>
      <c r="O437" s="95">
        <f t="shared" si="32"/>
        <v>3170.6609225579755</v>
      </c>
      <c r="P437" s="97">
        <f t="shared" si="33"/>
        <v>2677.4255084461038</v>
      </c>
      <c r="Q437" s="197">
        <v>1</v>
      </c>
    </row>
    <row r="438" spans="1:17" x14ac:dyDescent="0.25">
      <c r="A438" s="254">
        <v>40607</v>
      </c>
      <c r="B438" s="254" t="s">
        <v>183</v>
      </c>
      <c r="C438" s="210">
        <v>10293297</v>
      </c>
      <c r="D438" s="115" t="s">
        <v>294</v>
      </c>
      <c r="E438" s="34">
        <f t="shared" si="30"/>
        <v>40607</v>
      </c>
      <c r="F438" s="108" t="str">
        <f t="shared" si="34"/>
        <v>2010-11</v>
      </c>
      <c r="H438" s="119"/>
      <c r="I438" s="26"/>
      <c r="J438" s="101">
        <f t="shared" si="31"/>
        <v>0.84443766578674484</v>
      </c>
      <c r="K438" s="37"/>
      <c r="L438" s="26">
        <v>3.1466847661999999</v>
      </c>
      <c r="M438" s="26" t="s">
        <v>204</v>
      </c>
      <c r="N438" s="26">
        <v>771.6404230243902</v>
      </c>
      <c r="O438" s="95">
        <f t="shared" si="32"/>
        <v>2428.1091641149724</v>
      </c>
      <c r="P438" s="97">
        <f t="shared" si="33"/>
        <v>2050.3868348206515</v>
      </c>
      <c r="Q438" s="197">
        <v>1</v>
      </c>
    </row>
    <row r="439" spans="1:17" x14ac:dyDescent="0.25">
      <c r="A439" s="254">
        <v>40607</v>
      </c>
      <c r="B439" s="254" t="s">
        <v>183</v>
      </c>
      <c r="C439" s="210">
        <v>10293439</v>
      </c>
      <c r="D439" s="115" t="s">
        <v>294</v>
      </c>
      <c r="E439" s="34">
        <f t="shared" si="30"/>
        <v>40607</v>
      </c>
      <c r="F439" s="108" t="str">
        <f t="shared" si="34"/>
        <v>2010-11</v>
      </c>
      <c r="H439" s="119"/>
      <c r="I439" s="26"/>
      <c r="J439" s="101">
        <f t="shared" si="31"/>
        <v>0.84443766578674484</v>
      </c>
      <c r="K439" s="37"/>
      <c r="L439" s="26">
        <v>64.924144901700004</v>
      </c>
      <c r="M439" s="26" t="s">
        <v>204</v>
      </c>
      <c r="N439" s="26">
        <v>771.6404230243902</v>
      </c>
      <c r="O439" s="95">
        <f t="shared" si="32"/>
        <v>50098.094636444599</v>
      </c>
      <c r="P439" s="97">
        <f t="shared" si="33"/>
        <v>42304.718095162716</v>
      </c>
      <c r="Q439" s="197">
        <v>1</v>
      </c>
    </row>
    <row r="440" spans="1:17" x14ac:dyDescent="0.25">
      <c r="A440" s="254">
        <v>40607</v>
      </c>
      <c r="B440" s="254" t="s">
        <v>183</v>
      </c>
      <c r="C440" s="210">
        <v>10293435</v>
      </c>
      <c r="D440" s="115" t="s">
        <v>294</v>
      </c>
      <c r="E440" s="34">
        <f t="shared" si="30"/>
        <v>40607</v>
      </c>
      <c r="F440" s="108" t="str">
        <f t="shared" si="34"/>
        <v>2010-11</v>
      </c>
      <c r="H440" s="119"/>
      <c r="I440" s="26"/>
      <c r="J440" s="101">
        <f t="shared" si="31"/>
        <v>0.84443766578674484</v>
      </c>
      <c r="K440" s="37"/>
      <c r="L440" s="26">
        <v>13.992293307400001</v>
      </c>
      <c r="M440" s="26" t="s">
        <v>204</v>
      </c>
      <c r="N440" s="26">
        <v>1128.7084557073169</v>
      </c>
      <c r="O440" s="95">
        <f t="shared" si="32"/>
        <v>15793.219770799282</v>
      </c>
      <c r="P440" s="97">
        <f t="shared" si="33"/>
        <v>13336.389638510815</v>
      </c>
      <c r="Q440" s="197">
        <v>1</v>
      </c>
    </row>
    <row r="441" spans="1:17" x14ac:dyDescent="0.25">
      <c r="A441" s="254">
        <v>40607</v>
      </c>
      <c r="B441" s="254" t="s">
        <v>183</v>
      </c>
      <c r="C441" s="210">
        <v>10293420</v>
      </c>
      <c r="D441" s="115" t="s">
        <v>294</v>
      </c>
      <c r="E441" s="34">
        <f t="shared" si="30"/>
        <v>40607</v>
      </c>
      <c r="F441" s="108" t="str">
        <f t="shared" si="34"/>
        <v>2010-11</v>
      </c>
      <c r="H441" s="119"/>
      <c r="I441" s="26"/>
      <c r="J441" s="101">
        <f t="shared" si="31"/>
        <v>0.84443766578674484</v>
      </c>
      <c r="K441" s="37"/>
      <c r="L441" s="26">
        <v>8.4119673435299998</v>
      </c>
      <c r="M441" s="26" t="s">
        <v>204</v>
      </c>
      <c r="N441" s="26">
        <v>771.6404230243902</v>
      </c>
      <c r="O441" s="95">
        <f t="shared" si="32"/>
        <v>6491.0140394288446</v>
      </c>
      <c r="P441" s="97">
        <f t="shared" si="33"/>
        <v>5481.2567440442836</v>
      </c>
      <c r="Q441" s="197">
        <v>1</v>
      </c>
    </row>
    <row r="442" spans="1:17" x14ac:dyDescent="0.25">
      <c r="A442" s="254">
        <v>40607</v>
      </c>
      <c r="B442" s="254" t="s">
        <v>183</v>
      </c>
      <c r="C442" s="210">
        <v>10293436</v>
      </c>
      <c r="D442" s="115" t="s">
        <v>294</v>
      </c>
      <c r="E442" s="34">
        <f t="shared" si="30"/>
        <v>40607</v>
      </c>
      <c r="F442" s="108" t="str">
        <f t="shared" si="34"/>
        <v>2010-11</v>
      </c>
      <c r="H442" s="119"/>
      <c r="I442" s="26"/>
      <c r="J442" s="101">
        <f t="shared" si="31"/>
        <v>0.84443766578674484</v>
      </c>
      <c r="K442" s="37"/>
      <c r="L442" s="26">
        <v>1.1734805938299999</v>
      </c>
      <c r="M442" s="26" t="s">
        <v>204</v>
      </c>
      <c r="N442" s="26">
        <v>1128.7084557073169</v>
      </c>
      <c r="O442" s="95">
        <f t="shared" si="32"/>
        <v>1324.5174688643644</v>
      </c>
      <c r="P442" s="97">
        <f t="shared" si="33"/>
        <v>1118.4724397015914</v>
      </c>
      <c r="Q442" s="197">
        <v>1</v>
      </c>
    </row>
    <row r="443" spans="1:17" x14ac:dyDescent="0.25">
      <c r="A443" s="254">
        <v>40607</v>
      </c>
      <c r="B443" s="254" t="s">
        <v>183</v>
      </c>
      <c r="C443" s="210">
        <v>10293434</v>
      </c>
      <c r="D443" s="115" t="s">
        <v>294</v>
      </c>
      <c r="E443" s="34">
        <f t="shared" si="30"/>
        <v>40607</v>
      </c>
      <c r="F443" s="108" t="str">
        <f t="shared" si="34"/>
        <v>2010-11</v>
      </c>
      <c r="H443" s="119"/>
      <c r="I443" s="26"/>
      <c r="J443" s="101">
        <f t="shared" si="31"/>
        <v>0.84443766578674484</v>
      </c>
      <c r="K443" s="37"/>
      <c r="L443" s="26">
        <v>3.6057761622800002</v>
      </c>
      <c r="M443" s="26" t="s">
        <v>204</v>
      </c>
      <c r="N443" s="26">
        <v>1128.7084557073169</v>
      </c>
      <c r="O443" s="95">
        <f t="shared" si="32"/>
        <v>4069.8700437533148</v>
      </c>
      <c r="P443" s="97">
        <f t="shared" si="33"/>
        <v>3436.7515598024461</v>
      </c>
      <c r="Q443" s="197">
        <v>1</v>
      </c>
    </row>
    <row r="444" spans="1:17" x14ac:dyDescent="0.25">
      <c r="A444" s="254">
        <v>40607</v>
      </c>
      <c r="B444" s="254" t="s">
        <v>183</v>
      </c>
      <c r="C444" s="210">
        <v>10293493</v>
      </c>
      <c r="D444" s="115" t="s">
        <v>294</v>
      </c>
      <c r="E444" s="34">
        <f t="shared" si="30"/>
        <v>40607</v>
      </c>
      <c r="F444" s="108" t="str">
        <f t="shared" si="34"/>
        <v>2010-11</v>
      </c>
      <c r="H444" s="119"/>
      <c r="I444" s="26"/>
      <c r="J444" s="101">
        <f t="shared" si="31"/>
        <v>0.84443766578674484</v>
      </c>
      <c r="K444" s="37"/>
      <c r="L444" s="26">
        <v>26.501402671000001</v>
      </c>
      <c r="M444" s="26" t="s">
        <v>204</v>
      </c>
      <c r="N444" s="26">
        <v>771.6404230243902</v>
      </c>
      <c r="O444" s="95">
        <f t="shared" si="32"/>
        <v>20449.553567790146</v>
      </c>
      <c r="P444" s="97">
        <f t="shared" si="33"/>
        <v>17268.37328116571</v>
      </c>
      <c r="Q444" s="197">
        <v>1</v>
      </c>
    </row>
    <row r="445" spans="1:17" x14ac:dyDescent="0.25">
      <c r="A445" s="254">
        <v>40607</v>
      </c>
      <c r="B445" s="254" t="s">
        <v>183</v>
      </c>
      <c r="C445" s="210">
        <v>10293498</v>
      </c>
      <c r="D445" s="115" t="s">
        <v>294</v>
      </c>
      <c r="E445" s="34">
        <f t="shared" si="30"/>
        <v>40607</v>
      </c>
      <c r="F445" s="108" t="str">
        <f t="shared" si="34"/>
        <v>2010-11</v>
      </c>
      <c r="H445" s="119"/>
      <c r="I445" s="26"/>
      <c r="J445" s="101">
        <f t="shared" si="31"/>
        <v>0.84443766578674484</v>
      </c>
      <c r="K445" s="37"/>
      <c r="L445" s="26">
        <v>17.619211663200002</v>
      </c>
      <c r="M445" s="26" t="s">
        <v>204</v>
      </c>
      <c r="N445" s="26">
        <v>771.6404230243902</v>
      </c>
      <c r="O445" s="95">
        <f t="shared" si="32"/>
        <v>13595.695941147918</v>
      </c>
      <c r="P445" s="97">
        <f t="shared" si="33"/>
        <v>11480.717745289268</v>
      </c>
      <c r="Q445" s="197">
        <v>1</v>
      </c>
    </row>
    <row r="446" spans="1:17" x14ac:dyDescent="0.25">
      <c r="A446" s="254">
        <v>40607</v>
      </c>
      <c r="B446" s="254" t="s">
        <v>183</v>
      </c>
      <c r="C446" s="210">
        <v>9370963</v>
      </c>
      <c r="D446" s="115" t="s">
        <v>294</v>
      </c>
      <c r="E446" s="34">
        <f t="shared" si="30"/>
        <v>40607</v>
      </c>
      <c r="F446" s="108" t="str">
        <f t="shared" si="34"/>
        <v>2010-11</v>
      </c>
      <c r="H446" s="119"/>
      <c r="I446" s="26"/>
      <c r="J446" s="101">
        <f t="shared" si="31"/>
        <v>0.84443766578674484</v>
      </c>
      <c r="K446" s="37"/>
      <c r="L446" s="26">
        <v>51.360758302800001</v>
      </c>
      <c r="M446" s="26" t="s">
        <v>204</v>
      </c>
      <c r="N446" s="26">
        <v>771.6404230243902</v>
      </c>
      <c r="O446" s="95">
        <f t="shared" si="32"/>
        <v>39632.037263626051</v>
      </c>
      <c r="P446" s="97">
        <f t="shared" si="33"/>
        <v>33466.78503726967</v>
      </c>
      <c r="Q446" s="197">
        <v>1</v>
      </c>
    </row>
    <row r="447" spans="1:17" x14ac:dyDescent="0.25">
      <c r="A447" s="254">
        <v>40607</v>
      </c>
      <c r="B447" s="254" t="s">
        <v>183</v>
      </c>
      <c r="C447" s="210">
        <v>10293521</v>
      </c>
      <c r="D447" s="115" t="s">
        <v>294</v>
      </c>
      <c r="E447" s="34">
        <f t="shared" si="30"/>
        <v>40607</v>
      </c>
      <c r="F447" s="108" t="str">
        <f t="shared" si="34"/>
        <v>2010-11</v>
      </c>
      <c r="H447" s="119"/>
      <c r="I447" s="26"/>
      <c r="J447" s="101">
        <f t="shared" si="31"/>
        <v>0.84443766578674484</v>
      </c>
      <c r="K447" s="37"/>
      <c r="L447" s="26">
        <v>9.1018498190999999</v>
      </c>
      <c r="M447" s="26" t="s">
        <v>204</v>
      </c>
      <c r="N447" s="26">
        <v>1128.7084557073169</v>
      </c>
      <c r="O447" s="95">
        <f t="shared" si="32"/>
        <v>10273.334853396284</v>
      </c>
      <c r="P447" s="97">
        <f t="shared" si="33"/>
        <v>8675.1909034475684</v>
      </c>
      <c r="Q447" s="197">
        <v>1</v>
      </c>
    </row>
    <row r="448" spans="1:17" x14ac:dyDescent="0.25">
      <c r="A448" s="254">
        <v>40607</v>
      </c>
      <c r="B448" s="254" t="s">
        <v>183</v>
      </c>
      <c r="C448" s="210">
        <v>10293554</v>
      </c>
      <c r="D448" s="115" t="s">
        <v>294</v>
      </c>
      <c r="E448" s="34">
        <f t="shared" si="30"/>
        <v>40607</v>
      </c>
      <c r="F448" s="108" t="str">
        <f t="shared" si="34"/>
        <v>2010-11</v>
      </c>
      <c r="H448" s="119"/>
      <c r="I448" s="26"/>
      <c r="J448" s="101">
        <f t="shared" si="31"/>
        <v>0.84443766578674484</v>
      </c>
      <c r="K448" s="37"/>
      <c r="L448" s="26">
        <v>204.684269667</v>
      </c>
      <c r="M448" s="26" t="s">
        <v>204</v>
      </c>
      <c r="N448" s="26">
        <v>771.6404230243902</v>
      </c>
      <c r="O448" s="95">
        <f t="shared" si="32"/>
        <v>157942.65643228224</v>
      </c>
      <c r="P448" s="97">
        <f t="shared" si="33"/>
        <v>133372.72812583423</v>
      </c>
      <c r="Q448" s="197">
        <v>1</v>
      </c>
    </row>
    <row r="449" spans="1:17" x14ac:dyDescent="0.25">
      <c r="A449" s="254">
        <v>40607</v>
      </c>
      <c r="B449" s="254" t="s">
        <v>183</v>
      </c>
      <c r="C449" s="210">
        <v>10293522</v>
      </c>
      <c r="D449" s="115" t="s">
        <v>294</v>
      </c>
      <c r="E449" s="34">
        <f t="shared" si="30"/>
        <v>40607</v>
      </c>
      <c r="F449" s="108" t="str">
        <f t="shared" si="34"/>
        <v>2010-11</v>
      </c>
      <c r="H449" s="119"/>
      <c r="I449" s="26"/>
      <c r="J449" s="101">
        <f t="shared" si="31"/>
        <v>0.84443766578674484</v>
      </c>
      <c r="K449" s="37"/>
      <c r="L449" s="26">
        <v>36.180233526099997</v>
      </c>
      <c r="M449" s="26" t="s">
        <v>204</v>
      </c>
      <c r="N449" s="26">
        <v>1128.7084557073169</v>
      </c>
      <c r="O449" s="95">
        <f t="shared" si="32"/>
        <v>40836.935510374424</v>
      </c>
      <c r="P449" s="97">
        <f t="shared" si="33"/>
        <v>34484.246500264409</v>
      </c>
      <c r="Q449" s="197">
        <v>1</v>
      </c>
    </row>
    <row r="450" spans="1:17" x14ac:dyDescent="0.25">
      <c r="A450" s="254">
        <v>40607</v>
      </c>
      <c r="B450" s="254" t="s">
        <v>183</v>
      </c>
      <c r="C450" s="210">
        <v>10293523</v>
      </c>
      <c r="D450" s="115" t="s">
        <v>294</v>
      </c>
      <c r="E450" s="34">
        <f t="shared" si="30"/>
        <v>40607</v>
      </c>
      <c r="F450" s="108" t="str">
        <f t="shared" si="34"/>
        <v>2010-11</v>
      </c>
      <c r="H450" s="119"/>
      <c r="I450" s="26"/>
      <c r="J450" s="101">
        <f t="shared" si="31"/>
        <v>0.84443766578674484</v>
      </c>
      <c r="K450" s="37"/>
      <c r="L450" s="26">
        <v>3.7213693237099998</v>
      </c>
      <c r="M450" s="26" t="s">
        <v>204</v>
      </c>
      <c r="N450" s="26">
        <v>1128.7084557073169</v>
      </c>
      <c r="O450" s="95">
        <f t="shared" si="32"/>
        <v>4200.341022481296</v>
      </c>
      <c r="P450" s="97">
        <f t="shared" si="33"/>
        <v>3546.9261685324145</v>
      </c>
      <c r="Q450" s="197">
        <v>1</v>
      </c>
    </row>
    <row r="451" spans="1:17" x14ac:dyDescent="0.25">
      <c r="A451" s="254">
        <v>40607</v>
      </c>
      <c r="B451" s="254" t="s">
        <v>183</v>
      </c>
      <c r="C451" s="210">
        <v>10293549</v>
      </c>
      <c r="D451" s="115" t="s">
        <v>294</v>
      </c>
      <c r="E451" s="34">
        <f t="shared" si="30"/>
        <v>40607</v>
      </c>
      <c r="F451" s="108" t="str">
        <f t="shared" si="34"/>
        <v>2010-11</v>
      </c>
      <c r="H451" s="119"/>
      <c r="I451" s="26"/>
      <c r="J451" s="101">
        <f t="shared" si="31"/>
        <v>0.84443766578674484</v>
      </c>
      <c r="K451" s="37"/>
      <c r="L451" s="26">
        <v>2.9227520016600002</v>
      </c>
      <c r="M451" s="26" t="s">
        <v>204</v>
      </c>
      <c r="N451" s="26">
        <v>771.6404230243902</v>
      </c>
      <c r="O451" s="95">
        <f t="shared" si="32"/>
        <v>2255.3135909563057</v>
      </c>
      <c r="P451" s="97">
        <f t="shared" si="33"/>
        <v>1904.4717443642642</v>
      </c>
      <c r="Q451" s="197">
        <v>1</v>
      </c>
    </row>
    <row r="452" spans="1:17" x14ac:dyDescent="0.25">
      <c r="A452" s="254">
        <v>40607</v>
      </c>
      <c r="B452" s="254" t="s">
        <v>183</v>
      </c>
      <c r="C452" s="210">
        <v>10293528</v>
      </c>
      <c r="D452" s="115" t="s">
        <v>294</v>
      </c>
      <c r="E452" s="34">
        <f t="shared" si="30"/>
        <v>40607</v>
      </c>
      <c r="F452" s="108" t="str">
        <f t="shared" si="34"/>
        <v>2010-11</v>
      </c>
      <c r="H452" s="119"/>
      <c r="I452" s="26"/>
      <c r="J452" s="101">
        <f t="shared" si="31"/>
        <v>0.84443766578674484</v>
      </c>
      <c r="K452" s="37"/>
      <c r="L452" s="26">
        <v>12.6051339164</v>
      </c>
      <c r="M452" s="26" t="s">
        <v>204</v>
      </c>
      <c r="N452" s="26">
        <v>771.6404230243902</v>
      </c>
      <c r="O452" s="95">
        <f t="shared" si="32"/>
        <v>9726.6308675299842</v>
      </c>
      <c r="P452" s="97">
        <f t="shared" si="33"/>
        <v>8213.5334657463209</v>
      </c>
      <c r="Q452" s="197">
        <v>1</v>
      </c>
    </row>
    <row r="453" spans="1:17" x14ac:dyDescent="0.25">
      <c r="A453" s="254">
        <v>40607</v>
      </c>
      <c r="B453" s="254" t="s">
        <v>183</v>
      </c>
      <c r="C453" s="210">
        <v>10295672</v>
      </c>
      <c r="D453" s="115" t="s">
        <v>294</v>
      </c>
      <c r="E453" s="34">
        <f t="shared" si="30"/>
        <v>40607</v>
      </c>
      <c r="F453" s="108" t="str">
        <f t="shared" si="34"/>
        <v>2010-11</v>
      </c>
      <c r="H453" s="119"/>
      <c r="I453" s="26"/>
      <c r="J453" s="101">
        <f t="shared" si="31"/>
        <v>0.84443766578674484</v>
      </c>
      <c r="K453" s="37"/>
      <c r="L453" s="26">
        <v>252.06822752900001</v>
      </c>
      <c r="M453" s="26" t="s">
        <v>204</v>
      </c>
      <c r="N453" s="26">
        <v>771.6404230243902</v>
      </c>
      <c r="O453" s="95">
        <f t="shared" si="32"/>
        <v>194506.03372148582</v>
      </c>
      <c r="P453" s="97">
        <f t="shared" si="33"/>
        <v>164248.22109720937</v>
      </c>
      <c r="Q453" s="197">
        <v>1</v>
      </c>
    </row>
    <row r="454" spans="1:17" x14ac:dyDescent="0.25">
      <c r="A454" s="254">
        <v>40607</v>
      </c>
      <c r="B454" s="254" t="s">
        <v>183</v>
      </c>
      <c r="C454" s="210">
        <v>10293673</v>
      </c>
      <c r="D454" s="115" t="s">
        <v>294</v>
      </c>
      <c r="E454" s="34">
        <f t="shared" si="30"/>
        <v>40607</v>
      </c>
      <c r="F454" s="108" t="str">
        <f t="shared" si="34"/>
        <v>2010-11</v>
      </c>
      <c r="H454" s="119"/>
      <c r="I454" s="26"/>
      <c r="J454" s="101">
        <f t="shared" si="31"/>
        <v>0.84443766578674484</v>
      </c>
      <c r="K454" s="37"/>
      <c r="L454" s="26">
        <v>213.23604572900001</v>
      </c>
      <c r="M454" s="26" t="s">
        <v>204</v>
      </c>
      <c r="N454" s="26">
        <v>771.6404230243902</v>
      </c>
      <c r="O454" s="95">
        <f t="shared" si="32"/>
        <v>164541.5525303738</v>
      </c>
      <c r="P454" s="97">
        <f t="shared" si="33"/>
        <v>138945.08454367591</v>
      </c>
      <c r="Q454" s="197">
        <v>1</v>
      </c>
    </row>
    <row r="455" spans="1:17" x14ac:dyDescent="0.25">
      <c r="A455" s="254">
        <v>40607</v>
      </c>
      <c r="B455" s="254" t="s">
        <v>183</v>
      </c>
      <c r="C455" s="210">
        <v>10293721</v>
      </c>
      <c r="D455" s="115" t="s">
        <v>294</v>
      </c>
      <c r="E455" s="34">
        <f t="shared" si="30"/>
        <v>40607</v>
      </c>
      <c r="F455" s="108" t="str">
        <f t="shared" si="34"/>
        <v>2010-11</v>
      </c>
      <c r="H455" s="119"/>
      <c r="I455" s="26"/>
      <c r="J455" s="101">
        <f t="shared" si="31"/>
        <v>0.84443766578674484</v>
      </c>
      <c r="K455" s="37"/>
      <c r="L455" s="26">
        <v>67.7032089259</v>
      </c>
      <c r="M455" s="26" t="s">
        <v>204</v>
      </c>
      <c r="N455" s="26">
        <v>771.6404230243902</v>
      </c>
      <c r="O455" s="95">
        <f t="shared" si="32"/>
        <v>52242.532775690146</v>
      </c>
      <c r="P455" s="97">
        <f t="shared" si="33"/>
        <v>44115.562431891296</v>
      </c>
      <c r="Q455" s="197">
        <v>1</v>
      </c>
    </row>
    <row r="456" spans="1:17" x14ac:dyDescent="0.25">
      <c r="A456" s="254">
        <v>40607</v>
      </c>
      <c r="B456" s="254" t="s">
        <v>183</v>
      </c>
      <c r="C456" s="210">
        <v>10293687</v>
      </c>
      <c r="D456" s="115" t="s">
        <v>294</v>
      </c>
      <c r="E456" s="34">
        <f t="shared" si="30"/>
        <v>40607</v>
      </c>
      <c r="F456" s="108" t="str">
        <f t="shared" si="34"/>
        <v>2010-11</v>
      </c>
      <c r="H456" s="119"/>
      <c r="I456" s="26"/>
      <c r="J456" s="101">
        <f t="shared" si="31"/>
        <v>0.84443766578674484</v>
      </c>
      <c r="K456" s="37"/>
      <c r="L456" s="26">
        <v>135.29511294700001</v>
      </c>
      <c r="M456" s="26" t="s">
        <v>204</v>
      </c>
      <c r="N456" s="26">
        <v>771.6404230243902</v>
      </c>
      <c r="O456" s="95">
        <f t="shared" si="32"/>
        <v>104399.17818755574</v>
      </c>
      <c r="P456" s="97">
        <f t="shared" si="33"/>
        <v>88158.598338754018</v>
      </c>
      <c r="Q456" s="197">
        <v>1</v>
      </c>
    </row>
    <row r="457" spans="1:17" x14ac:dyDescent="0.25">
      <c r="A457" s="254">
        <v>40607</v>
      </c>
      <c r="B457" s="254" t="s">
        <v>183</v>
      </c>
      <c r="C457" s="210">
        <v>10293706</v>
      </c>
      <c r="D457" s="115" t="s">
        <v>294</v>
      </c>
      <c r="E457" s="34">
        <f t="shared" si="30"/>
        <v>40607</v>
      </c>
      <c r="F457" s="108" t="str">
        <f t="shared" si="34"/>
        <v>2010-11</v>
      </c>
      <c r="H457" s="119"/>
      <c r="I457" s="26"/>
      <c r="J457" s="101">
        <f t="shared" si="31"/>
        <v>0.84443766578674484</v>
      </c>
      <c r="K457" s="37"/>
      <c r="L457" s="26">
        <v>73.949651830899995</v>
      </c>
      <c r="M457" s="26" t="s">
        <v>204</v>
      </c>
      <c r="N457" s="26">
        <v>771.6404230243902</v>
      </c>
      <c r="O457" s="95">
        <f t="shared" si="32"/>
        <v>57062.540621302047</v>
      </c>
      <c r="P457" s="97">
        <f t="shared" si="33"/>
        <v>48185.75860611361</v>
      </c>
      <c r="Q457" s="197">
        <v>1</v>
      </c>
    </row>
    <row r="458" spans="1:17" x14ac:dyDescent="0.25">
      <c r="A458" s="254">
        <v>40607</v>
      </c>
      <c r="B458" s="254" t="s">
        <v>183</v>
      </c>
      <c r="C458" s="210">
        <v>10967787</v>
      </c>
      <c r="D458" s="115" t="s">
        <v>294</v>
      </c>
      <c r="E458" s="34">
        <f t="shared" si="30"/>
        <v>40607</v>
      </c>
      <c r="F458" s="108" t="str">
        <f t="shared" si="34"/>
        <v>2010-11</v>
      </c>
      <c r="H458" s="119"/>
      <c r="I458" s="26"/>
      <c r="J458" s="101">
        <f t="shared" si="31"/>
        <v>0.84443766578674484</v>
      </c>
      <c r="K458" s="37"/>
      <c r="L458" s="26">
        <v>36.951031568200001</v>
      </c>
      <c r="M458" s="26" t="s">
        <v>204</v>
      </c>
      <c r="N458" s="26">
        <v>771.6404230243902</v>
      </c>
      <c r="O458" s="95">
        <f t="shared" si="32"/>
        <v>28512.909630473445</v>
      </c>
      <c r="P458" s="97">
        <f t="shared" si="33"/>
        <v>24077.374853145393</v>
      </c>
      <c r="Q458" s="197">
        <v>1</v>
      </c>
    </row>
    <row r="459" spans="1:17" x14ac:dyDescent="0.25">
      <c r="A459" s="254">
        <v>40607</v>
      </c>
      <c r="B459" s="254" t="s">
        <v>183</v>
      </c>
      <c r="C459" s="210">
        <v>10293712</v>
      </c>
      <c r="D459" s="115" t="s">
        <v>294</v>
      </c>
      <c r="E459" s="34">
        <f t="shared" si="30"/>
        <v>40607</v>
      </c>
      <c r="F459" s="108" t="str">
        <f t="shared" si="34"/>
        <v>2010-11</v>
      </c>
      <c r="H459" s="119"/>
      <c r="I459" s="26"/>
      <c r="J459" s="101">
        <f t="shared" si="31"/>
        <v>0.84443766578674484</v>
      </c>
      <c r="K459" s="37"/>
      <c r="L459" s="26">
        <v>7.7126775294799996</v>
      </c>
      <c r="M459" s="26" t="s">
        <v>204</v>
      </c>
      <c r="N459" s="26">
        <v>771.6404230243902</v>
      </c>
      <c r="O459" s="95">
        <f t="shared" si="32"/>
        <v>5951.413751498656</v>
      </c>
      <c r="P459" s="97">
        <f t="shared" si="33"/>
        <v>5025.5979364466593</v>
      </c>
      <c r="Q459" s="197">
        <v>1</v>
      </c>
    </row>
    <row r="460" spans="1:17" x14ac:dyDescent="0.25">
      <c r="A460" s="254">
        <v>40607</v>
      </c>
      <c r="B460" s="254" t="s">
        <v>183</v>
      </c>
      <c r="C460" s="210">
        <v>10293734</v>
      </c>
      <c r="D460" s="115" t="s">
        <v>294</v>
      </c>
      <c r="E460" s="34">
        <f t="shared" si="30"/>
        <v>40607</v>
      </c>
      <c r="F460" s="108" t="str">
        <f t="shared" si="34"/>
        <v>2010-11</v>
      </c>
      <c r="H460" s="119"/>
      <c r="I460" s="26"/>
      <c r="J460" s="101">
        <f t="shared" si="31"/>
        <v>0.84443766578674484</v>
      </c>
      <c r="K460" s="37"/>
      <c r="L460" s="26">
        <v>4.0478252185599999</v>
      </c>
      <c r="M460" s="26" t="s">
        <v>204</v>
      </c>
      <c r="N460" s="26">
        <v>771.6404230243902</v>
      </c>
      <c r="O460" s="95">
        <f t="shared" si="32"/>
        <v>3123.4655639784332</v>
      </c>
      <c r="P460" s="97">
        <f t="shared" si="33"/>
        <v>2637.5719700112268</v>
      </c>
      <c r="Q460" s="197">
        <v>1</v>
      </c>
    </row>
    <row r="461" spans="1:17" x14ac:dyDescent="0.25">
      <c r="A461" s="254">
        <v>40607</v>
      </c>
      <c r="B461" s="254" t="s">
        <v>183</v>
      </c>
      <c r="C461" s="210">
        <v>10295823</v>
      </c>
      <c r="D461" s="115" t="s">
        <v>317</v>
      </c>
      <c r="E461" s="34">
        <f t="shared" si="30"/>
        <v>40607</v>
      </c>
      <c r="F461" s="108" t="str">
        <f t="shared" si="34"/>
        <v>2010-11</v>
      </c>
      <c r="H461" s="119"/>
      <c r="I461" s="26"/>
      <c r="J461" s="101">
        <f t="shared" si="31"/>
        <v>0.84443766578674484</v>
      </c>
      <c r="K461" s="37"/>
      <c r="L461" s="26">
        <v>109.049815466</v>
      </c>
      <c r="M461" s="26" t="s">
        <v>204</v>
      </c>
      <c r="N461" s="26">
        <v>771.6404230243902</v>
      </c>
      <c r="O461" s="95">
        <f t="shared" si="32"/>
        <v>84147.245736915924</v>
      </c>
      <c r="P461" s="97">
        <f t="shared" si="33"/>
        <v>71057.103772464892</v>
      </c>
      <c r="Q461" s="197">
        <v>1</v>
      </c>
    </row>
    <row r="462" spans="1:17" x14ac:dyDescent="0.25">
      <c r="A462" s="254">
        <v>40607</v>
      </c>
      <c r="B462" s="254" t="s">
        <v>183</v>
      </c>
      <c r="C462" s="210">
        <v>10295707</v>
      </c>
      <c r="D462" s="115" t="s">
        <v>294</v>
      </c>
      <c r="E462" s="34">
        <f t="shared" si="30"/>
        <v>40607</v>
      </c>
      <c r="F462" s="108" t="str">
        <f t="shared" si="34"/>
        <v>2010-11</v>
      </c>
      <c r="H462" s="119"/>
      <c r="I462" s="26"/>
      <c r="J462" s="101">
        <f t="shared" si="31"/>
        <v>0.84443766578674484</v>
      </c>
      <c r="K462" s="37"/>
      <c r="L462" s="26">
        <v>121.820693621</v>
      </c>
      <c r="M462" s="26" t="s">
        <v>204</v>
      </c>
      <c r="N462" s="26">
        <v>771.6404230243902</v>
      </c>
      <c r="O462" s="95">
        <f t="shared" si="32"/>
        <v>94001.771558833076</v>
      </c>
      <c r="P462" s="97">
        <f t="shared" si="33"/>
        <v>79378.636554959827</v>
      </c>
      <c r="Q462" s="197">
        <v>1</v>
      </c>
    </row>
    <row r="463" spans="1:17" x14ac:dyDescent="0.25">
      <c r="A463" s="254">
        <v>40607</v>
      </c>
      <c r="B463" s="254" t="s">
        <v>183</v>
      </c>
      <c r="C463" s="210">
        <v>10295812</v>
      </c>
      <c r="D463" s="115" t="s">
        <v>317</v>
      </c>
      <c r="E463" s="34">
        <f t="shared" si="30"/>
        <v>40607</v>
      </c>
      <c r="F463" s="108" t="str">
        <f t="shared" si="34"/>
        <v>2010-11</v>
      </c>
      <c r="H463" s="119"/>
      <c r="I463" s="26"/>
      <c r="J463" s="101">
        <f t="shared" si="31"/>
        <v>0.84443766578674484</v>
      </c>
      <c r="K463" s="37"/>
      <c r="L463" s="26">
        <v>36.731440389100001</v>
      </c>
      <c r="M463" s="26" t="s">
        <v>204</v>
      </c>
      <c r="N463" s="26">
        <v>771.6404230243902</v>
      </c>
      <c r="O463" s="95">
        <f t="shared" si="32"/>
        <v>28343.464200140297</v>
      </c>
      <c r="P463" s="97">
        <f t="shared" si="33"/>
        <v>23934.28874947664</v>
      </c>
      <c r="Q463" s="197">
        <v>1</v>
      </c>
    </row>
    <row r="464" spans="1:17" x14ac:dyDescent="0.25">
      <c r="A464" s="254">
        <v>40607</v>
      </c>
      <c r="B464" s="254" t="s">
        <v>183</v>
      </c>
      <c r="C464" s="210">
        <v>10295802</v>
      </c>
      <c r="D464" s="115" t="s">
        <v>317</v>
      </c>
      <c r="E464" s="34">
        <f t="shared" si="30"/>
        <v>40607</v>
      </c>
      <c r="F464" s="108" t="str">
        <f t="shared" si="34"/>
        <v>2010-11</v>
      </c>
      <c r="H464" s="119"/>
      <c r="I464" s="26"/>
      <c r="J464" s="101">
        <f t="shared" si="31"/>
        <v>0.84443766578674484</v>
      </c>
      <c r="K464" s="37"/>
      <c r="L464" s="26">
        <v>51.405598367000003</v>
      </c>
      <c r="M464" s="26" t="s">
        <v>204</v>
      </c>
      <c r="N464" s="26">
        <v>771.6404230243902</v>
      </c>
      <c r="O464" s="95">
        <f t="shared" si="32"/>
        <v>39666.637669733784</v>
      </c>
      <c r="P464" s="97">
        <f t="shared" si="33"/>
        <v>33496.002923438558</v>
      </c>
      <c r="Q464" s="197">
        <v>1</v>
      </c>
    </row>
    <row r="465" spans="1:17" x14ac:dyDescent="0.25">
      <c r="A465" s="254">
        <v>40607</v>
      </c>
      <c r="B465" s="254" t="s">
        <v>183</v>
      </c>
      <c r="C465" s="210">
        <v>10295814</v>
      </c>
      <c r="D465" s="115" t="s">
        <v>317</v>
      </c>
      <c r="E465" s="34">
        <f t="shared" si="30"/>
        <v>40607</v>
      </c>
      <c r="F465" s="108" t="str">
        <f t="shared" si="34"/>
        <v>2010-11</v>
      </c>
      <c r="H465" s="119"/>
      <c r="I465" s="26"/>
      <c r="J465" s="101">
        <f t="shared" si="31"/>
        <v>0.84443766578674484</v>
      </c>
      <c r="K465" s="37"/>
      <c r="L465" s="26">
        <v>5.8263963608799996</v>
      </c>
      <c r="M465" s="26" t="s">
        <v>204</v>
      </c>
      <c r="N465" s="26">
        <v>771.6404230243902</v>
      </c>
      <c r="O465" s="95">
        <f t="shared" si="32"/>
        <v>4495.8829526172103</v>
      </c>
      <c r="P465" s="97">
        <f t="shared" si="33"/>
        <v>3796.4929061584953</v>
      </c>
      <c r="Q465" s="197">
        <v>1</v>
      </c>
    </row>
    <row r="466" spans="1:17" x14ac:dyDescent="0.25">
      <c r="A466" s="254">
        <v>40607</v>
      </c>
      <c r="B466" s="254" t="s">
        <v>183</v>
      </c>
      <c r="C466" s="210">
        <v>10295804</v>
      </c>
      <c r="D466" s="115" t="s">
        <v>317</v>
      </c>
      <c r="E466" s="34">
        <f t="shared" si="30"/>
        <v>40607</v>
      </c>
      <c r="F466" s="108" t="str">
        <f t="shared" si="34"/>
        <v>2010-11</v>
      </c>
      <c r="H466" s="119"/>
      <c r="I466" s="26"/>
      <c r="J466" s="101">
        <f t="shared" si="31"/>
        <v>0.84443766578674484</v>
      </c>
      <c r="K466" s="37"/>
      <c r="L466" s="26">
        <v>5.9972047655600003</v>
      </c>
      <c r="M466" s="26" t="s">
        <v>204</v>
      </c>
      <c r="N466" s="26">
        <v>1128.7084557073169</v>
      </c>
      <c r="O466" s="95">
        <f t="shared" si="32"/>
        <v>6769.0957294957898</v>
      </c>
      <c r="P466" s="97">
        <f t="shared" si="33"/>
        <v>5716.0793973024474</v>
      </c>
      <c r="Q466" s="197">
        <v>1</v>
      </c>
    </row>
    <row r="467" spans="1:17" x14ac:dyDescent="0.25">
      <c r="A467" s="254">
        <v>40607</v>
      </c>
      <c r="B467" s="254" t="s">
        <v>183</v>
      </c>
      <c r="C467" s="210">
        <v>10295803</v>
      </c>
      <c r="D467" s="115" t="s">
        <v>317</v>
      </c>
      <c r="E467" s="34">
        <f t="shared" si="30"/>
        <v>40607</v>
      </c>
      <c r="F467" s="108" t="str">
        <f t="shared" si="34"/>
        <v>2010-11</v>
      </c>
      <c r="H467" s="119"/>
      <c r="I467" s="26"/>
      <c r="J467" s="101">
        <f t="shared" si="31"/>
        <v>0.84443766578674484</v>
      </c>
      <c r="K467" s="37"/>
      <c r="L467" s="26">
        <v>3.49792476984</v>
      </c>
      <c r="M467" s="26" t="s">
        <v>204</v>
      </c>
      <c r="N467" s="26">
        <v>1128.7084557073169</v>
      </c>
      <c r="O467" s="95">
        <f t="shared" si="32"/>
        <v>3948.1372651464785</v>
      </c>
      <c r="P467" s="97">
        <f t="shared" si="33"/>
        <v>3333.9558163859547</v>
      </c>
      <c r="Q467" s="197">
        <v>1</v>
      </c>
    </row>
    <row r="468" spans="1:17" x14ac:dyDescent="0.25">
      <c r="A468" s="254">
        <v>40607</v>
      </c>
      <c r="B468" s="254" t="s">
        <v>183</v>
      </c>
      <c r="C468" s="210">
        <v>10295805</v>
      </c>
      <c r="D468" s="115" t="s">
        <v>317</v>
      </c>
      <c r="E468" s="34">
        <f t="shared" si="30"/>
        <v>40607</v>
      </c>
      <c r="F468" s="108" t="str">
        <f t="shared" si="34"/>
        <v>2010-11</v>
      </c>
      <c r="H468" s="119"/>
      <c r="I468" s="26"/>
      <c r="J468" s="101">
        <f t="shared" si="31"/>
        <v>0.84443766578674484</v>
      </c>
      <c r="K468" s="37"/>
      <c r="L468" s="26">
        <v>3.8568179889600001</v>
      </c>
      <c r="M468" s="26" t="s">
        <v>204</v>
      </c>
      <c r="N468" s="26">
        <v>1128.7084557073169</v>
      </c>
      <c r="O468" s="95">
        <f t="shared" si="32"/>
        <v>4353.2230762632416</v>
      </c>
      <c r="P468" s="97">
        <f t="shared" si="33"/>
        <v>3676.0255331687245</v>
      </c>
      <c r="Q468" s="197">
        <v>1</v>
      </c>
    </row>
    <row r="469" spans="1:17" x14ac:dyDescent="0.25">
      <c r="A469" s="254">
        <v>40607</v>
      </c>
      <c r="B469" s="254" t="s">
        <v>183</v>
      </c>
      <c r="C469" s="210">
        <v>10295703</v>
      </c>
      <c r="D469" s="115" t="s">
        <v>294</v>
      </c>
      <c r="E469" s="34">
        <f t="shared" si="30"/>
        <v>40607</v>
      </c>
      <c r="F469" s="108" t="str">
        <f t="shared" si="34"/>
        <v>2010-11</v>
      </c>
      <c r="H469" s="119"/>
      <c r="I469" s="26"/>
      <c r="J469" s="101">
        <f t="shared" si="31"/>
        <v>0.84443766578674484</v>
      </c>
      <c r="K469" s="37"/>
      <c r="L469" s="26">
        <v>232.66532608399999</v>
      </c>
      <c r="M469" s="26" t="s">
        <v>204</v>
      </c>
      <c r="N469" s="26">
        <v>771.6404230243902</v>
      </c>
      <c r="O469" s="95">
        <f t="shared" si="32"/>
        <v>179533.97064256543</v>
      </c>
      <c r="P469" s="97">
        <f t="shared" si="33"/>
        <v>151605.24709883393</v>
      </c>
      <c r="Q469" s="197">
        <v>1</v>
      </c>
    </row>
    <row r="470" spans="1:17" x14ac:dyDescent="0.25">
      <c r="A470" s="254">
        <v>40607</v>
      </c>
      <c r="B470" s="254" t="s">
        <v>183</v>
      </c>
      <c r="C470" s="210">
        <v>10295828</v>
      </c>
      <c r="D470" s="115" t="s">
        <v>317</v>
      </c>
      <c r="E470" s="34">
        <f t="shared" ref="E470:E533" si="35">IF(A470&lt;2022,DATEVALUE("30 Jun "&amp;A470),A470)</f>
        <v>40607</v>
      </c>
      <c r="F470" s="108" t="str">
        <f t="shared" si="34"/>
        <v>2010-11</v>
      </c>
      <c r="H470" s="119"/>
      <c r="I470" s="26"/>
      <c r="J470" s="101">
        <f t="shared" ref="J470:J533" si="36">J469</f>
        <v>0.84443766578674484</v>
      </c>
      <c r="K470" s="37"/>
      <c r="L470" s="26">
        <v>108.954847771</v>
      </c>
      <c r="M470" s="26" t="s">
        <v>204</v>
      </c>
      <c r="N470" s="26">
        <v>771.6404230243902</v>
      </c>
      <c r="O470" s="95">
        <f t="shared" ref="O470:O533" si="37">IF(N470="","-",L470*N470)</f>
        <v>84073.964824572482</v>
      </c>
      <c r="P470" s="97">
        <f t="shared" ref="P470:P533" si="38">IF(O470="-","-",IF(OR(E470&lt;$E$15,E470&gt;$E$16),0,O470*J470))*Q470</f>
        <v>70995.222609898876</v>
      </c>
      <c r="Q470" s="197">
        <v>1</v>
      </c>
    </row>
    <row r="471" spans="1:17" x14ac:dyDescent="0.25">
      <c r="A471" s="254">
        <v>40607</v>
      </c>
      <c r="B471" s="254" t="s">
        <v>183</v>
      </c>
      <c r="C471" s="210">
        <v>10295825</v>
      </c>
      <c r="D471" s="115" t="s">
        <v>317</v>
      </c>
      <c r="E471" s="34">
        <f t="shared" si="35"/>
        <v>40607</v>
      </c>
      <c r="F471" s="108" t="str">
        <f t="shared" ref="F471:F534" si="39">IF(E471="","-",IF(OR(E471&lt;$E$15,E471&gt;$E$16),"ERROR - date outside of range",IF(MONTH(E471)&gt;=7,YEAR(E471)&amp;"-"&amp;IF(YEAR(E471)=1999,"00",IF(AND(YEAR(E471)&gt;=2000,YEAR(E471)&lt;2009),"0","")&amp;RIGHT(YEAR(E471),2)+1),RIGHT(YEAR(E471),4)-1&amp;"-"&amp;RIGHT(YEAR(E471),2))))</f>
        <v>2010-11</v>
      </c>
      <c r="H471" s="119"/>
      <c r="I471" s="26"/>
      <c r="J471" s="101">
        <f t="shared" si="36"/>
        <v>0.84443766578674484</v>
      </c>
      <c r="K471" s="37"/>
      <c r="L471" s="26">
        <v>6.6966022992700003</v>
      </c>
      <c r="M471" s="26" t="s">
        <v>204</v>
      </c>
      <c r="N471" s="26">
        <v>771.6404230243902</v>
      </c>
      <c r="O471" s="95">
        <f t="shared" si="37"/>
        <v>5167.3690310348074</v>
      </c>
      <c r="P471" s="97">
        <f t="shared" si="38"/>
        <v>4363.521042825746</v>
      </c>
      <c r="Q471" s="197">
        <v>1</v>
      </c>
    </row>
    <row r="472" spans="1:17" x14ac:dyDescent="0.25">
      <c r="A472" s="254">
        <v>40607</v>
      </c>
      <c r="B472" s="254" t="s">
        <v>183</v>
      </c>
      <c r="C472" s="210">
        <v>10295808</v>
      </c>
      <c r="D472" s="115" t="s">
        <v>317</v>
      </c>
      <c r="E472" s="34">
        <f t="shared" si="35"/>
        <v>40607</v>
      </c>
      <c r="F472" s="108" t="str">
        <f t="shared" si="39"/>
        <v>2010-11</v>
      </c>
      <c r="H472" s="119"/>
      <c r="I472" s="26"/>
      <c r="J472" s="101">
        <f t="shared" si="36"/>
        <v>0.84443766578674484</v>
      </c>
      <c r="K472" s="37"/>
      <c r="L472" s="26">
        <v>13.175747572300001</v>
      </c>
      <c r="M472" s="26" t="s">
        <v>204</v>
      </c>
      <c r="N472" s="26">
        <v>696.6467060487804</v>
      </c>
      <c r="O472" s="95">
        <f t="shared" si="37"/>
        <v>9178.8411459730105</v>
      </c>
      <c r="P472" s="97">
        <f t="shared" si="38"/>
        <v>7750.9591919327786</v>
      </c>
      <c r="Q472" s="197">
        <v>1</v>
      </c>
    </row>
    <row r="473" spans="1:17" x14ac:dyDescent="0.25">
      <c r="A473" s="254">
        <v>40665</v>
      </c>
      <c r="B473" s="254" t="s">
        <v>183</v>
      </c>
      <c r="C473" s="210">
        <v>10289775</v>
      </c>
      <c r="D473" s="115" t="s">
        <v>318</v>
      </c>
      <c r="E473" s="34">
        <f t="shared" si="35"/>
        <v>40665</v>
      </c>
      <c r="F473" s="108" t="str">
        <f t="shared" si="39"/>
        <v>2010-11</v>
      </c>
      <c r="H473" s="119"/>
      <c r="I473" s="26"/>
      <c r="J473" s="101">
        <f t="shared" si="36"/>
        <v>0.84443766578674484</v>
      </c>
      <c r="K473" s="37"/>
      <c r="L473" s="26">
        <v>3.9976314987500001</v>
      </c>
      <c r="M473" s="26" t="s">
        <v>204</v>
      </c>
      <c r="N473" s="26">
        <v>1181.2618378536583</v>
      </c>
      <c r="O473" s="95">
        <f t="shared" si="37"/>
        <v>4722.2495312750998</v>
      </c>
      <c r="P473" s="97">
        <f t="shared" si="38"/>
        <v>3987.6453714524951</v>
      </c>
      <c r="Q473" s="197">
        <v>1</v>
      </c>
    </row>
    <row r="474" spans="1:17" x14ac:dyDescent="0.25">
      <c r="A474" s="254">
        <v>40875</v>
      </c>
      <c r="B474" s="254" t="s">
        <v>183</v>
      </c>
      <c r="C474" s="210">
        <v>10342317</v>
      </c>
      <c r="D474" s="115" t="s">
        <v>319</v>
      </c>
      <c r="E474" s="34">
        <f t="shared" si="35"/>
        <v>40875</v>
      </c>
      <c r="F474" s="108" t="str">
        <f t="shared" si="39"/>
        <v>2011-12</v>
      </c>
      <c r="H474" s="119"/>
      <c r="I474" s="26"/>
      <c r="J474" s="101">
        <f t="shared" si="36"/>
        <v>0.84443766578674484</v>
      </c>
      <c r="K474" s="37"/>
      <c r="L474" s="26">
        <v>33.475245513899999</v>
      </c>
      <c r="M474" s="26" t="s">
        <v>204</v>
      </c>
      <c r="N474" s="26">
        <v>2679.5507189268287</v>
      </c>
      <c r="O474" s="95">
        <f t="shared" si="37"/>
        <v>89698.618183022845</v>
      </c>
      <c r="P474" s="97">
        <f t="shared" si="38"/>
        <v>75744.891762768282</v>
      </c>
      <c r="Q474" s="197">
        <v>1</v>
      </c>
    </row>
    <row r="475" spans="1:17" x14ac:dyDescent="0.25">
      <c r="A475" s="254">
        <v>40875</v>
      </c>
      <c r="B475" s="254" t="s">
        <v>183</v>
      </c>
      <c r="C475" s="210">
        <v>10344460</v>
      </c>
      <c r="D475" s="115" t="s">
        <v>319</v>
      </c>
      <c r="E475" s="34">
        <f t="shared" si="35"/>
        <v>40875</v>
      </c>
      <c r="F475" s="108" t="str">
        <f t="shared" si="39"/>
        <v>2011-12</v>
      </c>
      <c r="H475" s="119"/>
      <c r="I475" s="26"/>
      <c r="J475" s="101">
        <f t="shared" si="36"/>
        <v>0.84443766578674484</v>
      </c>
      <c r="K475" s="37"/>
      <c r="L475" s="26">
        <v>4.7492046702600001</v>
      </c>
      <c r="M475" s="26" t="s">
        <v>204</v>
      </c>
      <c r="N475" s="26">
        <v>2679.5507189268287</v>
      </c>
      <c r="O475" s="95">
        <f t="shared" si="37"/>
        <v>12725.734788525837</v>
      </c>
      <c r="P475" s="97">
        <f t="shared" si="38"/>
        <v>10746.089780243932</v>
      </c>
      <c r="Q475" s="197">
        <v>1</v>
      </c>
    </row>
    <row r="476" spans="1:17" x14ac:dyDescent="0.25">
      <c r="A476" s="254">
        <v>40875</v>
      </c>
      <c r="B476" s="254" t="s">
        <v>183</v>
      </c>
      <c r="C476" s="210">
        <v>10344449</v>
      </c>
      <c r="D476" s="115" t="s">
        <v>319</v>
      </c>
      <c r="E476" s="34">
        <f t="shared" si="35"/>
        <v>40875</v>
      </c>
      <c r="F476" s="108" t="str">
        <f t="shared" si="39"/>
        <v>2011-12</v>
      </c>
      <c r="H476" s="119"/>
      <c r="I476" s="26"/>
      <c r="J476" s="101">
        <f t="shared" si="36"/>
        <v>0.84443766578674484</v>
      </c>
      <c r="K476" s="37"/>
      <c r="L476" s="26">
        <v>4.7504826070600004</v>
      </c>
      <c r="M476" s="26" t="s">
        <v>204</v>
      </c>
      <c r="N476" s="26">
        <v>2679.5507189268287</v>
      </c>
      <c r="O476" s="95">
        <f t="shared" si="37"/>
        <v>12729.15908499702</v>
      </c>
      <c r="P476" s="97">
        <f t="shared" si="38"/>
        <v>10748.981385163021</v>
      </c>
      <c r="Q476" s="197">
        <v>1</v>
      </c>
    </row>
    <row r="477" spans="1:17" x14ac:dyDescent="0.25">
      <c r="A477" s="254">
        <v>40875</v>
      </c>
      <c r="B477" s="254" t="s">
        <v>183</v>
      </c>
      <c r="C477" s="210">
        <v>10344506</v>
      </c>
      <c r="D477" s="115" t="s">
        <v>319</v>
      </c>
      <c r="E477" s="34">
        <f t="shared" si="35"/>
        <v>40875</v>
      </c>
      <c r="F477" s="108" t="str">
        <f t="shared" si="39"/>
        <v>2011-12</v>
      </c>
      <c r="H477" s="119"/>
      <c r="I477" s="26"/>
      <c r="J477" s="101">
        <f t="shared" si="36"/>
        <v>0.84443766578674484</v>
      </c>
      <c r="K477" s="37"/>
      <c r="L477" s="26">
        <v>5.2676334344800004</v>
      </c>
      <c r="M477" s="26" t="s">
        <v>204</v>
      </c>
      <c r="N477" s="26">
        <v>2679.5507189268287</v>
      </c>
      <c r="O477" s="95">
        <f t="shared" si="37"/>
        <v>14114.890956403886</v>
      </c>
      <c r="P477" s="97">
        <f t="shared" si="38"/>
        <v>11919.145572060132</v>
      </c>
      <c r="Q477" s="197">
        <v>1</v>
      </c>
    </row>
    <row r="478" spans="1:17" x14ac:dyDescent="0.25">
      <c r="A478" s="254">
        <v>40197</v>
      </c>
      <c r="B478" s="254" t="s">
        <v>183</v>
      </c>
      <c r="C478" s="210">
        <v>9401488</v>
      </c>
      <c r="D478" s="115" t="s">
        <v>320</v>
      </c>
      <c r="E478" s="34">
        <f t="shared" si="35"/>
        <v>40197</v>
      </c>
      <c r="F478" s="108" t="str">
        <f t="shared" si="39"/>
        <v>2009-10</v>
      </c>
      <c r="H478" s="119"/>
      <c r="I478" s="26"/>
      <c r="J478" s="101">
        <f t="shared" si="36"/>
        <v>0.84443766578674484</v>
      </c>
      <c r="K478" s="37"/>
      <c r="L478" s="26">
        <v>3.2355996353099998</v>
      </c>
      <c r="M478" s="26" t="s">
        <v>204</v>
      </c>
      <c r="N478" s="26">
        <v>1385.4167692682922</v>
      </c>
      <c r="O478" s="95">
        <f t="shared" si="37"/>
        <v>4482.6539933968443</v>
      </c>
      <c r="P478" s="97">
        <f t="shared" si="38"/>
        <v>3785.3218747136616</v>
      </c>
      <c r="Q478" s="197">
        <v>1</v>
      </c>
    </row>
    <row r="479" spans="1:17" x14ac:dyDescent="0.25">
      <c r="A479" s="254">
        <v>41079</v>
      </c>
      <c r="B479" s="254" t="s">
        <v>183</v>
      </c>
      <c r="C479" s="210">
        <v>10286885</v>
      </c>
      <c r="D479" s="115" t="s">
        <v>317</v>
      </c>
      <c r="E479" s="34">
        <f t="shared" si="35"/>
        <v>41079</v>
      </c>
      <c r="F479" s="108" t="str">
        <f t="shared" si="39"/>
        <v>2011-12</v>
      </c>
      <c r="H479" s="119"/>
      <c r="I479" s="26"/>
      <c r="J479" s="101">
        <f t="shared" si="36"/>
        <v>0.84443766578674484</v>
      </c>
      <c r="K479" s="37"/>
      <c r="L479" s="26">
        <v>2.48863250018</v>
      </c>
      <c r="M479" s="26" t="s">
        <v>204</v>
      </c>
      <c r="N479" s="26">
        <v>1422.8419512195119</v>
      </c>
      <c r="O479" s="95">
        <f t="shared" si="37"/>
        <v>3540.9307224244035</v>
      </c>
      <c r="P479" s="97">
        <f t="shared" si="38"/>
        <v>2990.0952739566355</v>
      </c>
      <c r="Q479" s="197">
        <v>1</v>
      </c>
    </row>
    <row r="480" spans="1:17" x14ac:dyDescent="0.25">
      <c r="A480" s="254">
        <v>41180</v>
      </c>
      <c r="B480" s="254" t="s">
        <v>183</v>
      </c>
      <c r="C480" s="210">
        <v>10339826</v>
      </c>
      <c r="D480" s="115" t="s">
        <v>315</v>
      </c>
      <c r="E480" s="34">
        <f t="shared" si="35"/>
        <v>41180</v>
      </c>
      <c r="F480" s="108" t="str">
        <f t="shared" si="39"/>
        <v>2012-13</v>
      </c>
      <c r="H480" s="119"/>
      <c r="I480" s="26"/>
      <c r="J480" s="101">
        <f t="shared" si="36"/>
        <v>0.84443766578674484</v>
      </c>
      <c r="K480" s="37"/>
      <c r="L480" s="26">
        <v>98.834484204700004</v>
      </c>
      <c r="M480" s="26" t="s">
        <v>204</v>
      </c>
      <c r="N480" s="26">
        <v>1003.0093919999996</v>
      </c>
      <c r="O480" s="95">
        <f t="shared" si="37"/>
        <v>99131.915910789714</v>
      </c>
      <c r="P480" s="97">
        <f t="shared" si="38"/>
        <v>83710.723676675145</v>
      </c>
      <c r="Q480" s="197">
        <v>1</v>
      </c>
    </row>
    <row r="481" spans="1:17" x14ac:dyDescent="0.25">
      <c r="A481" s="254">
        <v>40575</v>
      </c>
      <c r="B481" s="254" t="s">
        <v>183</v>
      </c>
      <c r="C481" s="210">
        <v>10484105</v>
      </c>
      <c r="D481" s="115" t="s">
        <v>321</v>
      </c>
      <c r="E481" s="34">
        <f t="shared" si="35"/>
        <v>40575</v>
      </c>
      <c r="F481" s="108" t="str">
        <f t="shared" si="39"/>
        <v>2010-11</v>
      </c>
      <c r="H481" s="119"/>
      <c r="I481" s="26"/>
      <c r="J481" s="101">
        <f t="shared" si="36"/>
        <v>0.84443766578674484</v>
      </c>
      <c r="K481" s="37"/>
      <c r="L481" s="26">
        <v>146.58317085100001</v>
      </c>
      <c r="M481" s="26" t="s">
        <v>204</v>
      </c>
      <c r="N481" s="26">
        <v>771.6404230243902</v>
      </c>
      <c r="O481" s="95">
        <f t="shared" si="37"/>
        <v>113109.4999637221</v>
      </c>
      <c r="P481" s="97">
        <f t="shared" si="38"/>
        <v>95513.922127671394</v>
      </c>
      <c r="Q481" s="197">
        <v>1</v>
      </c>
    </row>
    <row r="482" spans="1:17" x14ac:dyDescent="0.25">
      <c r="A482" s="254">
        <v>41166</v>
      </c>
      <c r="B482" s="254" t="s">
        <v>183</v>
      </c>
      <c r="C482" s="210">
        <v>10486045</v>
      </c>
      <c r="D482" s="115" t="s">
        <v>321</v>
      </c>
      <c r="E482" s="34">
        <f t="shared" si="35"/>
        <v>41166</v>
      </c>
      <c r="F482" s="108" t="str">
        <f t="shared" si="39"/>
        <v>2012-13</v>
      </c>
      <c r="H482" s="119"/>
      <c r="I482" s="26"/>
      <c r="J482" s="101">
        <f t="shared" si="36"/>
        <v>0.84443766578674484</v>
      </c>
      <c r="K482" s="37"/>
      <c r="L482" s="26">
        <v>206.61061561099999</v>
      </c>
      <c r="M482" s="26" t="s">
        <v>204</v>
      </c>
      <c r="N482" s="26">
        <v>936.5640883902438</v>
      </c>
      <c r="O482" s="95">
        <f t="shared" si="37"/>
        <v>193504.08286146328</v>
      </c>
      <c r="P482" s="97">
        <f t="shared" si="38"/>
        <v>163402.1360517389</v>
      </c>
      <c r="Q482" s="197">
        <v>1</v>
      </c>
    </row>
    <row r="483" spans="1:17" x14ac:dyDescent="0.25">
      <c r="A483" s="254">
        <v>40575</v>
      </c>
      <c r="B483" s="254" t="s">
        <v>183</v>
      </c>
      <c r="C483" s="210">
        <v>9350683</v>
      </c>
      <c r="D483" s="115" t="s">
        <v>315</v>
      </c>
      <c r="E483" s="34">
        <f t="shared" si="35"/>
        <v>40575</v>
      </c>
      <c r="F483" s="108" t="str">
        <f t="shared" si="39"/>
        <v>2010-11</v>
      </c>
      <c r="H483" s="119"/>
      <c r="I483" s="26"/>
      <c r="J483" s="101">
        <f t="shared" si="36"/>
        <v>0.84443766578674484</v>
      </c>
      <c r="K483" s="37"/>
      <c r="L483" s="26">
        <v>31.748053929600001</v>
      </c>
      <c r="M483" s="26" t="s">
        <v>204</v>
      </c>
      <c r="N483" s="26">
        <v>771.6404230243902</v>
      </c>
      <c r="O483" s="95">
        <f t="shared" si="37"/>
        <v>24498.081764437698</v>
      </c>
      <c r="P483" s="97">
        <f t="shared" si="38"/>
        <v>20687.102981414591</v>
      </c>
      <c r="Q483" s="197">
        <v>1</v>
      </c>
    </row>
    <row r="484" spans="1:17" x14ac:dyDescent="0.25">
      <c r="A484" s="254">
        <v>41166</v>
      </c>
      <c r="B484" s="254" t="s">
        <v>183</v>
      </c>
      <c r="C484" s="210">
        <v>10486041</v>
      </c>
      <c r="D484" s="115" t="s">
        <v>321</v>
      </c>
      <c r="E484" s="34">
        <f t="shared" si="35"/>
        <v>41166</v>
      </c>
      <c r="F484" s="108" t="str">
        <f t="shared" si="39"/>
        <v>2012-13</v>
      </c>
      <c r="H484" s="119"/>
      <c r="I484" s="26"/>
      <c r="J484" s="101">
        <f t="shared" si="36"/>
        <v>0.84443766578674484</v>
      </c>
      <c r="K484" s="37"/>
      <c r="L484" s="26">
        <v>3.3129619677900002</v>
      </c>
      <c r="M484" s="26" t="s">
        <v>204</v>
      </c>
      <c r="N484" s="26">
        <v>771.6404230243902</v>
      </c>
      <c r="O484" s="95">
        <f t="shared" si="37"/>
        <v>2556.4153742891917</v>
      </c>
      <c r="P484" s="97">
        <f t="shared" si="38"/>
        <v>2158.7334314461127</v>
      </c>
      <c r="Q484" s="197">
        <v>1</v>
      </c>
    </row>
    <row r="485" spans="1:17" x14ac:dyDescent="0.25">
      <c r="A485" s="254">
        <v>40575</v>
      </c>
      <c r="B485" s="254" t="s">
        <v>183</v>
      </c>
      <c r="C485" s="210">
        <v>10484068</v>
      </c>
      <c r="D485" s="115" t="s">
        <v>321</v>
      </c>
      <c r="E485" s="34">
        <f t="shared" si="35"/>
        <v>40575</v>
      </c>
      <c r="F485" s="108" t="str">
        <f t="shared" si="39"/>
        <v>2010-11</v>
      </c>
      <c r="H485" s="119"/>
      <c r="I485" s="26"/>
      <c r="J485" s="101">
        <f t="shared" si="36"/>
        <v>0.84443766578674484</v>
      </c>
      <c r="K485" s="37"/>
      <c r="L485" s="26">
        <v>5.3328908670599997</v>
      </c>
      <c r="M485" s="26" t="s">
        <v>204</v>
      </c>
      <c r="N485" s="26">
        <v>771.6404230243902</v>
      </c>
      <c r="O485" s="95">
        <f t="shared" si="37"/>
        <v>4115.0741646010856</v>
      </c>
      <c r="P485" s="97">
        <f t="shared" si="38"/>
        <v>3474.9236220950797</v>
      </c>
      <c r="Q485" s="197">
        <v>1</v>
      </c>
    </row>
    <row r="486" spans="1:17" x14ac:dyDescent="0.25">
      <c r="A486" s="254">
        <v>41166</v>
      </c>
      <c r="B486" s="254" t="s">
        <v>183</v>
      </c>
      <c r="C486" s="210">
        <v>10486047</v>
      </c>
      <c r="D486" s="115" t="s">
        <v>321</v>
      </c>
      <c r="E486" s="34">
        <f t="shared" si="35"/>
        <v>41166</v>
      </c>
      <c r="F486" s="108" t="str">
        <f t="shared" si="39"/>
        <v>2012-13</v>
      </c>
      <c r="H486" s="119"/>
      <c r="I486" s="26"/>
      <c r="J486" s="101">
        <f t="shared" si="36"/>
        <v>0.84443766578674484</v>
      </c>
      <c r="K486" s="37"/>
      <c r="L486" s="26">
        <v>13.924665668799999</v>
      </c>
      <c r="M486" s="26" t="s">
        <v>204</v>
      </c>
      <c r="N486" s="26">
        <v>936.5640883902438</v>
      </c>
      <c r="O486" s="95">
        <f t="shared" si="37"/>
        <v>13041.341808238596</v>
      </c>
      <c r="P486" s="97">
        <f t="shared" si="38"/>
        <v>11012.600235276086</v>
      </c>
      <c r="Q486" s="197">
        <v>1</v>
      </c>
    </row>
    <row r="487" spans="1:17" x14ac:dyDescent="0.25">
      <c r="A487" s="254">
        <v>40673</v>
      </c>
      <c r="B487" s="254" t="s">
        <v>183</v>
      </c>
      <c r="C487" s="210">
        <v>10354324</v>
      </c>
      <c r="D487" s="115" t="s">
        <v>322</v>
      </c>
      <c r="E487" s="34">
        <f t="shared" si="35"/>
        <v>40673</v>
      </c>
      <c r="F487" s="108" t="str">
        <f t="shared" si="39"/>
        <v>2010-11</v>
      </c>
      <c r="H487" s="119"/>
      <c r="I487" s="26"/>
      <c r="J487" s="101">
        <f t="shared" si="36"/>
        <v>0.84443766578674484</v>
      </c>
      <c r="K487" s="37"/>
      <c r="L487" s="26">
        <v>4.7637676977499996</v>
      </c>
      <c r="M487" s="26" t="s">
        <v>204</v>
      </c>
      <c r="N487" s="26">
        <v>1422.8466506341463</v>
      </c>
      <c r="O487" s="95">
        <f t="shared" si="37"/>
        <v>6778.1109131427247</v>
      </c>
      <c r="P487" s="97">
        <f t="shared" si="38"/>
        <v>5723.6921579379041</v>
      </c>
      <c r="Q487" s="197">
        <v>1</v>
      </c>
    </row>
    <row r="488" spans="1:17" x14ac:dyDescent="0.25">
      <c r="A488" s="254">
        <v>40673</v>
      </c>
      <c r="B488" s="254" t="s">
        <v>183</v>
      </c>
      <c r="C488" s="210">
        <v>10354322</v>
      </c>
      <c r="D488" s="115" t="s">
        <v>322</v>
      </c>
      <c r="E488" s="34">
        <f t="shared" si="35"/>
        <v>40673</v>
      </c>
      <c r="F488" s="108" t="str">
        <f t="shared" si="39"/>
        <v>2010-11</v>
      </c>
      <c r="H488" s="119"/>
      <c r="I488" s="26"/>
      <c r="J488" s="101">
        <f t="shared" si="36"/>
        <v>0.84443766578674484</v>
      </c>
      <c r="K488" s="37"/>
      <c r="L488" s="26">
        <v>1.0033753036599999</v>
      </c>
      <c r="M488" s="26" t="s">
        <v>204</v>
      </c>
      <c r="N488" s="26">
        <v>936.5640883902438</v>
      </c>
      <c r="O488" s="95">
        <f t="shared" si="37"/>
        <v>939.72527658561194</v>
      </c>
      <c r="P488" s="97">
        <f t="shared" si="38"/>
        <v>793.53941904075737</v>
      </c>
      <c r="Q488" s="197">
        <v>1</v>
      </c>
    </row>
    <row r="489" spans="1:17" x14ac:dyDescent="0.25">
      <c r="A489" s="254">
        <v>40673</v>
      </c>
      <c r="B489" s="254" t="s">
        <v>183</v>
      </c>
      <c r="C489" s="210">
        <v>10354305</v>
      </c>
      <c r="D489" s="115" t="s">
        <v>322</v>
      </c>
      <c r="E489" s="34">
        <f t="shared" si="35"/>
        <v>40673</v>
      </c>
      <c r="F489" s="108" t="str">
        <f t="shared" si="39"/>
        <v>2010-11</v>
      </c>
      <c r="H489" s="119"/>
      <c r="I489" s="26"/>
      <c r="J489" s="101">
        <f t="shared" si="36"/>
        <v>0.84443766578674484</v>
      </c>
      <c r="K489" s="37"/>
      <c r="L489" s="26">
        <v>1.0387112207</v>
      </c>
      <c r="M489" s="26" t="s">
        <v>204</v>
      </c>
      <c r="N489" s="26">
        <v>1422.8466506341463</v>
      </c>
      <c r="O489" s="95">
        <f t="shared" si="37"/>
        <v>1477.9267813491006</v>
      </c>
      <c r="P489" s="97">
        <f t="shared" si="38"/>
        <v>1248.0170414461513</v>
      </c>
      <c r="Q489" s="197">
        <v>1</v>
      </c>
    </row>
    <row r="490" spans="1:17" x14ac:dyDescent="0.25">
      <c r="A490" s="254">
        <v>40673</v>
      </c>
      <c r="B490" s="254" t="s">
        <v>183</v>
      </c>
      <c r="C490" s="210">
        <v>10354319</v>
      </c>
      <c r="D490" s="115" t="s">
        <v>322</v>
      </c>
      <c r="E490" s="34">
        <f t="shared" si="35"/>
        <v>40673</v>
      </c>
      <c r="F490" s="108" t="str">
        <f t="shared" si="39"/>
        <v>2010-11</v>
      </c>
      <c r="H490" s="119"/>
      <c r="I490" s="26"/>
      <c r="J490" s="101">
        <f t="shared" si="36"/>
        <v>0.84443766578674484</v>
      </c>
      <c r="K490" s="37"/>
      <c r="L490" s="26">
        <v>0.99618873713800005</v>
      </c>
      <c r="M490" s="26" t="s">
        <v>204</v>
      </c>
      <c r="N490" s="26">
        <v>936.5640883902438</v>
      </c>
      <c r="O490" s="95">
        <f t="shared" si="37"/>
        <v>932.99459646227922</v>
      </c>
      <c r="P490" s="97">
        <f t="shared" si="38"/>
        <v>787.85577922825303</v>
      </c>
      <c r="Q490" s="197">
        <v>1</v>
      </c>
    </row>
    <row r="491" spans="1:17" x14ac:dyDescent="0.25">
      <c r="A491" s="254">
        <v>40022</v>
      </c>
      <c r="B491" s="254" t="s">
        <v>183</v>
      </c>
      <c r="C491" s="210">
        <v>9382965</v>
      </c>
      <c r="D491" s="115" t="s">
        <v>322</v>
      </c>
      <c r="E491" s="34">
        <f t="shared" si="35"/>
        <v>40022</v>
      </c>
      <c r="F491" s="108" t="str">
        <f t="shared" si="39"/>
        <v>2009-10</v>
      </c>
      <c r="H491" s="119"/>
      <c r="I491" s="26"/>
      <c r="J491" s="101">
        <f t="shared" si="36"/>
        <v>0.84443766578674484</v>
      </c>
      <c r="K491" s="37"/>
      <c r="L491" s="26">
        <v>267.95136667700001</v>
      </c>
      <c r="M491" s="26" t="s">
        <v>204</v>
      </c>
      <c r="N491" s="26">
        <v>771.6404230243902</v>
      </c>
      <c r="O491" s="95">
        <f t="shared" si="37"/>
        <v>206762.10593260379</v>
      </c>
      <c r="P491" s="97">
        <f t="shared" si="38"/>
        <v>174597.71010687962</v>
      </c>
      <c r="Q491" s="197">
        <v>1</v>
      </c>
    </row>
    <row r="492" spans="1:17" x14ac:dyDescent="0.25">
      <c r="A492" s="254">
        <v>40022</v>
      </c>
      <c r="B492" s="254" t="s">
        <v>183</v>
      </c>
      <c r="C492" s="210">
        <v>9382981</v>
      </c>
      <c r="D492" s="115" t="s">
        <v>322</v>
      </c>
      <c r="E492" s="34">
        <f t="shared" si="35"/>
        <v>40022</v>
      </c>
      <c r="F492" s="108" t="str">
        <f t="shared" si="39"/>
        <v>2009-10</v>
      </c>
      <c r="H492" s="119"/>
      <c r="I492" s="26"/>
      <c r="J492" s="101">
        <f t="shared" si="36"/>
        <v>0.84443766578674484</v>
      </c>
      <c r="K492" s="37"/>
      <c r="L492" s="26">
        <v>94.893900955600003</v>
      </c>
      <c r="M492" s="26" t="s">
        <v>204</v>
      </c>
      <c r="N492" s="26">
        <v>771.6404230243902</v>
      </c>
      <c r="O492" s="95">
        <f t="shared" si="37"/>
        <v>73223.969875813767</v>
      </c>
      <c r="P492" s="97">
        <f t="shared" si="38"/>
        <v>61833.078201571101</v>
      </c>
      <c r="Q492" s="197">
        <v>1</v>
      </c>
    </row>
    <row r="493" spans="1:17" x14ac:dyDescent="0.25">
      <c r="A493" s="254">
        <v>40022</v>
      </c>
      <c r="B493" s="254" t="s">
        <v>183</v>
      </c>
      <c r="C493" s="210">
        <v>9382989</v>
      </c>
      <c r="D493" s="115" t="s">
        <v>322</v>
      </c>
      <c r="E493" s="34">
        <f t="shared" si="35"/>
        <v>40022</v>
      </c>
      <c r="F493" s="108" t="str">
        <f t="shared" si="39"/>
        <v>2009-10</v>
      </c>
      <c r="H493" s="119"/>
      <c r="I493" s="26"/>
      <c r="J493" s="101">
        <f t="shared" si="36"/>
        <v>0.84443766578674484</v>
      </c>
      <c r="K493" s="37"/>
      <c r="L493" s="26">
        <v>6.8325091792499997</v>
      </c>
      <c r="M493" s="26" t="s">
        <v>204</v>
      </c>
      <c r="N493" s="26">
        <v>936.5640883902438</v>
      </c>
      <c r="O493" s="95">
        <f t="shared" si="37"/>
        <v>6399.0827308822491</v>
      </c>
      <c r="P493" s="97">
        <f t="shared" si="38"/>
        <v>5403.626484442475</v>
      </c>
      <c r="Q493" s="197">
        <v>1</v>
      </c>
    </row>
    <row r="494" spans="1:17" x14ac:dyDescent="0.25">
      <c r="A494" s="254">
        <v>40022</v>
      </c>
      <c r="B494" s="254" t="s">
        <v>183</v>
      </c>
      <c r="C494" s="210">
        <v>9275331</v>
      </c>
      <c r="D494" s="115" t="s">
        <v>322</v>
      </c>
      <c r="E494" s="34">
        <f t="shared" si="35"/>
        <v>40022</v>
      </c>
      <c r="F494" s="108" t="str">
        <f t="shared" si="39"/>
        <v>2009-10</v>
      </c>
      <c r="H494" s="119"/>
      <c r="I494" s="26"/>
      <c r="J494" s="101">
        <f t="shared" si="36"/>
        <v>0.84443766578674484</v>
      </c>
      <c r="K494" s="37"/>
      <c r="L494" s="26">
        <v>9.25682347417</v>
      </c>
      <c r="M494" s="26" t="s">
        <v>204</v>
      </c>
      <c r="N494" s="26">
        <v>936.5640883902438</v>
      </c>
      <c r="O494" s="95">
        <f t="shared" si="37"/>
        <v>8669.6084384754358</v>
      </c>
      <c r="P494" s="97">
        <f t="shared" si="38"/>
        <v>7320.9439130712626</v>
      </c>
      <c r="Q494" s="197">
        <v>1</v>
      </c>
    </row>
    <row r="495" spans="1:17" x14ac:dyDescent="0.25">
      <c r="A495" s="254">
        <v>40578</v>
      </c>
      <c r="B495" s="254" t="s">
        <v>183</v>
      </c>
      <c r="C495" s="210">
        <v>10301222</v>
      </c>
      <c r="D495" s="115" t="s">
        <v>323</v>
      </c>
      <c r="E495" s="34">
        <f t="shared" si="35"/>
        <v>40578</v>
      </c>
      <c r="F495" s="108" t="str">
        <f t="shared" si="39"/>
        <v>2010-11</v>
      </c>
      <c r="H495" s="119"/>
      <c r="I495" s="26"/>
      <c r="J495" s="101">
        <f t="shared" si="36"/>
        <v>0.84443766578674484</v>
      </c>
      <c r="K495" s="37"/>
      <c r="L495" s="26">
        <v>0.99967444700800001</v>
      </c>
      <c r="M495" s="26" t="s">
        <v>204</v>
      </c>
      <c r="N495" s="26">
        <v>771.6404230243902</v>
      </c>
      <c r="O495" s="95">
        <f t="shared" si="37"/>
        <v>771.38921317592644</v>
      </c>
      <c r="P495" s="97">
        <f t="shared" si="38"/>
        <v>651.39010658735299</v>
      </c>
      <c r="Q495" s="197">
        <v>1</v>
      </c>
    </row>
    <row r="496" spans="1:17" x14ac:dyDescent="0.25">
      <c r="A496" s="254">
        <v>40578</v>
      </c>
      <c r="B496" s="254" t="s">
        <v>183</v>
      </c>
      <c r="C496" s="210">
        <v>10301233</v>
      </c>
      <c r="D496" s="115" t="s">
        <v>323</v>
      </c>
      <c r="E496" s="34">
        <f t="shared" si="35"/>
        <v>40578</v>
      </c>
      <c r="F496" s="108" t="str">
        <f t="shared" si="39"/>
        <v>2010-11</v>
      </c>
      <c r="H496" s="119"/>
      <c r="I496" s="26"/>
      <c r="J496" s="101">
        <f t="shared" si="36"/>
        <v>0.84443766578674484</v>
      </c>
      <c r="K496" s="37"/>
      <c r="L496" s="26">
        <v>0.99967444700800001</v>
      </c>
      <c r="M496" s="26" t="s">
        <v>204</v>
      </c>
      <c r="N496" s="26">
        <v>771.6404230243902</v>
      </c>
      <c r="O496" s="95">
        <f t="shared" si="37"/>
        <v>771.38921317592644</v>
      </c>
      <c r="P496" s="97">
        <f t="shared" si="38"/>
        <v>651.39010658735299</v>
      </c>
      <c r="Q496" s="197">
        <v>1</v>
      </c>
    </row>
    <row r="497" spans="1:17" x14ac:dyDescent="0.25">
      <c r="A497" s="254">
        <v>39708</v>
      </c>
      <c r="B497" s="254" t="s">
        <v>183</v>
      </c>
      <c r="C497" s="210">
        <v>9363712</v>
      </c>
      <c r="D497" s="115" t="s">
        <v>324</v>
      </c>
      <c r="E497" s="34">
        <f t="shared" si="35"/>
        <v>39708</v>
      </c>
      <c r="F497" s="108" t="str">
        <f t="shared" si="39"/>
        <v>2008-09</v>
      </c>
      <c r="H497" s="119"/>
      <c r="I497" s="26"/>
      <c r="J497" s="101">
        <f t="shared" si="36"/>
        <v>0.84443766578674484</v>
      </c>
      <c r="K497" s="37"/>
      <c r="L497" s="26">
        <v>1.9988021412800001</v>
      </c>
      <c r="M497" s="26" t="s">
        <v>204</v>
      </c>
      <c r="N497" s="26">
        <v>696.6467060487804</v>
      </c>
      <c r="O497" s="95">
        <f t="shared" si="37"/>
        <v>1392.4589277659611</v>
      </c>
      <c r="P497" s="97">
        <f t="shared" si="38"/>
        <v>1175.8447666666018</v>
      </c>
      <c r="Q497" s="197">
        <v>1</v>
      </c>
    </row>
    <row r="498" spans="1:17" x14ac:dyDescent="0.25">
      <c r="A498" s="254">
        <v>39708</v>
      </c>
      <c r="B498" s="254" t="s">
        <v>183</v>
      </c>
      <c r="C498" s="210">
        <v>9363714</v>
      </c>
      <c r="D498" s="115" t="s">
        <v>324</v>
      </c>
      <c r="E498" s="34">
        <f t="shared" si="35"/>
        <v>39708</v>
      </c>
      <c r="F498" s="108" t="str">
        <f t="shared" si="39"/>
        <v>2008-09</v>
      </c>
      <c r="H498" s="119"/>
      <c r="I498" s="26"/>
      <c r="J498" s="101">
        <f t="shared" si="36"/>
        <v>0.84443766578674484</v>
      </c>
      <c r="K498" s="37"/>
      <c r="L498" s="26">
        <v>5.9968760200600002</v>
      </c>
      <c r="M498" s="26" t="s">
        <v>204</v>
      </c>
      <c r="N498" s="26">
        <v>696.6467060487804</v>
      </c>
      <c r="O498" s="95">
        <f t="shared" si="37"/>
        <v>4177.7039259577186</v>
      </c>
      <c r="P498" s="97">
        <f t="shared" si="38"/>
        <v>3527.8105515838556</v>
      </c>
      <c r="Q498" s="197">
        <v>1</v>
      </c>
    </row>
    <row r="499" spans="1:17" x14ac:dyDescent="0.25">
      <c r="A499" s="254">
        <v>39708</v>
      </c>
      <c r="B499" s="254" t="s">
        <v>183</v>
      </c>
      <c r="C499" s="210">
        <v>9363751</v>
      </c>
      <c r="D499" s="115" t="s">
        <v>324</v>
      </c>
      <c r="E499" s="34">
        <f t="shared" si="35"/>
        <v>39708</v>
      </c>
      <c r="F499" s="108" t="str">
        <f t="shared" si="39"/>
        <v>2008-09</v>
      </c>
      <c r="H499" s="119"/>
      <c r="I499" s="26"/>
      <c r="J499" s="101">
        <f t="shared" si="36"/>
        <v>0.84443766578674484</v>
      </c>
      <c r="K499" s="37"/>
      <c r="L499" s="26">
        <v>0.99924971853900002</v>
      </c>
      <c r="M499" s="26" t="s">
        <v>204</v>
      </c>
      <c r="N499" s="26">
        <v>696.6467060487804</v>
      </c>
      <c r="O499" s="95">
        <f t="shared" si="37"/>
        <v>696.1240249403653</v>
      </c>
      <c r="P499" s="97">
        <f t="shared" si="38"/>
        <v>587.8333467187158</v>
      </c>
      <c r="Q499" s="197">
        <v>1</v>
      </c>
    </row>
    <row r="500" spans="1:17" x14ac:dyDescent="0.25">
      <c r="A500" s="254">
        <v>39266</v>
      </c>
      <c r="B500" s="254" t="s">
        <v>183</v>
      </c>
      <c r="C500" s="210">
        <v>9301711</v>
      </c>
      <c r="D500" s="115" t="s">
        <v>325</v>
      </c>
      <c r="E500" s="34">
        <f t="shared" si="35"/>
        <v>39266</v>
      </c>
      <c r="F500" s="108" t="str">
        <f t="shared" si="39"/>
        <v>2007-08</v>
      </c>
      <c r="H500" s="119"/>
      <c r="I500" s="26"/>
      <c r="J500" s="101">
        <f t="shared" si="36"/>
        <v>0.84443766578674484</v>
      </c>
      <c r="K500" s="37"/>
      <c r="L500" s="26">
        <v>237.22304747499999</v>
      </c>
      <c r="M500" s="26" t="s">
        <v>204</v>
      </c>
      <c r="N500" s="26">
        <v>1512.3336585365851</v>
      </c>
      <c r="O500" s="95">
        <f t="shared" si="37"/>
        <v>358760.39927706472</v>
      </c>
      <c r="P500" s="97">
        <f t="shared" si="38"/>
        <v>69937.839024814442</v>
      </c>
      <c r="Q500" s="197">
        <v>0.23085544047782355</v>
      </c>
    </row>
    <row r="501" spans="1:17" x14ac:dyDescent="0.25">
      <c r="A501" s="254">
        <v>39266</v>
      </c>
      <c r="B501" s="254" t="s">
        <v>183</v>
      </c>
      <c r="C501" s="210">
        <v>9301713</v>
      </c>
      <c r="D501" s="115" t="s">
        <v>325</v>
      </c>
      <c r="E501" s="34">
        <f t="shared" si="35"/>
        <v>39266</v>
      </c>
      <c r="F501" s="108" t="str">
        <f t="shared" si="39"/>
        <v>2007-08</v>
      </c>
      <c r="H501" s="119"/>
      <c r="I501" s="26"/>
      <c r="J501" s="101">
        <f t="shared" si="36"/>
        <v>0.84443766578674484</v>
      </c>
      <c r="K501" s="37"/>
      <c r="L501" s="26">
        <v>0.99958791509300005</v>
      </c>
      <c r="M501" s="26" t="s">
        <v>204</v>
      </c>
      <c r="N501" s="26">
        <v>1422.8466506341463</v>
      </c>
      <c r="O501" s="95">
        <f t="shared" si="37"/>
        <v>1422.2603170044445</v>
      </c>
      <c r="P501" s="97">
        <f t="shared" si="38"/>
        <v>277.25973463760005</v>
      </c>
      <c r="Q501" s="197">
        <v>0.23085544047782355</v>
      </c>
    </row>
    <row r="502" spans="1:17" x14ac:dyDescent="0.25">
      <c r="A502" s="254">
        <v>39266</v>
      </c>
      <c r="B502" s="254" t="s">
        <v>183</v>
      </c>
      <c r="C502" s="210">
        <v>9301696</v>
      </c>
      <c r="D502" s="115" t="s">
        <v>325</v>
      </c>
      <c r="E502" s="34">
        <f t="shared" si="35"/>
        <v>39266</v>
      </c>
      <c r="F502" s="108" t="str">
        <f t="shared" si="39"/>
        <v>2007-08</v>
      </c>
      <c r="H502" s="119"/>
      <c r="I502" s="26"/>
      <c r="J502" s="101">
        <f t="shared" si="36"/>
        <v>0.84443766578674484</v>
      </c>
      <c r="K502" s="37"/>
      <c r="L502" s="26">
        <v>0.99880428513300001</v>
      </c>
      <c r="M502" s="26" t="s">
        <v>204</v>
      </c>
      <c r="N502" s="26">
        <v>1422.8466506341463</v>
      </c>
      <c r="O502" s="95">
        <f t="shared" si="37"/>
        <v>1421.1453317405219</v>
      </c>
      <c r="P502" s="97">
        <f t="shared" si="38"/>
        <v>277.04237603263584</v>
      </c>
      <c r="Q502" s="197">
        <v>0.23085544047782355</v>
      </c>
    </row>
    <row r="503" spans="1:17" x14ac:dyDescent="0.25">
      <c r="A503" s="254">
        <v>40269</v>
      </c>
      <c r="B503" s="254" t="s">
        <v>183</v>
      </c>
      <c r="C503" s="210">
        <v>9427844</v>
      </c>
      <c r="D503" s="115" t="s">
        <v>326</v>
      </c>
      <c r="E503" s="34">
        <f t="shared" si="35"/>
        <v>40269</v>
      </c>
      <c r="F503" s="108" t="str">
        <f t="shared" si="39"/>
        <v>2009-10</v>
      </c>
      <c r="H503" s="119"/>
      <c r="I503" s="26"/>
      <c r="J503" s="101">
        <f t="shared" si="36"/>
        <v>0.84443766578674484</v>
      </c>
      <c r="K503" s="37"/>
      <c r="L503" s="26">
        <v>3.9967892113499999</v>
      </c>
      <c r="M503" s="26" t="s">
        <v>204</v>
      </c>
      <c r="N503" s="26">
        <v>1272.2331707317071</v>
      </c>
      <c r="O503" s="95">
        <f t="shared" si="37"/>
        <v>5084.8478111020895</v>
      </c>
      <c r="P503" s="97">
        <f t="shared" si="38"/>
        <v>4293.837016487887</v>
      </c>
      <c r="Q503" s="197">
        <v>1</v>
      </c>
    </row>
    <row r="504" spans="1:17" x14ac:dyDescent="0.25">
      <c r="A504" s="254">
        <v>40298</v>
      </c>
      <c r="B504" s="254" t="s">
        <v>183</v>
      </c>
      <c r="C504" s="210">
        <v>9471766</v>
      </c>
      <c r="D504" s="115" t="s">
        <v>327</v>
      </c>
      <c r="E504" s="34">
        <f t="shared" si="35"/>
        <v>40298</v>
      </c>
      <c r="F504" s="108" t="str">
        <f t="shared" si="39"/>
        <v>2009-10</v>
      </c>
      <c r="H504" s="119"/>
      <c r="I504" s="26"/>
      <c r="J504" s="101">
        <f t="shared" si="36"/>
        <v>0.84443766578674484</v>
      </c>
      <c r="K504" s="37"/>
      <c r="L504" s="26">
        <v>331.86196516699999</v>
      </c>
      <c r="M504" s="26" t="s">
        <v>204</v>
      </c>
      <c r="N504" s="26">
        <v>771.6404230243902</v>
      </c>
      <c r="O504" s="95">
        <f t="shared" si="37"/>
        <v>256078.10718716931</v>
      </c>
      <c r="P504" s="97">
        <f t="shared" si="38"/>
        <v>216241.99909222111</v>
      </c>
      <c r="Q504" s="197">
        <v>1</v>
      </c>
    </row>
    <row r="505" spans="1:17" x14ac:dyDescent="0.25">
      <c r="A505" s="254">
        <v>40298</v>
      </c>
      <c r="B505" s="254" t="s">
        <v>183</v>
      </c>
      <c r="C505" s="210">
        <v>9471753</v>
      </c>
      <c r="D505" s="115" t="s">
        <v>327</v>
      </c>
      <c r="E505" s="34">
        <f t="shared" si="35"/>
        <v>40298</v>
      </c>
      <c r="F505" s="108" t="str">
        <f t="shared" si="39"/>
        <v>2009-10</v>
      </c>
      <c r="H505" s="119"/>
      <c r="I505" s="26"/>
      <c r="J505" s="101">
        <f t="shared" si="36"/>
        <v>0.84443766578674484</v>
      </c>
      <c r="K505" s="37"/>
      <c r="L505" s="26">
        <v>14.186597195899999</v>
      </c>
      <c r="M505" s="26" t="s">
        <v>204</v>
      </c>
      <c r="N505" s="26">
        <v>771.6404230243902</v>
      </c>
      <c r="O505" s="95">
        <f t="shared" si="37"/>
        <v>10946.951861520904</v>
      </c>
      <c r="P505" s="97">
        <f t="shared" si="38"/>
        <v>9244.0184774225727</v>
      </c>
      <c r="Q505" s="197">
        <v>1</v>
      </c>
    </row>
    <row r="506" spans="1:17" x14ac:dyDescent="0.25">
      <c r="A506" s="254">
        <v>40298</v>
      </c>
      <c r="B506" s="254" t="s">
        <v>183</v>
      </c>
      <c r="C506" s="210">
        <v>9471752</v>
      </c>
      <c r="D506" s="115" t="s">
        <v>327</v>
      </c>
      <c r="E506" s="34">
        <f t="shared" si="35"/>
        <v>40298</v>
      </c>
      <c r="F506" s="108" t="str">
        <f t="shared" si="39"/>
        <v>2009-10</v>
      </c>
      <c r="H506" s="119"/>
      <c r="I506" s="26"/>
      <c r="J506" s="101">
        <f t="shared" si="36"/>
        <v>0.84443766578674484</v>
      </c>
      <c r="K506" s="37"/>
      <c r="L506" s="26">
        <v>143.94963517900001</v>
      </c>
      <c r="M506" s="26" t="s">
        <v>204</v>
      </c>
      <c r="N506" s="26">
        <v>771.6404230243902</v>
      </c>
      <c r="O506" s="95">
        <f t="shared" si="37"/>
        <v>111077.35738373021</v>
      </c>
      <c r="P506" s="97">
        <f t="shared" si="38"/>
        <v>93797.904390877186</v>
      </c>
      <c r="Q506" s="197">
        <v>1</v>
      </c>
    </row>
    <row r="507" spans="1:17" x14ac:dyDescent="0.25">
      <c r="A507" s="254">
        <v>40298</v>
      </c>
      <c r="B507" s="254" t="s">
        <v>183</v>
      </c>
      <c r="C507" s="210">
        <v>10233911</v>
      </c>
      <c r="D507" s="115" t="s">
        <v>327</v>
      </c>
      <c r="E507" s="34">
        <f t="shared" si="35"/>
        <v>40298</v>
      </c>
      <c r="F507" s="108" t="str">
        <f t="shared" si="39"/>
        <v>2009-10</v>
      </c>
      <c r="H507" s="119"/>
      <c r="I507" s="26"/>
      <c r="J507" s="101">
        <f t="shared" si="36"/>
        <v>0.84443766578674484</v>
      </c>
      <c r="K507" s="37"/>
      <c r="L507" s="26">
        <v>2.5697678025499999</v>
      </c>
      <c r="M507" s="26" t="s">
        <v>204</v>
      </c>
      <c r="N507" s="26">
        <v>771.6404230243902</v>
      </c>
      <c r="O507" s="95">
        <f t="shared" si="37"/>
        <v>1982.9367142341396</v>
      </c>
      <c r="P507" s="97">
        <f t="shared" si="38"/>
        <v>1674.4664503707143</v>
      </c>
      <c r="Q507" s="197">
        <v>1</v>
      </c>
    </row>
    <row r="508" spans="1:17" x14ac:dyDescent="0.25">
      <c r="A508" s="254">
        <v>40298</v>
      </c>
      <c r="B508" s="254" t="s">
        <v>183</v>
      </c>
      <c r="C508" s="210">
        <v>10233912</v>
      </c>
      <c r="D508" s="115" t="s">
        <v>327</v>
      </c>
      <c r="E508" s="34">
        <f t="shared" si="35"/>
        <v>40298</v>
      </c>
      <c r="F508" s="108" t="str">
        <f t="shared" si="39"/>
        <v>2009-10</v>
      </c>
      <c r="H508" s="119"/>
      <c r="I508" s="26"/>
      <c r="J508" s="101">
        <f t="shared" si="36"/>
        <v>0.84443766578674484</v>
      </c>
      <c r="K508" s="37"/>
      <c r="L508" s="26">
        <v>5.6304575481299999</v>
      </c>
      <c r="M508" s="26" t="s">
        <v>204</v>
      </c>
      <c r="N508" s="26">
        <v>771.6404230243902</v>
      </c>
      <c r="O508" s="95">
        <f t="shared" si="37"/>
        <v>4344.6886442599043</v>
      </c>
      <c r="P508" s="97">
        <f t="shared" si="38"/>
        <v>3668.8187373290107</v>
      </c>
      <c r="Q508" s="197">
        <v>1</v>
      </c>
    </row>
    <row r="509" spans="1:17" x14ac:dyDescent="0.25">
      <c r="A509" s="254">
        <v>40298</v>
      </c>
      <c r="B509" s="254" t="s">
        <v>183</v>
      </c>
      <c r="C509" s="210">
        <v>9189658</v>
      </c>
      <c r="D509" s="115" t="s">
        <v>327</v>
      </c>
      <c r="E509" s="34">
        <f t="shared" si="35"/>
        <v>40298</v>
      </c>
      <c r="F509" s="108" t="str">
        <f t="shared" si="39"/>
        <v>2009-10</v>
      </c>
      <c r="H509" s="119"/>
      <c r="I509" s="26"/>
      <c r="J509" s="101">
        <f t="shared" si="36"/>
        <v>0.84443766578674484</v>
      </c>
      <c r="K509" s="37"/>
      <c r="L509" s="26">
        <v>149.585964789</v>
      </c>
      <c r="M509" s="26" t="s">
        <v>204</v>
      </c>
      <c r="N509" s="26">
        <v>771.6404230243902</v>
      </c>
      <c r="O509" s="95">
        <f t="shared" si="37"/>
        <v>115426.5771482955</v>
      </c>
      <c r="P509" s="97">
        <f t="shared" si="38"/>
        <v>97470.549376860276</v>
      </c>
      <c r="Q509" s="197">
        <v>1</v>
      </c>
    </row>
    <row r="510" spans="1:17" x14ac:dyDescent="0.25">
      <c r="A510" s="254">
        <v>41596</v>
      </c>
      <c r="B510" s="254" t="s">
        <v>183</v>
      </c>
      <c r="C510" s="210">
        <v>10767955</v>
      </c>
      <c r="D510" s="115" t="s">
        <v>327</v>
      </c>
      <c r="E510" s="34">
        <f t="shared" si="35"/>
        <v>41596</v>
      </c>
      <c r="F510" s="108" t="str">
        <f t="shared" si="39"/>
        <v>2013-14</v>
      </c>
      <c r="H510" s="119"/>
      <c r="I510" s="26"/>
      <c r="J510" s="101">
        <f t="shared" si="36"/>
        <v>0.84443766578674484</v>
      </c>
      <c r="K510" s="37"/>
      <c r="L510" s="26">
        <v>14.424024473099999</v>
      </c>
      <c r="M510" s="26" t="s">
        <v>204</v>
      </c>
      <c r="N510" s="26">
        <v>696.6467060487804</v>
      </c>
      <c r="O510" s="95">
        <f t="shared" si="37"/>
        <v>10048.449137152111</v>
      </c>
      <c r="P510" s="97">
        <f t="shared" si="38"/>
        <v>8485.2889341535592</v>
      </c>
      <c r="Q510" s="197">
        <v>1</v>
      </c>
    </row>
    <row r="511" spans="1:17" x14ac:dyDescent="0.25">
      <c r="A511" s="254">
        <v>41596</v>
      </c>
      <c r="B511" s="254" t="s">
        <v>183</v>
      </c>
      <c r="C511" s="210">
        <v>10767944</v>
      </c>
      <c r="D511" s="115" t="s">
        <v>327</v>
      </c>
      <c r="E511" s="34">
        <f t="shared" si="35"/>
        <v>41596</v>
      </c>
      <c r="F511" s="108" t="str">
        <f t="shared" si="39"/>
        <v>2013-14</v>
      </c>
      <c r="H511" s="119"/>
      <c r="I511" s="26"/>
      <c r="J511" s="101">
        <f t="shared" si="36"/>
        <v>0.84443766578674484</v>
      </c>
      <c r="K511" s="37"/>
      <c r="L511" s="26">
        <v>20.507906981000001</v>
      </c>
      <c r="M511" s="26" t="s">
        <v>204</v>
      </c>
      <c r="N511" s="26">
        <v>696.6467060487804</v>
      </c>
      <c r="O511" s="95">
        <f t="shared" si="37"/>
        <v>14286.765846268439</v>
      </c>
      <c r="P511" s="97">
        <f t="shared" si="38"/>
        <v>12064.28320286471</v>
      </c>
      <c r="Q511" s="197">
        <v>1</v>
      </c>
    </row>
    <row r="512" spans="1:17" x14ac:dyDescent="0.25">
      <c r="A512" s="254">
        <v>41596</v>
      </c>
      <c r="B512" s="254" t="s">
        <v>183</v>
      </c>
      <c r="C512" s="210">
        <v>10767937</v>
      </c>
      <c r="D512" s="115" t="s">
        <v>327</v>
      </c>
      <c r="E512" s="34">
        <f t="shared" si="35"/>
        <v>41596</v>
      </c>
      <c r="F512" s="108" t="str">
        <f t="shared" si="39"/>
        <v>2013-14</v>
      </c>
      <c r="H512" s="119"/>
      <c r="I512" s="26"/>
      <c r="J512" s="101">
        <f t="shared" si="36"/>
        <v>0.84443766578674484</v>
      </c>
      <c r="K512" s="37"/>
      <c r="L512" s="26">
        <v>4.4208403336400002</v>
      </c>
      <c r="M512" s="26" t="s">
        <v>204</v>
      </c>
      <c r="N512" s="26">
        <v>696.6467060487804</v>
      </c>
      <c r="O512" s="95">
        <f t="shared" si="37"/>
        <v>3079.7638563978976</v>
      </c>
      <c r="P512" s="97">
        <f t="shared" si="38"/>
        <v>2600.6686020710245</v>
      </c>
      <c r="Q512" s="197">
        <v>1</v>
      </c>
    </row>
    <row r="513" spans="1:17" x14ac:dyDescent="0.25">
      <c r="A513" s="254">
        <v>41596</v>
      </c>
      <c r="B513" s="254" t="s">
        <v>183</v>
      </c>
      <c r="C513" s="210">
        <v>10767958</v>
      </c>
      <c r="D513" s="115" t="s">
        <v>327</v>
      </c>
      <c r="E513" s="34">
        <f t="shared" si="35"/>
        <v>41596</v>
      </c>
      <c r="F513" s="108" t="str">
        <f t="shared" si="39"/>
        <v>2013-14</v>
      </c>
      <c r="H513" s="119"/>
      <c r="I513" s="26"/>
      <c r="J513" s="101">
        <f t="shared" si="36"/>
        <v>0.84443766578674484</v>
      </c>
      <c r="K513" s="37"/>
      <c r="L513" s="26">
        <v>1.49934952563</v>
      </c>
      <c r="M513" s="26" t="s">
        <v>204</v>
      </c>
      <c r="N513" s="26">
        <v>696.6467060487804</v>
      </c>
      <c r="O513" s="95">
        <f t="shared" si="37"/>
        <v>1044.5169082459411</v>
      </c>
      <c r="P513" s="97">
        <f t="shared" si="38"/>
        <v>882.02941987399004</v>
      </c>
      <c r="Q513" s="197">
        <v>1</v>
      </c>
    </row>
    <row r="514" spans="1:17" x14ac:dyDescent="0.25">
      <c r="A514" s="254">
        <v>39948</v>
      </c>
      <c r="B514" s="254" t="s">
        <v>183</v>
      </c>
      <c r="C514" s="210">
        <v>10299189</v>
      </c>
      <c r="D514" s="115" t="s">
        <v>328</v>
      </c>
      <c r="E514" s="34">
        <f t="shared" si="35"/>
        <v>39948</v>
      </c>
      <c r="F514" s="108" t="str">
        <f t="shared" si="39"/>
        <v>2008-09</v>
      </c>
      <c r="H514" s="119"/>
      <c r="I514" s="26"/>
      <c r="J514" s="101">
        <f t="shared" si="36"/>
        <v>0.84443766578674484</v>
      </c>
      <c r="K514" s="37"/>
      <c r="L514" s="26">
        <v>12.0499424969</v>
      </c>
      <c r="M514" s="26" t="s">
        <v>204</v>
      </c>
      <c r="N514" s="26">
        <v>936.5640883902438</v>
      </c>
      <c r="O514" s="95">
        <f t="shared" si="37"/>
        <v>11285.543409764006</v>
      </c>
      <c r="P514" s="97">
        <f t="shared" si="38"/>
        <v>9529.9379340760988</v>
      </c>
      <c r="Q514" s="197">
        <v>1</v>
      </c>
    </row>
    <row r="515" spans="1:17" x14ac:dyDescent="0.25">
      <c r="A515" s="254">
        <v>39948</v>
      </c>
      <c r="B515" s="254" t="s">
        <v>183</v>
      </c>
      <c r="C515" s="210">
        <v>10299160</v>
      </c>
      <c r="D515" s="115" t="s">
        <v>328</v>
      </c>
      <c r="E515" s="34">
        <f t="shared" si="35"/>
        <v>39948</v>
      </c>
      <c r="F515" s="108" t="str">
        <f t="shared" si="39"/>
        <v>2008-09</v>
      </c>
      <c r="H515" s="119"/>
      <c r="I515" s="26"/>
      <c r="J515" s="101">
        <f t="shared" si="36"/>
        <v>0.84443766578674484</v>
      </c>
      <c r="K515" s="37"/>
      <c r="L515" s="26">
        <v>5.8550125257600003</v>
      </c>
      <c r="M515" s="26" t="s">
        <v>204</v>
      </c>
      <c r="N515" s="26">
        <v>771.6404230243902</v>
      </c>
      <c r="O515" s="95">
        <f t="shared" si="37"/>
        <v>4517.9643421905503</v>
      </c>
      <c r="P515" s="97">
        <f t="shared" si="38"/>
        <v>3815.1392632271345</v>
      </c>
      <c r="Q515" s="197">
        <v>1</v>
      </c>
    </row>
    <row r="516" spans="1:17" x14ac:dyDescent="0.25">
      <c r="A516" s="254">
        <v>39948</v>
      </c>
      <c r="B516" s="254" t="s">
        <v>183</v>
      </c>
      <c r="C516" s="210">
        <v>10299185</v>
      </c>
      <c r="D516" s="115" t="s">
        <v>328</v>
      </c>
      <c r="E516" s="34">
        <f t="shared" si="35"/>
        <v>39948</v>
      </c>
      <c r="F516" s="108" t="str">
        <f t="shared" si="39"/>
        <v>2008-09</v>
      </c>
      <c r="H516" s="119"/>
      <c r="I516" s="26"/>
      <c r="J516" s="101">
        <f t="shared" si="36"/>
        <v>0.84443766578674484</v>
      </c>
      <c r="K516" s="37"/>
      <c r="L516" s="26">
        <v>1.4993401882199999</v>
      </c>
      <c r="M516" s="26" t="s">
        <v>204</v>
      </c>
      <c r="N516" s="26">
        <v>771.6404230243902</v>
      </c>
      <c r="O516" s="95">
        <f t="shared" si="37"/>
        <v>1156.9514970955495</v>
      </c>
      <c r="P516" s="97">
        <f t="shared" si="38"/>
        <v>976.97342163584574</v>
      </c>
      <c r="Q516" s="197">
        <v>1</v>
      </c>
    </row>
    <row r="517" spans="1:17" x14ac:dyDescent="0.25">
      <c r="A517" s="254">
        <v>39948</v>
      </c>
      <c r="B517" s="254" t="s">
        <v>183</v>
      </c>
      <c r="C517" s="210">
        <v>10299094</v>
      </c>
      <c r="D517" s="115" t="s">
        <v>328</v>
      </c>
      <c r="E517" s="34">
        <f t="shared" si="35"/>
        <v>39948</v>
      </c>
      <c r="F517" s="108" t="str">
        <f t="shared" si="39"/>
        <v>2008-09</v>
      </c>
      <c r="H517" s="119"/>
      <c r="I517" s="26"/>
      <c r="J517" s="101">
        <f t="shared" si="36"/>
        <v>0.84443766578674484</v>
      </c>
      <c r="K517" s="37"/>
      <c r="L517" s="26">
        <v>10.3532911397</v>
      </c>
      <c r="M517" s="26" t="s">
        <v>204</v>
      </c>
      <c r="N517" s="26">
        <v>771.6404230243902</v>
      </c>
      <c r="O517" s="95">
        <f t="shared" si="37"/>
        <v>7989.0179547327789</v>
      </c>
      <c r="P517" s="97">
        <f t="shared" si="38"/>
        <v>6746.2276736229423</v>
      </c>
      <c r="Q517" s="197">
        <v>1</v>
      </c>
    </row>
    <row r="518" spans="1:17" x14ac:dyDescent="0.25">
      <c r="A518" s="254">
        <v>39948</v>
      </c>
      <c r="B518" s="254" t="s">
        <v>183</v>
      </c>
      <c r="C518" s="210">
        <v>10299183</v>
      </c>
      <c r="D518" s="115" t="s">
        <v>328</v>
      </c>
      <c r="E518" s="34">
        <f t="shared" si="35"/>
        <v>39948</v>
      </c>
      <c r="F518" s="108" t="str">
        <f t="shared" si="39"/>
        <v>2008-09</v>
      </c>
      <c r="H518" s="119"/>
      <c r="I518" s="26"/>
      <c r="J518" s="101">
        <f t="shared" si="36"/>
        <v>0.84443766578674484</v>
      </c>
      <c r="K518" s="37"/>
      <c r="L518" s="26">
        <v>2.4611145856699999</v>
      </c>
      <c r="M518" s="26" t="s">
        <v>204</v>
      </c>
      <c r="N518" s="26">
        <v>936.5640883902438</v>
      </c>
      <c r="O518" s="95">
        <f t="shared" si="37"/>
        <v>2304.991538351956</v>
      </c>
      <c r="P518" s="97">
        <f t="shared" si="38"/>
        <v>1946.4216743041238</v>
      </c>
      <c r="Q518" s="197">
        <v>1</v>
      </c>
    </row>
    <row r="519" spans="1:17" x14ac:dyDescent="0.25">
      <c r="A519" s="254">
        <v>39948</v>
      </c>
      <c r="B519" s="254" t="s">
        <v>183</v>
      </c>
      <c r="C519" s="210">
        <v>10299184</v>
      </c>
      <c r="D519" s="115" t="s">
        <v>328</v>
      </c>
      <c r="E519" s="34">
        <f t="shared" si="35"/>
        <v>39948</v>
      </c>
      <c r="F519" s="108" t="str">
        <f t="shared" si="39"/>
        <v>2008-09</v>
      </c>
      <c r="H519" s="119"/>
      <c r="I519" s="26"/>
      <c r="J519" s="101">
        <f t="shared" si="36"/>
        <v>0.84443766578674484</v>
      </c>
      <c r="K519" s="37"/>
      <c r="L519" s="26">
        <v>1.4994165531999999</v>
      </c>
      <c r="M519" s="26" t="s">
        <v>204</v>
      </c>
      <c r="N519" s="26">
        <v>771.6404230243902</v>
      </c>
      <c r="O519" s="95">
        <f t="shared" si="37"/>
        <v>1157.0104234010209</v>
      </c>
      <c r="P519" s="97">
        <f t="shared" si="38"/>
        <v>977.02318122769145</v>
      </c>
      <c r="Q519" s="197">
        <v>1</v>
      </c>
    </row>
    <row r="520" spans="1:17" x14ac:dyDescent="0.25">
      <c r="A520" s="254">
        <v>40144</v>
      </c>
      <c r="B520" s="254" t="s">
        <v>183</v>
      </c>
      <c r="C520" s="210">
        <v>9394023</v>
      </c>
      <c r="D520" s="115" t="s">
        <v>328</v>
      </c>
      <c r="E520" s="34">
        <f t="shared" si="35"/>
        <v>40144</v>
      </c>
      <c r="F520" s="108" t="str">
        <f t="shared" si="39"/>
        <v>2009-10</v>
      </c>
      <c r="H520" s="119"/>
      <c r="I520" s="26"/>
      <c r="J520" s="101">
        <f t="shared" si="36"/>
        <v>0.84443766578674484</v>
      </c>
      <c r="K520" s="37"/>
      <c r="L520" s="26">
        <v>3.9977385864400001</v>
      </c>
      <c r="M520" s="26" t="s">
        <v>204</v>
      </c>
      <c r="N520" s="26">
        <v>1512.3336585365851</v>
      </c>
      <c r="O520" s="95">
        <f t="shared" si="37"/>
        <v>6045.9146223036814</v>
      </c>
      <c r="P520" s="97">
        <f t="shared" si="38"/>
        <v>5105.3980312040694</v>
      </c>
      <c r="Q520" s="197">
        <v>1</v>
      </c>
    </row>
    <row r="521" spans="1:17" x14ac:dyDescent="0.25">
      <c r="A521" s="254">
        <v>39952</v>
      </c>
      <c r="B521" s="254" t="s">
        <v>183</v>
      </c>
      <c r="C521" s="210">
        <v>10299451</v>
      </c>
      <c r="D521" s="115" t="s">
        <v>329</v>
      </c>
      <c r="E521" s="34">
        <f t="shared" si="35"/>
        <v>39952</v>
      </c>
      <c r="F521" s="108" t="str">
        <f t="shared" si="39"/>
        <v>2008-09</v>
      </c>
      <c r="H521" s="119"/>
      <c r="I521" s="26"/>
      <c r="J521" s="101">
        <f t="shared" si="36"/>
        <v>0.84443766578674484</v>
      </c>
      <c r="K521" s="37"/>
      <c r="L521" s="26">
        <v>20.000137191499999</v>
      </c>
      <c r="M521" s="26" t="s">
        <v>204</v>
      </c>
      <c r="N521" s="26">
        <v>771.6404230243902</v>
      </c>
      <c r="O521" s="95">
        <f t="shared" si="37"/>
        <v>15432.914322994899</v>
      </c>
      <c r="P521" s="97">
        <f t="shared" si="38"/>
        <v>13032.134147196633</v>
      </c>
      <c r="Q521" s="197">
        <v>1</v>
      </c>
    </row>
    <row r="522" spans="1:17" x14ac:dyDescent="0.25">
      <c r="A522" s="254">
        <v>39952</v>
      </c>
      <c r="B522" s="254" t="s">
        <v>183</v>
      </c>
      <c r="C522" s="210">
        <v>10299448</v>
      </c>
      <c r="D522" s="115" t="s">
        <v>329</v>
      </c>
      <c r="E522" s="34">
        <f t="shared" si="35"/>
        <v>39952</v>
      </c>
      <c r="F522" s="108" t="str">
        <f t="shared" si="39"/>
        <v>2008-09</v>
      </c>
      <c r="H522" s="119"/>
      <c r="I522" s="26"/>
      <c r="J522" s="101">
        <f t="shared" si="36"/>
        <v>0.84443766578674484</v>
      </c>
      <c r="K522" s="37"/>
      <c r="L522" s="26">
        <v>2.4977589958899999</v>
      </c>
      <c r="M522" s="26" t="s">
        <v>204</v>
      </c>
      <c r="N522" s="26">
        <v>771.6404230243902</v>
      </c>
      <c r="O522" s="95">
        <f t="shared" si="37"/>
        <v>1927.3718082015357</v>
      </c>
      <c r="P522" s="97">
        <f t="shared" si="38"/>
        <v>1627.5453508208825</v>
      </c>
      <c r="Q522" s="197">
        <v>1</v>
      </c>
    </row>
    <row r="523" spans="1:17" x14ac:dyDescent="0.25">
      <c r="A523" s="254">
        <v>39952</v>
      </c>
      <c r="B523" s="254" t="s">
        <v>183</v>
      </c>
      <c r="C523" s="210">
        <v>10299420</v>
      </c>
      <c r="D523" s="115" t="s">
        <v>329</v>
      </c>
      <c r="E523" s="34">
        <f t="shared" si="35"/>
        <v>39952</v>
      </c>
      <c r="F523" s="108" t="str">
        <f t="shared" si="39"/>
        <v>2008-09</v>
      </c>
      <c r="H523" s="119"/>
      <c r="I523" s="26"/>
      <c r="J523" s="101">
        <f t="shared" si="36"/>
        <v>0.84443766578674484</v>
      </c>
      <c r="K523" s="37"/>
      <c r="L523" s="26">
        <v>1.9987125479300001</v>
      </c>
      <c r="M523" s="26" t="s">
        <v>204</v>
      </c>
      <c r="N523" s="26">
        <v>771.6404230243902</v>
      </c>
      <c r="O523" s="95">
        <f t="shared" si="37"/>
        <v>1542.287395988862</v>
      </c>
      <c r="P523" s="97">
        <f t="shared" si="38"/>
        <v>1302.3655686411516</v>
      </c>
      <c r="Q523" s="197">
        <v>1</v>
      </c>
    </row>
    <row r="524" spans="1:17" x14ac:dyDescent="0.25">
      <c r="A524" s="254">
        <v>39952</v>
      </c>
      <c r="B524" s="254" t="s">
        <v>183</v>
      </c>
      <c r="C524" s="210">
        <v>10299435</v>
      </c>
      <c r="D524" s="115" t="s">
        <v>329</v>
      </c>
      <c r="E524" s="34">
        <f t="shared" si="35"/>
        <v>39952</v>
      </c>
      <c r="F524" s="108" t="str">
        <f t="shared" si="39"/>
        <v>2008-09</v>
      </c>
      <c r="H524" s="119"/>
      <c r="I524" s="26"/>
      <c r="J524" s="101">
        <f t="shared" si="36"/>
        <v>0.84443766578674484</v>
      </c>
      <c r="K524" s="37"/>
      <c r="L524" s="26">
        <v>4.39613759618</v>
      </c>
      <c r="M524" s="26" t="s">
        <v>204</v>
      </c>
      <c r="N524" s="26">
        <v>696.6467060487804</v>
      </c>
      <c r="O524" s="95">
        <f t="shared" si="37"/>
        <v>3062.5547757160007</v>
      </c>
      <c r="P524" s="97">
        <f t="shared" si="38"/>
        <v>2586.1366061496674</v>
      </c>
      <c r="Q524" s="197">
        <v>1</v>
      </c>
    </row>
    <row r="525" spans="1:17" x14ac:dyDescent="0.25">
      <c r="A525" s="254">
        <v>39952</v>
      </c>
      <c r="B525" s="254" t="s">
        <v>183</v>
      </c>
      <c r="C525" s="210">
        <v>10299437</v>
      </c>
      <c r="D525" s="115" t="s">
        <v>329</v>
      </c>
      <c r="E525" s="34">
        <f t="shared" si="35"/>
        <v>39952</v>
      </c>
      <c r="F525" s="108" t="str">
        <f t="shared" si="39"/>
        <v>2008-09</v>
      </c>
      <c r="H525" s="119"/>
      <c r="I525" s="26"/>
      <c r="J525" s="101">
        <f t="shared" si="36"/>
        <v>0.84443766578674484</v>
      </c>
      <c r="K525" s="37"/>
      <c r="L525" s="26">
        <v>2.1944471912400001</v>
      </c>
      <c r="M525" s="26" t="s">
        <v>204</v>
      </c>
      <c r="N525" s="26">
        <v>771.6404230243902</v>
      </c>
      <c r="O525" s="95">
        <f t="shared" si="37"/>
        <v>1693.3241589531185</v>
      </c>
      <c r="P525" s="97">
        <f t="shared" si="38"/>
        <v>1429.9067002066743</v>
      </c>
      <c r="Q525" s="197">
        <v>1</v>
      </c>
    </row>
    <row r="526" spans="1:17" x14ac:dyDescent="0.25">
      <c r="A526" s="254">
        <v>40846</v>
      </c>
      <c r="B526" s="254" t="s">
        <v>183</v>
      </c>
      <c r="C526" s="210">
        <v>10447120</v>
      </c>
      <c r="D526" s="115" t="s">
        <v>330</v>
      </c>
      <c r="E526" s="34">
        <f t="shared" si="35"/>
        <v>40846</v>
      </c>
      <c r="F526" s="108" t="str">
        <f t="shared" si="39"/>
        <v>2011-12</v>
      </c>
      <c r="H526" s="119"/>
      <c r="I526" s="26"/>
      <c r="J526" s="101">
        <f t="shared" si="36"/>
        <v>0.84443766578674484</v>
      </c>
      <c r="K526" s="37"/>
      <c r="L526" s="26">
        <v>20.964966979500002</v>
      </c>
      <c r="M526" s="26" t="s">
        <v>204</v>
      </c>
      <c r="N526" s="26">
        <v>696.6467060487804</v>
      </c>
      <c r="O526" s="95">
        <f t="shared" si="37"/>
        <v>14605.175188690126</v>
      </c>
      <c r="P526" s="97">
        <f t="shared" si="38"/>
        <v>12333.160044743971</v>
      </c>
      <c r="Q526" s="197">
        <v>1</v>
      </c>
    </row>
    <row r="527" spans="1:17" x14ac:dyDescent="0.25">
      <c r="A527" s="254">
        <v>40846</v>
      </c>
      <c r="B527" s="254" t="s">
        <v>183</v>
      </c>
      <c r="C527" s="210">
        <v>10447119</v>
      </c>
      <c r="D527" s="115" t="s">
        <v>330</v>
      </c>
      <c r="E527" s="34">
        <f t="shared" si="35"/>
        <v>40846</v>
      </c>
      <c r="F527" s="108" t="str">
        <f t="shared" si="39"/>
        <v>2011-12</v>
      </c>
      <c r="H527" s="119"/>
      <c r="I527" s="26"/>
      <c r="J527" s="101">
        <f t="shared" si="36"/>
        <v>0.84443766578674484</v>
      </c>
      <c r="K527" s="37"/>
      <c r="L527" s="26">
        <v>3.6976978424300002</v>
      </c>
      <c r="M527" s="26" t="s">
        <v>204</v>
      </c>
      <c r="N527" s="26">
        <v>696.6467060487804</v>
      </c>
      <c r="O527" s="95">
        <f t="shared" si="37"/>
        <v>2575.989021892542</v>
      </c>
      <c r="P527" s="97">
        <f t="shared" si="38"/>
        <v>2175.262156739218</v>
      </c>
      <c r="Q527" s="197">
        <v>1</v>
      </c>
    </row>
    <row r="528" spans="1:17" x14ac:dyDescent="0.25">
      <c r="A528" s="254">
        <v>40846</v>
      </c>
      <c r="B528" s="254" t="s">
        <v>183</v>
      </c>
      <c r="C528" s="210">
        <v>10447125</v>
      </c>
      <c r="D528" s="115" t="s">
        <v>330</v>
      </c>
      <c r="E528" s="34">
        <f t="shared" si="35"/>
        <v>40846</v>
      </c>
      <c r="F528" s="108" t="str">
        <f t="shared" si="39"/>
        <v>2011-12</v>
      </c>
      <c r="H528" s="119"/>
      <c r="I528" s="26"/>
      <c r="J528" s="101">
        <f t="shared" si="36"/>
        <v>0.84443766578674484</v>
      </c>
      <c r="K528" s="37"/>
      <c r="L528" s="26">
        <v>3.4138402168400002</v>
      </c>
      <c r="M528" s="26" t="s">
        <v>204</v>
      </c>
      <c r="N528" s="26">
        <v>696.6467060487804</v>
      </c>
      <c r="O528" s="95">
        <f t="shared" si="37"/>
        <v>2378.2405420384403</v>
      </c>
      <c r="P528" s="97">
        <f t="shared" si="38"/>
        <v>2008.2758919983432</v>
      </c>
      <c r="Q528" s="197">
        <v>1</v>
      </c>
    </row>
    <row r="529" spans="1:17" x14ac:dyDescent="0.25">
      <c r="A529" s="254">
        <v>40846</v>
      </c>
      <c r="B529" s="254" t="s">
        <v>183</v>
      </c>
      <c r="C529" s="210">
        <v>10447117</v>
      </c>
      <c r="D529" s="115" t="s">
        <v>327</v>
      </c>
      <c r="E529" s="34">
        <f t="shared" si="35"/>
        <v>40846</v>
      </c>
      <c r="F529" s="108" t="str">
        <f t="shared" si="39"/>
        <v>2011-12</v>
      </c>
      <c r="H529" s="119"/>
      <c r="I529" s="26"/>
      <c r="J529" s="101">
        <f t="shared" si="36"/>
        <v>0.84443766578674484</v>
      </c>
      <c r="K529" s="37"/>
      <c r="L529" s="26">
        <v>107.597637922</v>
      </c>
      <c r="M529" s="26" t="s">
        <v>204</v>
      </c>
      <c r="N529" s="26">
        <v>1128.7084557073169</v>
      </c>
      <c r="O529" s="95">
        <f t="shared" si="37"/>
        <v>121446.36373669567</v>
      </c>
      <c r="P529" s="97">
        <f t="shared" si="38"/>
        <v>102553.88391210327</v>
      </c>
      <c r="Q529" s="197">
        <v>1</v>
      </c>
    </row>
    <row r="530" spans="1:17" x14ac:dyDescent="0.25">
      <c r="A530" s="254">
        <v>40846</v>
      </c>
      <c r="B530" s="254" t="s">
        <v>183</v>
      </c>
      <c r="C530" s="210">
        <v>10447116</v>
      </c>
      <c r="D530" s="115" t="s">
        <v>327</v>
      </c>
      <c r="E530" s="34">
        <f t="shared" si="35"/>
        <v>40846</v>
      </c>
      <c r="F530" s="108" t="str">
        <f t="shared" si="39"/>
        <v>2011-12</v>
      </c>
      <c r="H530" s="119"/>
      <c r="I530" s="26"/>
      <c r="J530" s="101">
        <f t="shared" si="36"/>
        <v>0.84443766578674484</v>
      </c>
      <c r="K530" s="37"/>
      <c r="L530" s="26">
        <v>15.691689048400001</v>
      </c>
      <c r="M530" s="26" t="s">
        <v>204</v>
      </c>
      <c r="N530" s="26">
        <v>696.6467060487804</v>
      </c>
      <c r="O530" s="95">
        <f t="shared" si="37"/>
        <v>10931.563487909581</v>
      </c>
      <c r="P530" s="97">
        <f t="shared" si="38"/>
        <v>9231.0239551299746</v>
      </c>
      <c r="Q530" s="197">
        <v>1</v>
      </c>
    </row>
    <row r="531" spans="1:17" x14ac:dyDescent="0.25">
      <c r="A531" s="254">
        <v>39304</v>
      </c>
      <c r="B531" s="254" t="s">
        <v>183</v>
      </c>
      <c r="C531" s="210">
        <v>9301267</v>
      </c>
      <c r="D531" s="115" t="s">
        <v>331</v>
      </c>
      <c r="E531" s="34">
        <f t="shared" si="35"/>
        <v>39304</v>
      </c>
      <c r="F531" s="108" t="str">
        <f t="shared" si="39"/>
        <v>2007-08</v>
      </c>
      <c r="H531" s="119"/>
      <c r="I531" s="26"/>
      <c r="J531" s="101">
        <f t="shared" si="36"/>
        <v>0.84443766578674484</v>
      </c>
      <c r="K531" s="37"/>
      <c r="L531" s="26">
        <v>387.13810667799999</v>
      </c>
      <c r="M531" s="26" t="s">
        <v>204</v>
      </c>
      <c r="N531" s="26">
        <v>1512.3336585365851</v>
      </c>
      <c r="O531" s="95">
        <f t="shared" si="37"/>
        <v>585481.98923126643</v>
      </c>
      <c r="P531" s="97">
        <f t="shared" si="38"/>
        <v>114135.63257621836</v>
      </c>
      <c r="Q531" s="197">
        <v>0.23085544047782355</v>
      </c>
    </row>
    <row r="532" spans="1:17" x14ac:dyDescent="0.25">
      <c r="A532" s="254">
        <v>39304</v>
      </c>
      <c r="B532" s="254" t="s">
        <v>183</v>
      </c>
      <c r="C532" s="210">
        <v>9301143</v>
      </c>
      <c r="D532" s="115" t="s">
        <v>331</v>
      </c>
      <c r="E532" s="34">
        <f t="shared" si="35"/>
        <v>39304</v>
      </c>
      <c r="F532" s="108" t="str">
        <f t="shared" si="39"/>
        <v>2007-08</v>
      </c>
      <c r="H532" s="119"/>
      <c r="I532" s="26"/>
      <c r="J532" s="101">
        <f t="shared" si="36"/>
        <v>0.84443766578674484</v>
      </c>
      <c r="K532" s="37"/>
      <c r="L532" s="26">
        <v>3.25649050534</v>
      </c>
      <c r="M532" s="26" t="s">
        <v>204</v>
      </c>
      <c r="N532" s="26">
        <v>1422.8466506341463</v>
      </c>
      <c r="O532" s="95">
        <f t="shared" si="37"/>
        <v>4633.4866083449169</v>
      </c>
      <c r="P532" s="97">
        <f t="shared" si="38"/>
        <v>903.26591561126327</v>
      </c>
      <c r="Q532" s="197">
        <v>0.23085544047782355</v>
      </c>
    </row>
    <row r="533" spans="1:17" x14ac:dyDescent="0.25">
      <c r="A533" s="254">
        <v>40357</v>
      </c>
      <c r="B533" s="254" t="s">
        <v>183</v>
      </c>
      <c r="C533" s="210">
        <v>10251089</v>
      </c>
      <c r="D533" s="115" t="s">
        <v>332</v>
      </c>
      <c r="E533" s="34">
        <f t="shared" si="35"/>
        <v>40357</v>
      </c>
      <c r="F533" s="108" t="str">
        <f t="shared" si="39"/>
        <v>2009-10</v>
      </c>
      <c r="H533" s="119"/>
      <c r="I533" s="26"/>
      <c r="J533" s="101">
        <f t="shared" si="36"/>
        <v>0.84443766578674484</v>
      </c>
      <c r="K533" s="37"/>
      <c r="L533" s="26">
        <v>3.59831636408</v>
      </c>
      <c r="M533" s="26" t="s">
        <v>204</v>
      </c>
      <c r="N533" s="26">
        <v>1422.8466506341463</v>
      </c>
      <c r="O533" s="95">
        <f t="shared" si="37"/>
        <v>5119.852386553267</v>
      </c>
      <c r="P533" s="97">
        <f t="shared" si="38"/>
        <v>4323.3961984737352</v>
      </c>
      <c r="Q533" s="197">
        <v>1</v>
      </c>
    </row>
    <row r="534" spans="1:17" x14ac:dyDescent="0.25">
      <c r="A534" s="254">
        <v>40357</v>
      </c>
      <c r="B534" s="254" t="s">
        <v>183</v>
      </c>
      <c r="C534" s="210">
        <v>10251090</v>
      </c>
      <c r="D534" s="115" t="s">
        <v>332</v>
      </c>
      <c r="E534" s="34">
        <f t="shared" ref="E534:E597" si="40">IF(A534&lt;2022,DATEVALUE("30 Jun "&amp;A534),A534)</f>
        <v>40357</v>
      </c>
      <c r="F534" s="108" t="str">
        <f t="shared" si="39"/>
        <v>2009-10</v>
      </c>
      <c r="H534" s="119"/>
      <c r="I534" s="26"/>
      <c r="J534" s="101">
        <f t="shared" ref="J534:J597" si="41">J533</f>
        <v>0.84443766578674484</v>
      </c>
      <c r="K534" s="37"/>
      <c r="L534" s="26">
        <v>1.0003324447399999</v>
      </c>
      <c r="M534" s="26" t="s">
        <v>204</v>
      </c>
      <c r="N534" s="26">
        <v>1181.2618378536583</v>
      </c>
      <c r="O534" s="95">
        <f t="shared" ref="O534:O597" si="42">IF(N534="","-",L534*N534)</f>
        <v>1181.6545421382154</v>
      </c>
      <c r="P534" s="97">
        <f t="shared" ref="P534:P597" si="43">IF(O534="-","-",IF(OR(E534&lt;$E$15,E534&gt;$E$16),0,O534*J534))*Q534</f>
        <v>997.8336033294994</v>
      </c>
      <c r="Q534" s="197">
        <v>1</v>
      </c>
    </row>
    <row r="535" spans="1:17" x14ac:dyDescent="0.25">
      <c r="A535" s="254">
        <v>40357</v>
      </c>
      <c r="B535" s="254" t="s">
        <v>183</v>
      </c>
      <c r="C535" s="210">
        <v>10251088</v>
      </c>
      <c r="D535" s="115" t="s">
        <v>332</v>
      </c>
      <c r="E535" s="34">
        <f t="shared" si="40"/>
        <v>40357</v>
      </c>
      <c r="F535" s="108" t="str">
        <f t="shared" ref="F535:F598" si="44">IF(E535="","-",IF(OR(E535&lt;$E$15,E535&gt;$E$16),"ERROR - date outside of range",IF(MONTH(E535)&gt;=7,YEAR(E535)&amp;"-"&amp;IF(YEAR(E535)=1999,"00",IF(AND(YEAR(E535)&gt;=2000,YEAR(E535)&lt;2009),"0","")&amp;RIGHT(YEAR(E535),2)+1),RIGHT(YEAR(E535),4)-1&amp;"-"&amp;RIGHT(YEAR(E535),2))))</f>
        <v>2009-10</v>
      </c>
      <c r="H535" s="119"/>
      <c r="I535" s="26"/>
      <c r="J535" s="101">
        <f t="shared" si="41"/>
        <v>0.84443766578674484</v>
      </c>
      <c r="K535" s="37"/>
      <c r="L535" s="26">
        <v>0.99984998874800002</v>
      </c>
      <c r="M535" s="26" t="s">
        <v>204</v>
      </c>
      <c r="N535" s="26">
        <v>1181.2618378536583</v>
      </c>
      <c r="O535" s="95">
        <f t="shared" si="42"/>
        <v>1181.0846352864221</v>
      </c>
      <c r="P535" s="97">
        <f t="shared" si="43"/>
        <v>997.35235251785514</v>
      </c>
      <c r="Q535" s="197">
        <v>1</v>
      </c>
    </row>
    <row r="536" spans="1:17" x14ac:dyDescent="0.25">
      <c r="A536" s="254">
        <v>40357</v>
      </c>
      <c r="B536" s="254" t="s">
        <v>183</v>
      </c>
      <c r="C536" s="210">
        <v>10251049</v>
      </c>
      <c r="D536" s="115" t="s">
        <v>332</v>
      </c>
      <c r="E536" s="34">
        <f t="shared" si="40"/>
        <v>40357</v>
      </c>
      <c r="F536" s="108" t="str">
        <f t="shared" si="44"/>
        <v>2009-10</v>
      </c>
      <c r="H536" s="119"/>
      <c r="I536" s="26"/>
      <c r="J536" s="101">
        <f t="shared" si="41"/>
        <v>0.84443766578674484</v>
      </c>
      <c r="K536" s="37"/>
      <c r="L536" s="26">
        <v>1.5991964708599999</v>
      </c>
      <c r="M536" s="26" t="s">
        <v>204</v>
      </c>
      <c r="N536" s="26">
        <v>1422.8466506341463</v>
      </c>
      <c r="O536" s="95">
        <f t="shared" si="42"/>
        <v>2275.411342269098</v>
      </c>
      <c r="P536" s="97">
        <f t="shared" si="43"/>
        <v>1921.4430425704011</v>
      </c>
      <c r="Q536" s="197">
        <v>1</v>
      </c>
    </row>
    <row r="537" spans="1:17" x14ac:dyDescent="0.25">
      <c r="A537" s="254">
        <v>39304</v>
      </c>
      <c r="B537" s="254" t="s">
        <v>183</v>
      </c>
      <c r="C537" s="210">
        <v>9301640</v>
      </c>
      <c r="D537" s="115" t="s">
        <v>331</v>
      </c>
      <c r="E537" s="34">
        <f t="shared" si="40"/>
        <v>39304</v>
      </c>
      <c r="F537" s="108" t="str">
        <f t="shared" si="44"/>
        <v>2007-08</v>
      </c>
      <c r="H537" s="119"/>
      <c r="I537" s="26"/>
      <c r="J537" s="101">
        <f t="shared" si="41"/>
        <v>0.84443766578674484</v>
      </c>
      <c r="K537" s="37"/>
      <c r="L537" s="26">
        <v>0.99936980142499998</v>
      </c>
      <c r="M537" s="26" t="s">
        <v>204</v>
      </c>
      <c r="N537" s="26">
        <v>1422.8466506341463</v>
      </c>
      <c r="O537" s="95">
        <f t="shared" si="42"/>
        <v>1421.9499747024731</v>
      </c>
      <c r="P537" s="97">
        <f t="shared" si="43"/>
        <v>277.19923556913648</v>
      </c>
      <c r="Q537" s="197">
        <v>0.23085544047782355</v>
      </c>
    </row>
    <row r="538" spans="1:17" x14ac:dyDescent="0.25">
      <c r="A538" s="254">
        <v>41599</v>
      </c>
      <c r="B538" s="254" t="s">
        <v>183</v>
      </c>
      <c r="C538" s="210">
        <v>10768051</v>
      </c>
      <c r="D538" s="115" t="s">
        <v>333</v>
      </c>
      <c r="E538" s="34">
        <f t="shared" si="40"/>
        <v>41599</v>
      </c>
      <c r="F538" s="108" t="str">
        <f t="shared" si="44"/>
        <v>2013-14</v>
      </c>
      <c r="H538" s="119"/>
      <c r="I538" s="26"/>
      <c r="J538" s="101">
        <f t="shared" si="41"/>
        <v>0.84443766578674484</v>
      </c>
      <c r="K538" s="37"/>
      <c r="L538" s="26">
        <v>1.7996944185099999</v>
      </c>
      <c r="M538" s="26" t="s">
        <v>204</v>
      </c>
      <c r="N538" s="26">
        <v>1181.2618378536583</v>
      </c>
      <c r="O538" s="95">
        <f t="shared" si="42"/>
        <v>2125.9103363840936</v>
      </c>
      <c r="P538" s="97">
        <f t="shared" si="43"/>
        <v>1795.1987621280975</v>
      </c>
      <c r="Q538" s="197">
        <v>1</v>
      </c>
    </row>
    <row r="539" spans="1:17" x14ac:dyDescent="0.25">
      <c r="A539" s="254">
        <v>41599</v>
      </c>
      <c r="B539" s="254" t="s">
        <v>183</v>
      </c>
      <c r="C539" s="210">
        <v>10768014</v>
      </c>
      <c r="D539" s="115" t="s">
        <v>333</v>
      </c>
      <c r="E539" s="34">
        <f t="shared" si="40"/>
        <v>41599</v>
      </c>
      <c r="F539" s="108" t="str">
        <f t="shared" si="44"/>
        <v>2013-14</v>
      </c>
      <c r="H539" s="119"/>
      <c r="I539" s="26"/>
      <c r="J539" s="101">
        <f t="shared" si="41"/>
        <v>0.84443766578674484</v>
      </c>
      <c r="K539" s="37"/>
      <c r="L539" s="26">
        <v>1.7996944185099999</v>
      </c>
      <c r="M539" s="26" t="s">
        <v>204</v>
      </c>
      <c r="N539" s="26">
        <v>1181.2618378536583</v>
      </c>
      <c r="O539" s="95">
        <f t="shared" si="42"/>
        <v>2125.9103363840936</v>
      </c>
      <c r="P539" s="97">
        <f t="shared" si="43"/>
        <v>1795.1987621280975</v>
      </c>
      <c r="Q539" s="197">
        <v>1</v>
      </c>
    </row>
    <row r="540" spans="1:17" x14ac:dyDescent="0.25">
      <c r="A540" s="254">
        <v>39588</v>
      </c>
      <c r="B540" s="254" t="s">
        <v>183</v>
      </c>
      <c r="C540" s="210">
        <v>9271128</v>
      </c>
      <c r="D540" s="115" t="s">
        <v>334</v>
      </c>
      <c r="E540" s="34">
        <f t="shared" si="40"/>
        <v>39588</v>
      </c>
      <c r="F540" s="108" t="str">
        <f t="shared" si="44"/>
        <v>2007-08</v>
      </c>
      <c r="H540" s="119"/>
      <c r="I540" s="26"/>
      <c r="J540" s="101">
        <f t="shared" si="41"/>
        <v>0.84443766578674484</v>
      </c>
      <c r="K540" s="37"/>
      <c r="L540" s="26">
        <v>88.835134198299997</v>
      </c>
      <c r="M540" s="26" t="s">
        <v>204</v>
      </c>
      <c r="N540" s="26">
        <v>1385.4167692682922</v>
      </c>
      <c r="O540" s="95">
        <f t="shared" si="42"/>
        <v>123073.68461852397</v>
      </c>
      <c r="P540" s="97">
        <f t="shared" si="43"/>
        <v>18947.445573896173</v>
      </c>
      <c r="Q540" s="197">
        <v>0.18231309708782339</v>
      </c>
    </row>
    <row r="541" spans="1:17" x14ac:dyDescent="0.25">
      <c r="A541" s="254">
        <v>39588</v>
      </c>
      <c r="B541" s="254" t="s">
        <v>183</v>
      </c>
      <c r="C541" s="210">
        <v>9271125</v>
      </c>
      <c r="D541" s="115" t="s">
        <v>334</v>
      </c>
      <c r="E541" s="34">
        <f t="shared" si="40"/>
        <v>39588</v>
      </c>
      <c r="F541" s="108" t="str">
        <f t="shared" si="44"/>
        <v>2007-08</v>
      </c>
      <c r="H541" s="119"/>
      <c r="I541" s="26"/>
      <c r="J541" s="101">
        <f t="shared" si="41"/>
        <v>0.84443766578674484</v>
      </c>
      <c r="K541" s="37"/>
      <c r="L541" s="26">
        <v>75.535766994300005</v>
      </c>
      <c r="M541" s="26" t="s">
        <v>204</v>
      </c>
      <c r="N541" s="26">
        <v>1181.2618378536583</v>
      </c>
      <c r="O541" s="95">
        <f t="shared" si="42"/>
        <v>89227.518943372532</v>
      </c>
      <c r="P541" s="97">
        <f t="shared" si="43"/>
        <v>13736.759113969696</v>
      </c>
      <c r="Q541" s="197">
        <v>0.18231309708782339</v>
      </c>
    </row>
    <row r="542" spans="1:17" x14ac:dyDescent="0.25">
      <c r="A542" s="254">
        <v>42152</v>
      </c>
      <c r="B542" s="254" t="s">
        <v>183</v>
      </c>
      <c r="C542" s="210">
        <v>10818896</v>
      </c>
      <c r="D542" s="115" t="s">
        <v>335</v>
      </c>
      <c r="E542" s="34">
        <f t="shared" si="40"/>
        <v>42152</v>
      </c>
      <c r="F542" s="108" t="str">
        <f t="shared" si="44"/>
        <v>2014-15</v>
      </c>
      <c r="H542" s="119"/>
      <c r="I542" s="26"/>
      <c r="J542" s="101">
        <f t="shared" si="41"/>
        <v>0.84443766578674484</v>
      </c>
      <c r="K542" s="37"/>
      <c r="L542" s="26">
        <v>8.1799114461800002</v>
      </c>
      <c r="M542" s="26" t="s">
        <v>204</v>
      </c>
      <c r="N542" s="26">
        <v>936.5640883902438</v>
      </c>
      <c r="O542" s="95">
        <f t="shared" si="42"/>
        <v>7661.0113067044931</v>
      </c>
      <c r="P542" s="97">
        <f t="shared" si="43"/>
        <v>1273.3508816097155</v>
      </c>
      <c r="Q542" s="197">
        <v>0.19683140541127064</v>
      </c>
    </row>
    <row r="543" spans="1:17" x14ac:dyDescent="0.25">
      <c r="A543" s="254">
        <v>42152</v>
      </c>
      <c r="B543" s="254" t="s">
        <v>183</v>
      </c>
      <c r="C543" s="210">
        <v>11144238</v>
      </c>
      <c r="D543" s="115" t="s">
        <v>335</v>
      </c>
      <c r="E543" s="34">
        <f t="shared" si="40"/>
        <v>42152</v>
      </c>
      <c r="F543" s="108" t="str">
        <f t="shared" si="44"/>
        <v>2014-15</v>
      </c>
      <c r="H543" s="119"/>
      <c r="I543" s="26"/>
      <c r="J543" s="101">
        <f t="shared" si="41"/>
        <v>0.84443766578674484</v>
      </c>
      <c r="K543" s="37"/>
      <c r="L543" s="26">
        <v>1.9984483981300001</v>
      </c>
      <c r="M543" s="26" t="s">
        <v>204</v>
      </c>
      <c r="N543" s="26">
        <v>936.5640883902438</v>
      </c>
      <c r="O543" s="95">
        <f t="shared" si="42"/>
        <v>1871.6750021895666</v>
      </c>
      <c r="P543" s="97">
        <f t="shared" si="43"/>
        <v>311.09456946489814</v>
      </c>
      <c r="Q543" s="197">
        <v>0.19683140541127064</v>
      </c>
    </row>
    <row r="544" spans="1:17" x14ac:dyDescent="0.25">
      <c r="A544" s="254">
        <v>42152</v>
      </c>
      <c r="B544" s="254" t="s">
        <v>183</v>
      </c>
      <c r="C544" s="210">
        <v>11144196</v>
      </c>
      <c r="D544" s="115" t="s">
        <v>335</v>
      </c>
      <c r="E544" s="34">
        <f t="shared" si="40"/>
        <v>42152</v>
      </c>
      <c r="F544" s="108" t="str">
        <f t="shared" si="44"/>
        <v>2014-15</v>
      </c>
      <c r="H544" s="119"/>
      <c r="I544" s="26"/>
      <c r="J544" s="101">
        <f t="shared" si="41"/>
        <v>0.84443766578674484</v>
      </c>
      <c r="K544" s="37"/>
      <c r="L544" s="26">
        <v>17.544641945599999</v>
      </c>
      <c r="M544" s="26" t="s">
        <v>204</v>
      </c>
      <c r="N544" s="26">
        <v>936.5640883902438</v>
      </c>
      <c r="O544" s="95">
        <f t="shared" si="42"/>
        <v>16431.681589914097</v>
      </c>
      <c r="P544" s="97">
        <f t="shared" si="43"/>
        <v>2731.1402373908959</v>
      </c>
      <c r="Q544" s="197">
        <v>0.19683140541127064</v>
      </c>
    </row>
    <row r="545" spans="1:17" x14ac:dyDescent="0.25">
      <c r="A545" s="254">
        <v>39918</v>
      </c>
      <c r="B545" s="254" t="s">
        <v>183</v>
      </c>
      <c r="C545" s="210">
        <v>9356330</v>
      </c>
      <c r="D545" s="115" t="s">
        <v>335</v>
      </c>
      <c r="E545" s="34">
        <f t="shared" si="40"/>
        <v>39918</v>
      </c>
      <c r="F545" s="108" t="str">
        <f t="shared" si="44"/>
        <v>2008-09</v>
      </c>
      <c r="H545" s="119"/>
      <c r="I545" s="26"/>
      <c r="J545" s="101">
        <f t="shared" si="41"/>
        <v>0.84443766578674484</v>
      </c>
      <c r="K545" s="37"/>
      <c r="L545" s="26">
        <v>28.894248561800001</v>
      </c>
      <c r="M545" s="26" t="s">
        <v>204</v>
      </c>
      <c r="N545" s="26">
        <v>936.5640883902438</v>
      </c>
      <c r="O545" s="95">
        <f t="shared" si="42"/>
        <v>27061.315564003333</v>
      </c>
      <c r="P545" s="97">
        <f t="shared" si="43"/>
        <v>22851.594147985485</v>
      </c>
      <c r="Q545" s="197">
        <v>1</v>
      </c>
    </row>
    <row r="546" spans="1:17" x14ac:dyDescent="0.25">
      <c r="A546" s="254">
        <v>39918</v>
      </c>
      <c r="B546" s="254" t="s">
        <v>183</v>
      </c>
      <c r="C546" s="210">
        <v>9356395</v>
      </c>
      <c r="D546" s="115" t="s">
        <v>335</v>
      </c>
      <c r="E546" s="34">
        <f t="shared" si="40"/>
        <v>39918</v>
      </c>
      <c r="F546" s="108" t="str">
        <f t="shared" si="44"/>
        <v>2008-09</v>
      </c>
      <c r="H546" s="119"/>
      <c r="I546" s="26"/>
      <c r="J546" s="101">
        <f t="shared" si="41"/>
        <v>0.84443766578674484</v>
      </c>
      <c r="K546" s="37"/>
      <c r="L546" s="26">
        <v>4.9978541998999999</v>
      </c>
      <c r="M546" s="26" t="s">
        <v>204</v>
      </c>
      <c r="N546" s="26">
        <v>936.5640883902438</v>
      </c>
      <c r="O546" s="95">
        <f t="shared" si="42"/>
        <v>4680.8107626366946</v>
      </c>
      <c r="P546" s="97">
        <f t="shared" si="43"/>
        <v>3952.6529143904031</v>
      </c>
      <c r="Q546" s="197">
        <v>1</v>
      </c>
    </row>
    <row r="547" spans="1:17" x14ac:dyDescent="0.25">
      <c r="A547" s="254">
        <v>39918</v>
      </c>
      <c r="B547" s="254" t="s">
        <v>183</v>
      </c>
      <c r="C547" s="210">
        <v>9356392</v>
      </c>
      <c r="D547" s="115" t="s">
        <v>335</v>
      </c>
      <c r="E547" s="34">
        <f t="shared" si="40"/>
        <v>39918</v>
      </c>
      <c r="F547" s="108" t="str">
        <f t="shared" si="44"/>
        <v>2008-09</v>
      </c>
      <c r="H547" s="119"/>
      <c r="I547" s="26"/>
      <c r="J547" s="101">
        <f t="shared" si="41"/>
        <v>0.84443766578674484</v>
      </c>
      <c r="K547" s="37"/>
      <c r="L547" s="26">
        <v>5.9971786700100003</v>
      </c>
      <c r="M547" s="26" t="s">
        <v>204</v>
      </c>
      <c r="N547" s="26">
        <v>771.6404230243902</v>
      </c>
      <c r="O547" s="95">
        <f t="shared" si="42"/>
        <v>4627.6654858793663</v>
      </c>
      <c r="P547" s="97">
        <f t="shared" si="43"/>
        <v>3907.7750409378546</v>
      </c>
      <c r="Q547" s="197">
        <v>1</v>
      </c>
    </row>
    <row r="548" spans="1:17" x14ac:dyDescent="0.25">
      <c r="A548" s="254">
        <v>39918</v>
      </c>
      <c r="B548" s="254" t="s">
        <v>183</v>
      </c>
      <c r="C548" s="210">
        <v>9356384</v>
      </c>
      <c r="D548" s="115" t="s">
        <v>335</v>
      </c>
      <c r="E548" s="34">
        <f t="shared" si="40"/>
        <v>39918</v>
      </c>
      <c r="F548" s="108" t="str">
        <f t="shared" si="44"/>
        <v>2008-09</v>
      </c>
      <c r="H548" s="119"/>
      <c r="I548" s="26"/>
      <c r="J548" s="101">
        <f t="shared" si="41"/>
        <v>0.84443766578674484</v>
      </c>
      <c r="K548" s="37"/>
      <c r="L548" s="26">
        <v>1.4989730450800001</v>
      </c>
      <c r="M548" s="26" t="s">
        <v>204</v>
      </c>
      <c r="N548" s="26">
        <v>936.5640883902438</v>
      </c>
      <c r="O548" s="95">
        <f t="shared" si="42"/>
        <v>1403.884323486898</v>
      </c>
      <c r="P548" s="97">
        <f t="shared" si="43"/>
        <v>1185.4928011598795</v>
      </c>
      <c r="Q548" s="197">
        <v>1</v>
      </c>
    </row>
    <row r="549" spans="1:17" x14ac:dyDescent="0.25">
      <c r="A549" s="254">
        <v>39918</v>
      </c>
      <c r="B549" s="254" t="s">
        <v>183</v>
      </c>
      <c r="C549" s="210">
        <v>9356398</v>
      </c>
      <c r="D549" s="115" t="s">
        <v>335</v>
      </c>
      <c r="E549" s="34">
        <f t="shared" si="40"/>
        <v>39918</v>
      </c>
      <c r="F549" s="108" t="str">
        <f t="shared" si="44"/>
        <v>2008-09</v>
      </c>
      <c r="H549" s="119"/>
      <c r="I549" s="26"/>
      <c r="J549" s="101">
        <f t="shared" si="41"/>
        <v>0.84443766578674484</v>
      </c>
      <c r="K549" s="37"/>
      <c r="L549" s="26">
        <v>11.318089307499999</v>
      </c>
      <c r="M549" s="26" t="s">
        <v>204</v>
      </c>
      <c r="N549" s="26">
        <v>936.5640883902438</v>
      </c>
      <c r="O549" s="95">
        <f t="shared" si="42"/>
        <v>10600.115994598102</v>
      </c>
      <c r="P549" s="97">
        <f t="shared" si="43"/>
        <v>8951.1372075471609</v>
      </c>
      <c r="Q549" s="197">
        <v>1</v>
      </c>
    </row>
    <row r="550" spans="1:17" x14ac:dyDescent="0.25">
      <c r="A550" s="254">
        <v>39918</v>
      </c>
      <c r="B550" s="254" t="s">
        <v>183</v>
      </c>
      <c r="C550" s="210">
        <v>9356397</v>
      </c>
      <c r="D550" s="115" t="s">
        <v>335</v>
      </c>
      <c r="E550" s="34">
        <f t="shared" si="40"/>
        <v>39918</v>
      </c>
      <c r="F550" s="108" t="str">
        <f t="shared" si="44"/>
        <v>2008-09</v>
      </c>
      <c r="H550" s="119"/>
      <c r="I550" s="26"/>
      <c r="J550" s="101">
        <f t="shared" si="41"/>
        <v>0.84443766578674484</v>
      </c>
      <c r="K550" s="37"/>
      <c r="L550" s="26">
        <v>1.46514060759</v>
      </c>
      <c r="M550" s="26" t="s">
        <v>204</v>
      </c>
      <c r="N550" s="26">
        <v>936.5640883902438</v>
      </c>
      <c r="O550" s="95">
        <f t="shared" si="42"/>
        <v>1372.1980775110562</v>
      </c>
      <c r="P550" s="97">
        <f t="shared" si="43"/>
        <v>1158.7357415704951</v>
      </c>
      <c r="Q550" s="197">
        <v>1</v>
      </c>
    </row>
    <row r="551" spans="1:17" x14ac:dyDescent="0.25">
      <c r="A551" s="254">
        <v>39918</v>
      </c>
      <c r="B551" s="254" t="s">
        <v>183</v>
      </c>
      <c r="C551" s="210">
        <v>9356380</v>
      </c>
      <c r="D551" s="115" t="s">
        <v>335</v>
      </c>
      <c r="E551" s="34">
        <f t="shared" si="40"/>
        <v>39918</v>
      </c>
      <c r="F551" s="108" t="str">
        <f t="shared" si="44"/>
        <v>2008-09</v>
      </c>
      <c r="H551" s="119"/>
      <c r="I551" s="26"/>
      <c r="J551" s="101">
        <f t="shared" si="41"/>
        <v>0.84443766578674484</v>
      </c>
      <c r="K551" s="37"/>
      <c r="L551" s="26">
        <v>5.9418271799799998</v>
      </c>
      <c r="M551" s="26" t="s">
        <v>204</v>
      </c>
      <c r="N551" s="26">
        <v>936.5640883902438</v>
      </c>
      <c r="O551" s="95">
        <f t="shared" si="42"/>
        <v>5564.9019561903415</v>
      </c>
      <c r="P551" s="97">
        <f t="shared" si="43"/>
        <v>4699.212818217462</v>
      </c>
      <c r="Q551" s="197">
        <v>1</v>
      </c>
    </row>
    <row r="552" spans="1:17" x14ac:dyDescent="0.25">
      <c r="A552" s="254">
        <v>39918</v>
      </c>
      <c r="B552" s="254" t="s">
        <v>183</v>
      </c>
      <c r="C552" s="210">
        <v>9356390</v>
      </c>
      <c r="D552" s="115" t="s">
        <v>335</v>
      </c>
      <c r="E552" s="34">
        <f t="shared" si="40"/>
        <v>39918</v>
      </c>
      <c r="F552" s="108" t="str">
        <f t="shared" si="44"/>
        <v>2008-09</v>
      </c>
      <c r="H552" s="119"/>
      <c r="I552" s="26"/>
      <c r="J552" s="101">
        <f t="shared" si="41"/>
        <v>0.84443766578674484</v>
      </c>
      <c r="K552" s="37"/>
      <c r="L552" s="26">
        <v>1.4989729817399999</v>
      </c>
      <c r="M552" s="26" t="s">
        <v>204</v>
      </c>
      <c r="N552" s="26">
        <v>936.5640883902438</v>
      </c>
      <c r="O552" s="95">
        <f t="shared" si="42"/>
        <v>1403.8842641649287</v>
      </c>
      <c r="P552" s="97">
        <f t="shared" si="43"/>
        <v>1185.4927510661744</v>
      </c>
      <c r="Q552" s="197">
        <v>1</v>
      </c>
    </row>
    <row r="553" spans="1:17" x14ac:dyDescent="0.25">
      <c r="A553" s="254">
        <v>42152</v>
      </c>
      <c r="B553" s="254" t="s">
        <v>183</v>
      </c>
      <c r="C553" s="210">
        <v>10819789</v>
      </c>
      <c r="D553" s="115" t="s">
        <v>335</v>
      </c>
      <c r="E553" s="34">
        <f t="shared" si="40"/>
        <v>42152</v>
      </c>
      <c r="F553" s="108" t="str">
        <f t="shared" si="44"/>
        <v>2014-15</v>
      </c>
      <c r="H553" s="119"/>
      <c r="I553" s="26"/>
      <c r="J553" s="101">
        <f t="shared" si="41"/>
        <v>0.84443766578674484</v>
      </c>
      <c r="K553" s="37"/>
      <c r="L553" s="26">
        <v>90.461457141099999</v>
      </c>
      <c r="M553" s="26" t="s">
        <v>204</v>
      </c>
      <c r="N553" s="26">
        <v>1422.8466506341463</v>
      </c>
      <c r="O553" s="95">
        <f t="shared" si="42"/>
        <v>128712.78130469851</v>
      </c>
      <c r="P553" s="97">
        <f t="shared" si="43"/>
        <v>21393.589826103402</v>
      </c>
      <c r="Q553" s="197">
        <v>0.19683140541127064</v>
      </c>
    </row>
    <row r="554" spans="1:17" x14ac:dyDescent="0.25">
      <c r="A554" s="254">
        <v>42152</v>
      </c>
      <c r="B554" s="254" t="s">
        <v>183</v>
      </c>
      <c r="C554" s="210">
        <v>10819791</v>
      </c>
      <c r="D554" s="115" t="s">
        <v>335</v>
      </c>
      <c r="E554" s="34">
        <f t="shared" si="40"/>
        <v>42152</v>
      </c>
      <c r="F554" s="108" t="str">
        <f t="shared" si="44"/>
        <v>2014-15</v>
      </c>
      <c r="H554" s="119"/>
      <c r="I554" s="26"/>
      <c r="J554" s="101">
        <f t="shared" si="41"/>
        <v>0.84443766578674484</v>
      </c>
      <c r="K554" s="37"/>
      <c r="L554" s="26">
        <v>7.8956451216300003</v>
      </c>
      <c r="M554" s="26" t="s">
        <v>204</v>
      </c>
      <c r="N554" s="26">
        <v>936.5640883902438</v>
      </c>
      <c r="O554" s="95">
        <f t="shared" si="42"/>
        <v>7394.7776755922769</v>
      </c>
      <c r="P554" s="97">
        <f t="shared" si="43"/>
        <v>1229.0996965743645</v>
      </c>
      <c r="Q554" s="197">
        <v>0.19683140541127064</v>
      </c>
    </row>
    <row r="555" spans="1:17" x14ac:dyDescent="0.25">
      <c r="A555" s="254">
        <v>42152</v>
      </c>
      <c r="B555" s="254" t="s">
        <v>183</v>
      </c>
      <c r="C555" s="210">
        <v>10819288</v>
      </c>
      <c r="D555" s="115" t="s">
        <v>335</v>
      </c>
      <c r="E555" s="34">
        <f t="shared" si="40"/>
        <v>42152</v>
      </c>
      <c r="F555" s="108" t="str">
        <f t="shared" si="44"/>
        <v>2014-15</v>
      </c>
      <c r="H555" s="119"/>
      <c r="I555" s="26"/>
      <c r="J555" s="101">
        <f t="shared" si="41"/>
        <v>0.84443766578674484</v>
      </c>
      <c r="K555" s="37"/>
      <c r="L555" s="26">
        <v>3.2978978152799998</v>
      </c>
      <c r="M555" s="26" t="s">
        <v>204</v>
      </c>
      <c r="N555" s="26">
        <v>936.5640883902438</v>
      </c>
      <c r="O555" s="95">
        <f t="shared" si="42"/>
        <v>3088.6926609718898</v>
      </c>
      <c r="P555" s="97">
        <f t="shared" si="43"/>
        <v>513.37732910380635</v>
      </c>
      <c r="Q555" s="197">
        <v>0.19683140541127064</v>
      </c>
    </row>
    <row r="556" spans="1:17" x14ac:dyDescent="0.25">
      <c r="A556" s="254">
        <v>42152</v>
      </c>
      <c r="B556" s="254" t="s">
        <v>183</v>
      </c>
      <c r="C556" s="210">
        <v>10819292</v>
      </c>
      <c r="D556" s="115" t="s">
        <v>335</v>
      </c>
      <c r="E556" s="34">
        <f t="shared" si="40"/>
        <v>42152</v>
      </c>
      <c r="F556" s="108" t="str">
        <f t="shared" si="44"/>
        <v>2014-15</v>
      </c>
      <c r="H556" s="119"/>
      <c r="I556" s="26"/>
      <c r="J556" s="101">
        <f t="shared" si="41"/>
        <v>0.84443766578674484</v>
      </c>
      <c r="K556" s="37"/>
      <c r="L556" s="26">
        <v>6.8965594531100001</v>
      </c>
      <c r="M556" s="26" t="s">
        <v>204</v>
      </c>
      <c r="N556" s="26">
        <v>936.5640883902438</v>
      </c>
      <c r="O556" s="95">
        <f t="shared" si="42"/>
        <v>6459.0699172310851</v>
      </c>
      <c r="P556" s="97">
        <f t="shared" si="43"/>
        <v>1073.5739766220192</v>
      </c>
      <c r="Q556" s="197">
        <v>0.19683140541127064</v>
      </c>
    </row>
    <row r="557" spans="1:17" x14ac:dyDescent="0.25">
      <c r="A557" s="254">
        <v>42152</v>
      </c>
      <c r="B557" s="254" t="s">
        <v>183</v>
      </c>
      <c r="C557" s="210">
        <v>10819286</v>
      </c>
      <c r="D557" s="115" t="s">
        <v>335</v>
      </c>
      <c r="E557" s="34">
        <f t="shared" si="40"/>
        <v>42152</v>
      </c>
      <c r="F557" s="108" t="str">
        <f t="shared" si="44"/>
        <v>2014-15</v>
      </c>
      <c r="H557" s="119"/>
      <c r="I557" s="26"/>
      <c r="J557" s="101">
        <f t="shared" si="41"/>
        <v>0.84443766578674484</v>
      </c>
      <c r="K557" s="37"/>
      <c r="L557" s="26">
        <v>1.9988599250600001</v>
      </c>
      <c r="M557" s="26" t="s">
        <v>204</v>
      </c>
      <c r="N557" s="26">
        <v>936.5640883902438</v>
      </c>
      <c r="O557" s="95">
        <f t="shared" si="42"/>
        <v>1872.06042353361</v>
      </c>
      <c r="P557" s="97">
        <f t="shared" si="43"/>
        <v>311.15863106049966</v>
      </c>
      <c r="Q557" s="197">
        <v>0.19683140541127064</v>
      </c>
    </row>
    <row r="558" spans="1:17" x14ac:dyDescent="0.25">
      <c r="A558" s="254">
        <v>42152</v>
      </c>
      <c r="B558" s="254" t="s">
        <v>183</v>
      </c>
      <c r="C558" s="210">
        <v>11144370</v>
      </c>
      <c r="D558" s="115" t="s">
        <v>335</v>
      </c>
      <c r="E558" s="34">
        <f t="shared" si="40"/>
        <v>42152</v>
      </c>
      <c r="F558" s="108" t="str">
        <f t="shared" si="44"/>
        <v>2014-15</v>
      </c>
      <c r="H558" s="119"/>
      <c r="I558" s="26"/>
      <c r="J558" s="101">
        <f t="shared" si="41"/>
        <v>0.84443766578674484</v>
      </c>
      <c r="K558" s="37"/>
      <c r="L558" s="26">
        <v>244.922833854</v>
      </c>
      <c r="M558" s="26" t="s">
        <v>204</v>
      </c>
      <c r="N558" s="26">
        <v>1422.8466506341463</v>
      </c>
      <c r="O558" s="95">
        <f t="shared" si="42"/>
        <v>348487.63381298742</v>
      </c>
      <c r="P558" s="97">
        <f t="shared" si="43"/>
        <v>57922.775202995515</v>
      </c>
      <c r="Q558" s="197">
        <v>0.19683140541127064</v>
      </c>
    </row>
    <row r="559" spans="1:17" x14ac:dyDescent="0.25">
      <c r="A559" s="254">
        <v>42152</v>
      </c>
      <c r="B559" s="254" t="s">
        <v>183</v>
      </c>
      <c r="C559" s="210">
        <v>10819490</v>
      </c>
      <c r="D559" s="115" t="s">
        <v>335</v>
      </c>
      <c r="E559" s="34">
        <f t="shared" si="40"/>
        <v>42152</v>
      </c>
      <c r="F559" s="108" t="str">
        <f t="shared" si="44"/>
        <v>2014-15</v>
      </c>
      <c r="H559" s="119"/>
      <c r="I559" s="26"/>
      <c r="J559" s="101">
        <f t="shared" si="41"/>
        <v>0.84443766578674484</v>
      </c>
      <c r="K559" s="37"/>
      <c r="L559" s="26">
        <v>37.575094525200001</v>
      </c>
      <c r="M559" s="26" t="s">
        <v>204</v>
      </c>
      <c r="N559" s="26">
        <v>936.5640883902438</v>
      </c>
      <c r="O559" s="95">
        <f t="shared" si="42"/>
        <v>35191.484150171178</v>
      </c>
      <c r="P559" s="97">
        <f t="shared" si="43"/>
        <v>5849.241774197435</v>
      </c>
      <c r="Q559" s="197">
        <v>0.19683140541127064</v>
      </c>
    </row>
    <row r="560" spans="1:17" x14ac:dyDescent="0.25">
      <c r="A560" s="254">
        <v>42152</v>
      </c>
      <c r="B560" s="254" t="s">
        <v>183</v>
      </c>
      <c r="C560" s="210">
        <v>10819493</v>
      </c>
      <c r="D560" s="115" t="s">
        <v>335</v>
      </c>
      <c r="E560" s="34">
        <f t="shared" si="40"/>
        <v>42152</v>
      </c>
      <c r="F560" s="108" t="str">
        <f t="shared" si="44"/>
        <v>2014-15</v>
      </c>
      <c r="H560" s="119"/>
      <c r="I560" s="26"/>
      <c r="J560" s="101">
        <f t="shared" si="41"/>
        <v>0.84443766578674484</v>
      </c>
      <c r="K560" s="37"/>
      <c r="L560" s="26">
        <v>6.6157395055899997</v>
      </c>
      <c r="M560" s="26" t="s">
        <v>204</v>
      </c>
      <c r="N560" s="26">
        <v>936.5640883902438</v>
      </c>
      <c r="O560" s="95">
        <f t="shared" si="42"/>
        <v>6196.06403908022</v>
      </c>
      <c r="P560" s="97">
        <f t="shared" si="43"/>
        <v>1029.8592823859128</v>
      </c>
      <c r="Q560" s="197">
        <v>0.19683140541127064</v>
      </c>
    </row>
    <row r="561" spans="1:17" x14ac:dyDescent="0.25">
      <c r="A561" s="254">
        <v>38941</v>
      </c>
      <c r="B561" s="254" t="s">
        <v>183</v>
      </c>
      <c r="C561" s="210">
        <v>9149639</v>
      </c>
      <c r="D561" s="115" t="s">
        <v>336</v>
      </c>
      <c r="E561" s="34">
        <f t="shared" si="40"/>
        <v>38941</v>
      </c>
      <c r="F561" s="108" t="str">
        <f t="shared" si="44"/>
        <v>2006-07</v>
      </c>
      <c r="H561" s="119"/>
      <c r="I561" s="26"/>
      <c r="J561" s="101">
        <f t="shared" si="41"/>
        <v>0.84443766578674484</v>
      </c>
      <c r="K561" s="37"/>
      <c r="L561" s="26">
        <v>241.37525685899999</v>
      </c>
      <c r="M561" s="26" t="s">
        <v>204</v>
      </c>
      <c r="N561" s="26">
        <v>1181.2618378536583</v>
      </c>
      <c r="O561" s="95">
        <f t="shared" si="42"/>
        <v>285127.37952966115</v>
      </c>
      <c r="P561" s="97">
        <f t="shared" si="43"/>
        <v>90825.052162550972</v>
      </c>
      <c r="Q561" s="197">
        <v>0.37722384429999406</v>
      </c>
    </row>
    <row r="562" spans="1:17" x14ac:dyDescent="0.25">
      <c r="A562" s="254">
        <v>38941</v>
      </c>
      <c r="B562" s="254" t="s">
        <v>183</v>
      </c>
      <c r="C562" s="210">
        <v>9149647</v>
      </c>
      <c r="D562" s="115" t="s">
        <v>336</v>
      </c>
      <c r="E562" s="34">
        <f t="shared" si="40"/>
        <v>38941</v>
      </c>
      <c r="F562" s="108" t="str">
        <f t="shared" si="44"/>
        <v>2006-07</v>
      </c>
      <c r="H562" s="119"/>
      <c r="I562" s="26"/>
      <c r="J562" s="101">
        <f t="shared" si="41"/>
        <v>0.84443766578674484</v>
      </c>
      <c r="K562" s="37"/>
      <c r="L562" s="26">
        <v>11.747524805699999</v>
      </c>
      <c r="M562" s="26" t="s">
        <v>204</v>
      </c>
      <c r="N562" s="26">
        <v>1181.2618378536583</v>
      </c>
      <c r="O562" s="95">
        <f t="shared" si="42"/>
        <v>13876.902742212622</v>
      </c>
      <c r="P562" s="97">
        <f t="shared" si="43"/>
        <v>4420.3766663698971</v>
      </c>
      <c r="Q562" s="197">
        <v>0.37722384429999406</v>
      </c>
    </row>
    <row r="563" spans="1:17" x14ac:dyDescent="0.25">
      <c r="A563" s="254">
        <v>38941</v>
      </c>
      <c r="B563" s="254" t="s">
        <v>183</v>
      </c>
      <c r="C563" s="210">
        <v>2891684</v>
      </c>
      <c r="D563" s="115" t="s">
        <v>336</v>
      </c>
      <c r="E563" s="34">
        <f t="shared" si="40"/>
        <v>38941</v>
      </c>
      <c r="F563" s="108" t="str">
        <f t="shared" si="44"/>
        <v>2006-07</v>
      </c>
      <c r="H563" s="119"/>
      <c r="I563" s="26"/>
      <c r="J563" s="101">
        <f t="shared" si="41"/>
        <v>0.84443766578674484</v>
      </c>
      <c r="K563" s="37"/>
      <c r="L563" s="26">
        <v>9.9943736171899999</v>
      </c>
      <c r="M563" s="26" t="s">
        <v>204</v>
      </c>
      <c r="N563" s="26">
        <v>936.5640883902438</v>
      </c>
      <c r="O563" s="95">
        <f t="shared" si="42"/>
        <v>9360.371415815056</v>
      </c>
      <c r="P563" s="97">
        <f t="shared" si="43"/>
        <v>2981.6716427045681</v>
      </c>
      <c r="Q563" s="197">
        <v>0.37722384429999406</v>
      </c>
    </row>
    <row r="564" spans="1:17" x14ac:dyDescent="0.25">
      <c r="A564" s="254">
        <v>38941</v>
      </c>
      <c r="B564" s="254" t="s">
        <v>183</v>
      </c>
      <c r="C564" s="210">
        <v>9248737</v>
      </c>
      <c r="D564" s="115" t="s">
        <v>336</v>
      </c>
      <c r="E564" s="34">
        <f t="shared" si="40"/>
        <v>38941</v>
      </c>
      <c r="F564" s="108" t="str">
        <f t="shared" si="44"/>
        <v>2006-07</v>
      </c>
      <c r="H564" s="119"/>
      <c r="I564" s="26"/>
      <c r="J564" s="101">
        <f t="shared" si="41"/>
        <v>0.84443766578674484</v>
      </c>
      <c r="K564" s="37"/>
      <c r="L564" s="26">
        <v>19.270883284100002</v>
      </c>
      <c r="M564" s="26" t="s">
        <v>204</v>
      </c>
      <c r="N564" s="26">
        <v>1181.2618378536583</v>
      </c>
      <c r="O564" s="95">
        <f t="shared" si="42"/>
        <v>22763.95900523931</v>
      </c>
      <c r="P564" s="97">
        <f t="shared" si="43"/>
        <v>7251.2775429970634</v>
      </c>
      <c r="Q564" s="197">
        <v>0.37722384429999406</v>
      </c>
    </row>
    <row r="565" spans="1:17" x14ac:dyDescent="0.25">
      <c r="A565" s="254">
        <v>42152</v>
      </c>
      <c r="B565" s="254" t="s">
        <v>183</v>
      </c>
      <c r="C565" s="210">
        <v>10819258</v>
      </c>
      <c r="D565" s="115" t="s">
        <v>335</v>
      </c>
      <c r="E565" s="34">
        <f t="shared" si="40"/>
        <v>42152</v>
      </c>
      <c r="F565" s="108" t="str">
        <f t="shared" si="44"/>
        <v>2014-15</v>
      </c>
      <c r="H565" s="119"/>
      <c r="I565" s="26"/>
      <c r="J565" s="101">
        <f t="shared" si="41"/>
        <v>0.84443766578674484</v>
      </c>
      <c r="K565" s="37"/>
      <c r="L565" s="26">
        <v>63.066866295899999</v>
      </c>
      <c r="M565" s="26" t="s">
        <v>204</v>
      </c>
      <c r="N565" s="26">
        <v>936.5640883902438</v>
      </c>
      <c r="O565" s="95">
        <f t="shared" si="42"/>
        <v>59066.162140048975</v>
      </c>
      <c r="P565" s="97">
        <f t="shared" si="43"/>
        <v>9817.4962316675392</v>
      </c>
      <c r="Q565" s="197">
        <v>0.19683140541127064</v>
      </c>
    </row>
    <row r="566" spans="1:17" x14ac:dyDescent="0.25">
      <c r="A566" s="254">
        <v>42152</v>
      </c>
      <c r="B566" s="254" t="s">
        <v>183</v>
      </c>
      <c r="C566" s="210">
        <v>10819254</v>
      </c>
      <c r="D566" s="115" t="s">
        <v>335</v>
      </c>
      <c r="E566" s="34">
        <f t="shared" si="40"/>
        <v>42152</v>
      </c>
      <c r="F566" s="108" t="str">
        <f t="shared" si="44"/>
        <v>2014-15</v>
      </c>
      <c r="H566" s="119"/>
      <c r="I566" s="26"/>
      <c r="J566" s="101">
        <f t="shared" si="41"/>
        <v>0.84443766578674484</v>
      </c>
      <c r="K566" s="37"/>
      <c r="L566" s="26">
        <v>29.774580926900001</v>
      </c>
      <c r="M566" s="26" t="s">
        <v>204</v>
      </c>
      <c r="N566" s="26">
        <v>936.5640883902438</v>
      </c>
      <c r="O566" s="95">
        <f t="shared" si="42"/>
        <v>27885.80324300364</v>
      </c>
      <c r="P566" s="97">
        <f t="shared" si="43"/>
        <v>4634.9510165581869</v>
      </c>
      <c r="Q566" s="197">
        <v>0.19683140541127064</v>
      </c>
    </row>
    <row r="567" spans="1:17" x14ac:dyDescent="0.25">
      <c r="A567" s="254">
        <v>39898</v>
      </c>
      <c r="B567" s="254" t="s">
        <v>183</v>
      </c>
      <c r="C567" s="210">
        <v>10819671</v>
      </c>
      <c r="D567" s="115" t="s">
        <v>337</v>
      </c>
      <c r="E567" s="34">
        <f t="shared" si="40"/>
        <v>39898</v>
      </c>
      <c r="F567" s="108" t="str">
        <f t="shared" si="44"/>
        <v>2008-09</v>
      </c>
      <c r="H567" s="119"/>
      <c r="I567" s="26"/>
      <c r="J567" s="101">
        <f t="shared" si="41"/>
        <v>0.84443766578674484</v>
      </c>
      <c r="K567" s="37"/>
      <c r="L567" s="26">
        <v>152.63157102</v>
      </c>
      <c r="M567" s="26" t="s">
        <v>204</v>
      </c>
      <c r="N567" s="26">
        <v>936.5640883902438</v>
      </c>
      <c r="O567" s="95">
        <f t="shared" si="42"/>
        <v>142949.24817191705</v>
      </c>
      <c r="P567" s="97">
        <f t="shared" si="43"/>
        <v>120711.72945226374</v>
      </c>
      <c r="Q567" s="197">
        <v>1</v>
      </c>
    </row>
    <row r="568" spans="1:17" x14ac:dyDescent="0.25">
      <c r="A568" s="254">
        <v>42152</v>
      </c>
      <c r="B568" s="254" t="s">
        <v>183</v>
      </c>
      <c r="C568" s="210">
        <v>10819777</v>
      </c>
      <c r="D568" s="115" t="s">
        <v>335</v>
      </c>
      <c r="E568" s="34">
        <f t="shared" si="40"/>
        <v>42152</v>
      </c>
      <c r="F568" s="108" t="str">
        <f t="shared" si="44"/>
        <v>2014-15</v>
      </c>
      <c r="H568" s="119"/>
      <c r="I568" s="26"/>
      <c r="J568" s="101">
        <f t="shared" si="41"/>
        <v>0.84443766578674484</v>
      </c>
      <c r="K568" s="37"/>
      <c r="L568" s="26">
        <v>222.20020900399999</v>
      </c>
      <c r="M568" s="26" t="s">
        <v>204</v>
      </c>
      <c r="N568" s="26">
        <v>1512.3320841951218</v>
      </c>
      <c r="O568" s="95">
        <f t="shared" si="42"/>
        <v>336040.50519161095</v>
      </c>
      <c r="P568" s="97">
        <f t="shared" si="43"/>
        <v>55853.914896045106</v>
      </c>
      <c r="Q568" s="197">
        <v>0.19683140541127064</v>
      </c>
    </row>
    <row r="569" spans="1:17" x14ac:dyDescent="0.25">
      <c r="A569" s="254">
        <v>42152</v>
      </c>
      <c r="B569" s="254" t="s">
        <v>183</v>
      </c>
      <c r="C569" s="210">
        <v>10819393</v>
      </c>
      <c r="D569" s="115" t="s">
        <v>335</v>
      </c>
      <c r="E569" s="34">
        <f t="shared" si="40"/>
        <v>42152</v>
      </c>
      <c r="F569" s="108" t="str">
        <f t="shared" si="44"/>
        <v>2014-15</v>
      </c>
      <c r="H569" s="119"/>
      <c r="I569" s="26"/>
      <c r="J569" s="101">
        <f t="shared" si="41"/>
        <v>0.84443766578674484</v>
      </c>
      <c r="K569" s="37"/>
      <c r="L569" s="26">
        <v>74.632424403599998</v>
      </c>
      <c r="M569" s="26" t="s">
        <v>204</v>
      </c>
      <c r="N569" s="26">
        <v>1422.8466506341463</v>
      </c>
      <c r="O569" s="95">
        <f t="shared" si="42"/>
        <v>106190.49509136839</v>
      </c>
      <c r="P569" s="97">
        <f t="shared" si="43"/>
        <v>17650.118911171819</v>
      </c>
      <c r="Q569" s="197">
        <v>0.19683140541127064</v>
      </c>
    </row>
    <row r="570" spans="1:17" x14ac:dyDescent="0.25">
      <c r="A570" s="254">
        <v>42152</v>
      </c>
      <c r="B570" s="254" t="s">
        <v>183</v>
      </c>
      <c r="C570" s="210">
        <v>11144368</v>
      </c>
      <c r="D570" s="115" t="s">
        <v>335</v>
      </c>
      <c r="E570" s="34">
        <f t="shared" si="40"/>
        <v>42152</v>
      </c>
      <c r="F570" s="108" t="str">
        <f t="shared" si="44"/>
        <v>2014-15</v>
      </c>
      <c r="H570" s="119"/>
      <c r="I570" s="26"/>
      <c r="J570" s="101">
        <f t="shared" si="41"/>
        <v>0.84443766578674484</v>
      </c>
      <c r="K570" s="37"/>
      <c r="L570" s="26">
        <v>154.471562686</v>
      </c>
      <c r="M570" s="26" t="s">
        <v>204</v>
      </c>
      <c r="N570" s="26">
        <v>1422.8466506341463</v>
      </c>
      <c r="O570" s="95">
        <f t="shared" si="42"/>
        <v>219789.34558599765</v>
      </c>
      <c r="P570" s="97">
        <f t="shared" si="43"/>
        <v>36531.594298187068</v>
      </c>
      <c r="Q570" s="197">
        <v>0.19683140541127064</v>
      </c>
    </row>
    <row r="571" spans="1:17" x14ac:dyDescent="0.25">
      <c r="A571" s="254">
        <v>42152</v>
      </c>
      <c r="B571" s="254" t="s">
        <v>183</v>
      </c>
      <c r="C571" s="210">
        <v>10819779</v>
      </c>
      <c r="D571" s="115" t="s">
        <v>335</v>
      </c>
      <c r="E571" s="34">
        <f t="shared" si="40"/>
        <v>42152</v>
      </c>
      <c r="F571" s="108" t="str">
        <f t="shared" si="44"/>
        <v>2014-15</v>
      </c>
      <c r="H571" s="119"/>
      <c r="I571" s="26"/>
      <c r="J571" s="101">
        <f t="shared" si="41"/>
        <v>0.84443766578674484</v>
      </c>
      <c r="K571" s="37"/>
      <c r="L571" s="26">
        <v>180.14754094700001</v>
      </c>
      <c r="M571" s="26" t="s">
        <v>204</v>
      </c>
      <c r="N571" s="26">
        <v>1512.3320841951218</v>
      </c>
      <c r="O571" s="95">
        <f t="shared" si="42"/>
        <v>272442.90606300253</v>
      </c>
      <c r="P571" s="97">
        <f t="shared" si="43"/>
        <v>45283.240127845267</v>
      </c>
      <c r="Q571" s="197">
        <v>0.19683140541127064</v>
      </c>
    </row>
    <row r="572" spans="1:17" x14ac:dyDescent="0.25">
      <c r="A572" s="254">
        <v>42152</v>
      </c>
      <c r="B572" s="254" t="s">
        <v>183</v>
      </c>
      <c r="C572" s="210">
        <v>11144255</v>
      </c>
      <c r="D572" s="115" t="s">
        <v>335</v>
      </c>
      <c r="E572" s="34">
        <f t="shared" si="40"/>
        <v>42152</v>
      </c>
      <c r="F572" s="108" t="str">
        <f t="shared" si="44"/>
        <v>2014-15</v>
      </c>
      <c r="H572" s="119"/>
      <c r="I572" s="26"/>
      <c r="J572" s="101">
        <f t="shared" si="41"/>
        <v>0.84443766578674484</v>
      </c>
      <c r="K572" s="37"/>
      <c r="L572" s="26">
        <v>26.4505647965</v>
      </c>
      <c r="M572" s="26" t="s">
        <v>204</v>
      </c>
      <c r="N572" s="26">
        <v>1422.8466506341463</v>
      </c>
      <c r="O572" s="95">
        <f t="shared" si="42"/>
        <v>37635.097528081482</v>
      </c>
      <c r="P572" s="97">
        <f t="shared" si="43"/>
        <v>6255.3992806290344</v>
      </c>
      <c r="Q572" s="197">
        <v>0.19683140541127064</v>
      </c>
    </row>
    <row r="573" spans="1:17" x14ac:dyDescent="0.25">
      <c r="A573" s="254">
        <v>42152</v>
      </c>
      <c r="B573" s="254" t="s">
        <v>183</v>
      </c>
      <c r="C573" s="210">
        <v>10819780</v>
      </c>
      <c r="D573" s="115" t="s">
        <v>335</v>
      </c>
      <c r="E573" s="34">
        <f t="shared" si="40"/>
        <v>42152</v>
      </c>
      <c r="F573" s="108" t="str">
        <f t="shared" si="44"/>
        <v>2014-15</v>
      </c>
      <c r="H573" s="119"/>
      <c r="I573" s="26"/>
      <c r="J573" s="101">
        <f t="shared" si="41"/>
        <v>0.84443766578674484</v>
      </c>
      <c r="K573" s="37"/>
      <c r="L573" s="26">
        <v>5.4964957018099998</v>
      </c>
      <c r="M573" s="26" t="s">
        <v>204</v>
      </c>
      <c r="N573" s="26">
        <v>1181.2618378536583</v>
      </c>
      <c r="O573" s="95">
        <f t="shared" si="42"/>
        <v>6492.8006144748142</v>
      </c>
      <c r="P573" s="97">
        <f t="shared" si="43"/>
        <v>1079.1804182983321</v>
      </c>
      <c r="Q573" s="197">
        <v>0.19683140541127064</v>
      </c>
    </row>
    <row r="574" spans="1:17" x14ac:dyDescent="0.25">
      <c r="A574" s="254">
        <v>42152</v>
      </c>
      <c r="B574" s="254" t="s">
        <v>183</v>
      </c>
      <c r="C574" s="210">
        <v>10819551</v>
      </c>
      <c r="D574" s="115" t="s">
        <v>335</v>
      </c>
      <c r="E574" s="34">
        <f t="shared" si="40"/>
        <v>42152</v>
      </c>
      <c r="F574" s="108" t="str">
        <f t="shared" si="44"/>
        <v>2014-15</v>
      </c>
      <c r="H574" s="119"/>
      <c r="I574" s="26"/>
      <c r="J574" s="101">
        <f t="shared" si="41"/>
        <v>0.84443766578674484</v>
      </c>
      <c r="K574" s="37"/>
      <c r="L574" s="26">
        <v>2.03394518117</v>
      </c>
      <c r="M574" s="26" t="s">
        <v>204</v>
      </c>
      <c r="N574" s="26">
        <v>1181.2618378536583</v>
      </c>
      <c r="O574" s="95">
        <f t="shared" si="42"/>
        <v>2402.6218228024663</v>
      </c>
      <c r="P574" s="97">
        <f t="shared" si="43"/>
        <v>399.34422411866979</v>
      </c>
      <c r="Q574" s="197">
        <v>0.19683140541127064</v>
      </c>
    </row>
    <row r="575" spans="1:17" x14ac:dyDescent="0.25">
      <c r="A575" s="254">
        <v>43451</v>
      </c>
      <c r="B575" s="254" t="s">
        <v>183</v>
      </c>
      <c r="C575" s="210">
        <v>11328387</v>
      </c>
      <c r="D575" s="115" t="s">
        <v>337</v>
      </c>
      <c r="E575" s="34">
        <f t="shared" si="40"/>
        <v>43451</v>
      </c>
      <c r="F575" s="108" t="str">
        <f t="shared" si="44"/>
        <v>2018-19</v>
      </c>
      <c r="H575" s="119"/>
      <c r="I575" s="26"/>
      <c r="J575" s="101">
        <f t="shared" si="41"/>
        <v>0.84443766578674484</v>
      </c>
      <c r="K575" s="37"/>
      <c r="L575" s="26">
        <v>187.459851797</v>
      </c>
      <c r="M575" s="26" t="s">
        <v>204</v>
      </c>
      <c r="N575" s="26">
        <v>1512.3320841951218</v>
      </c>
      <c r="O575" s="95">
        <f t="shared" si="42"/>
        <v>283501.54837106564</v>
      </c>
      <c r="P575" s="97">
        <f t="shared" si="43"/>
        <v>239399.38575339061</v>
      </c>
      <c r="Q575" s="197">
        <v>1</v>
      </c>
    </row>
    <row r="576" spans="1:17" x14ac:dyDescent="0.25">
      <c r="A576" s="254">
        <v>43451</v>
      </c>
      <c r="B576" s="254" t="s">
        <v>183</v>
      </c>
      <c r="C576" s="210">
        <v>11328391</v>
      </c>
      <c r="D576" s="115" t="s">
        <v>337</v>
      </c>
      <c r="E576" s="34">
        <f t="shared" si="40"/>
        <v>43451</v>
      </c>
      <c r="F576" s="108" t="str">
        <f t="shared" si="44"/>
        <v>2018-19</v>
      </c>
      <c r="H576" s="119"/>
      <c r="I576" s="26"/>
      <c r="J576" s="101">
        <f t="shared" si="41"/>
        <v>0.84443766578674484</v>
      </c>
      <c r="K576" s="37"/>
      <c r="L576" s="26">
        <v>10.0795663848</v>
      </c>
      <c r="M576" s="26" t="s">
        <v>204</v>
      </c>
      <c r="N576" s="26">
        <v>1422.8466506341463</v>
      </c>
      <c r="O576" s="95">
        <f t="shared" si="42"/>
        <v>14341.67727045721</v>
      </c>
      <c r="P576" s="97">
        <f t="shared" si="43"/>
        <v>12110.652477731701</v>
      </c>
      <c r="Q576" s="197">
        <v>1</v>
      </c>
    </row>
    <row r="577" spans="1:17" x14ac:dyDescent="0.25">
      <c r="A577" s="254">
        <v>43451</v>
      </c>
      <c r="B577" s="254" t="s">
        <v>183</v>
      </c>
      <c r="C577" s="210">
        <v>11328390</v>
      </c>
      <c r="D577" s="115" t="s">
        <v>337</v>
      </c>
      <c r="E577" s="34">
        <f t="shared" si="40"/>
        <v>43451</v>
      </c>
      <c r="F577" s="108" t="str">
        <f t="shared" si="44"/>
        <v>2018-19</v>
      </c>
      <c r="H577" s="119"/>
      <c r="I577" s="26"/>
      <c r="J577" s="101">
        <f t="shared" si="41"/>
        <v>0.84443766578674484</v>
      </c>
      <c r="K577" s="37"/>
      <c r="L577" s="26">
        <v>11.090067472799999</v>
      </c>
      <c r="M577" s="26" t="s">
        <v>204</v>
      </c>
      <c r="N577" s="26">
        <v>1422.8466506341463</v>
      </c>
      <c r="O577" s="95">
        <f t="shared" si="42"/>
        <v>15779.465358980171</v>
      </c>
      <c r="P577" s="97">
        <f t="shared" si="43"/>
        <v>13324.774895100016</v>
      </c>
      <c r="Q577" s="197">
        <v>1</v>
      </c>
    </row>
    <row r="578" spans="1:17" x14ac:dyDescent="0.25">
      <c r="A578" s="254">
        <v>43451</v>
      </c>
      <c r="B578" s="254" t="s">
        <v>183</v>
      </c>
      <c r="C578" s="210">
        <v>11328392</v>
      </c>
      <c r="D578" s="115" t="s">
        <v>337</v>
      </c>
      <c r="E578" s="34">
        <f t="shared" si="40"/>
        <v>43451</v>
      </c>
      <c r="F578" s="108" t="str">
        <f t="shared" si="44"/>
        <v>2018-19</v>
      </c>
      <c r="H578" s="119"/>
      <c r="I578" s="26"/>
      <c r="J578" s="101">
        <f t="shared" si="41"/>
        <v>0.84443766578674484</v>
      </c>
      <c r="K578" s="37"/>
      <c r="L578" s="26">
        <v>1.4990610394499999</v>
      </c>
      <c r="M578" s="26" t="s">
        <v>204</v>
      </c>
      <c r="N578" s="26">
        <v>1181.2618378536583</v>
      </c>
      <c r="O578" s="95">
        <f t="shared" si="42"/>
        <v>1770.7835985155223</v>
      </c>
      <c r="P578" s="97">
        <f t="shared" si="43"/>
        <v>1495.3163685438999</v>
      </c>
      <c r="Q578" s="197">
        <v>1</v>
      </c>
    </row>
    <row r="579" spans="1:17" x14ac:dyDescent="0.25">
      <c r="A579" s="254">
        <v>43451</v>
      </c>
      <c r="B579" s="254" t="s">
        <v>183</v>
      </c>
      <c r="C579" s="210">
        <v>11328394</v>
      </c>
      <c r="D579" s="115" t="s">
        <v>337</v>
      </c>
      <c r="E579" s="34">
        <f t="shared" si="40"/>
        <v>43451</v>
      </c>
      <c r="F579" s="108" t="str">
        <f t="shared" si="44"/>
        <v>2018-19</v>
      </c>
      <c r="H579" s="119"/>
      <c r="I579" s="26"/>
      <c r="J579" s="101">
        <f t="shared" si="41"/>
        <v>0.84443766578674484</v>
      </c>
      <c r="K579" s="37"/>
      <c r="L579" s="26">
        <v>1.4990610394499999</v>
      </c>
      <c r="M579" s="26" t="s">
        <v>204</v>
      </c>
      <c r="N579" s="26">
        <v>1181.2618378536583</v>
      </c>
      <c r="O579" s="95">
        <f t="shared" si="42"/>
        <v>1770.7835985155223</v>
      </c>
      <c r="P579" s="97">
        <f t="shared" si="43"/>
        <v>1495.3163685438999</v>
      </c>
      <c r="Q579" s="197">
        <v>1</v>
      </c>
    </row>
    <row r="580" spans="1:17" x14ac:dyDescent="0.25">
      <c r="A580" s="254">
        <v>42152</v>
      </c>
      <c r="B580" s="254" t="s">
        <v>183</v>
      </c>
      <c r="C580" s="210">
        <v>10819765</v>
      </c>
      <c r="D580" s="115" t="s">
        <v>335</v>
      </c>
      <c r="E580" s="34">
        <f t="shared" si="40"/>
        <v>42152</v>
      </c>
      <c r="F580" s="108" t="str">
        <f t="shared" si="44"/>
        <v>2014-15</v>
      </c>
      <c r="H580" s="119"/>
      <c r="I580" s="26"/>
      <c r="J580" s="101">
        <f t="shared" si="41"/>
        <v>0.84443766578674484</v>
      </c>
      <c r="K580" s="37"/>
      <c r="L580" s="26">
        <v>7.0289346352099997</v>
      </c>
      <c r="M580" s="26" t="s">
        <v>204</v>
      </c>
      <c r="N580" s="26">
        <v>936.5640883902438</v>
      </c>
      <c r="O580" s="95">
        <f t="shared" si="42"/>
        <v>6583.0477589800639</v>
      </c>
      <c r="P580" s="97">
        <f t="shared" si="43"/>
        <v>1094.1805633729061</v>
      </c>
      <c r="Q580" s="197">
        <v>0.19683140541127064</v>
      </c>
    </row>
    <row r="581" spans="1:17" x14ac:dyDescent="0.25">
      <c r="A581" s="254">
        <v>42152</v>
      </c>
      <c r="B581" s="254" t="s">
        <v>183</v>
      </c>
      <c r="C581" s="210">
        <v>10819680</v>
      </c>
      <c r="D581" s="115" t="s">
        <v>335</v>
      </c>
      <c r="E581" s="34">
        <f t="shared" si="40"/>
        <v>42152</v>
      </c>
      <c r="F581" s="108" t="str">
        <f t="shared" si="44"/>
        <v>2014-15</v>
      </c>
      <c r="H581" s="119"/>
      <c r="I581" s="26"/>
      <c r="J581" s="101">
        <f t="shared" si="41"/>
        <v>0.84443766578674484</v>
      </c>
      <c r="K581" s="37"/>
      <c r="L581" s="26">
        <v>0.99904954832100001</v>
      </c>
      <c r="M581" s="26" t="s">
        <v>204</v>
      </c>
      <c r="N581" s="26">
        <v>936.5640883902438</v>
      </c>
      <c r="O581" s="95">
        <f t="shared" si="42"/>
        <v>935.67392947994222</v>
      </c>
      <c r="P581" s="97">
        <f t="shared" si="43"/>
        <v>155.52009719132354</v>
      </c>
      <c r="Q581" s="197">
        <v>0.19683140541127064</v>
      </c>
    </row>
    <row r="582" spans="1:17" x14ac:dyDescent="0.25">
      <c r="A582" s="254">
        <v>43451</v>
      </c>
      <c r="B582" s="254" t="s">
        <v>183</v>
      </c>
      <c r="C582" s="210">
        <v>11328436</v>
      </c>
      <c r="D582" s="115" t="s">
        <v>337</v>
      </c>
      <c r="E582" s="34">
        <f t="shared" si="40"/>
        <v>43451</v>
      </c>
      <c r="F582" s="108" t="str">
        <f t="shared" si="44"/>
        <v>2018-19</v>
      </c>
      <c r="H582" s="119"/>
      <c r="I582" s="26"/>
      <c r="J582" s="101">
        <f t="shared" si="41"/>
        <v>0.84443766578674484</v>
      </c>
      <c r="K582" s="37"/>
      <c r="L582" s="26">
        <v>0.89953432396999999</v>
      </c>
      <c r="M582" s="26" t="s">
        <v>204</v>
      </c>
      <c r="N582" s="26">
        <v>696.6467060487804</v>
      </c>
      <c r="O582" s="95">
        <f t="shared" si="42"/>
        <v>626.65762377151702</v>
      </c>
      <c r="P582" s="97">
        <f t="shared" si="43"/>
        <v>529.17330106508803</v>
      </c>
      <c r="Q582" s="197">
        <v>1</v>
      </c>
    </row>
    <row r="583" spans="1:17" x14ac:dyDescent="0.25">
      <c r="A583" s="254">
        <v>43451</v>
      </c>
      <c r="B583" s="254" t="s">
        <v>183</v>
      </c>
      <c r="C583" s="210">
        <v>11328407</v>
      </c>
      <c r="D583" s="115" t="s">
        <v>337</v>
      </c>
      <c r="E583" s="34">
        <f t="shared" si="40"/>
        <v>43451</v>
      </c>
      <c r="F583" s="108" t="str">
        <f t="shared" si="44"/>
        <v>2018-19</v>
      </c>
      <c r="H583" s="119"/>
      <c r="I583" s="26"/>
      <c r="J583" s="101">
        <f t="shared" si="41"/>
        <v>0.84443766578674484</v>
      </c>
      <c r="K583" s="37"/>
      <c r="L583" s="26">
        <v>8.2646024213300002</v>
      </c>
      <c r="M583" s="26" t="s">
        <v>204</v>
      </c>
      <c r="N583" s="26">
        <v>1422.8466506341463</v>
      </c>
      <c r="O583" s="95">
        <f t="shared" si="42"/>
        <v>11759.261874012247</v>
      </c>
      <c r="P583" s="97">
        <f t="shared" si="43"/>
        <v>9929.9636482659644</v>
      </c>
      <c r="Q583" s="197">
        <v>1</v>
      </c>
    </row>
    <row r="584" spans="1:17" x14ac:dyDescent="0.25">
      <c r="A584" s="254">
        <v>43451</v>
      </c>
      <c r="B584" s="254" t="s">
        <v>183</v>
      </c>
      <c r="C584" s="210">
        <v>11328424</v>
      </c>
      <c r="D584" s="115" t="s">
        <v>337</v>
      </c>
      <c r="E584" s="34">
        <f t="shared" si="40"/>
        <v>43451</v>
      </c>
      <c r="F584" s="108" t="str">
        <f t="shared" si="44"/>
        <v>2018-19</v>
      </c>
      <c r="H584" s="119"/>
      <c r="I584" s="26"/>
      <c r="J584" s="101">
        <f t="shared" si="41"/>
        <v>0.84443766578674484</v>
      </c>
      <c r="K584" s="37"/>
      <c r="L584" s="26">
        <v>1.59935299418</v>
      </c>
      <c r="M584" s="26" t="s">
        <v>204</v>
      </c>
      <c r="N584" s="26">
        <v>696.6467060487804</v>
      </c>
      <c r="O584" s="95">
        <f t="shared" si="42"/>
        <v>1114.1839952047512</v>
      </c>
      <c r="P584" s="97">
        <f t="shared" si="43"/>
        <v>940.85893216764987</v>
      </c>
      <c r="Q584" s="197">
        <v>1</v>
      </c>
    </row>
    <row r="585" spans="1:17" x14ac:dyDescent="0.25">
      <c r="A585" s="254">
        <v>43451</v>
      </c>
      <c r="B585" s="254" t="s">
        <v>183</v>
      </c>
      <c r="C585" s="210">
        <v>11328429</v>
      </c>
      <c r="D585" s="115" t="s">
        <v>337</v>
      </c>
      <c r="E585" s="34">
        <f t="shared" si="40"/>
        <v>43451</v>
      </c>
      <c r="F585" s="108" t="str">
        <f t="shared" si="44"/>
        <v>2018-19</v>
      </c>
      <c r="H585" s="119"/>
      <c r="I585" s="26"/>
      <c r="J585" s="101">
        <f t="shared" si="41"/>
        <v>0.84443766578674484</v>
      </c>
      <c r="K585" s="37"/>
      <c r="L585" s="26">
        <v>15.630680012599999</v>
      </c>
      <c r="M585" s="26" t="s">
        <v>204</v>
      </c>
      <c r="N585" s="26">
        <v>1422.8466506341463</v>
      </c>
      <c r="O585" s="95">
        <f t="shared" si="42"/>
        <v>22240.060703062005</v>
      </c>
      <c r="P585" s="97">
        <f t="shared" si="43"/>
        <v>18780.344947049191</v>
      </c>
      <c r="Q585" s="197">
        <v>1</v>
      </c>
    </row>
    <row r="586" spans="1:17" x14ac:dyDescent="0.25">
      <c r="A586" s="254">
        <v>43451</v>
      </c>
      <c r="B586" s="254" t="s">
        <v>183</v>
      </c>
      <c r="C586" s="210">
        <v>11328433</v>
      </c>
      <c r="D586" s="115" t="s">
        <v>337</v>
      </c>
      <c r="E586" s="34">
        <f t="shared" si="40"/>
        <v>43451</v>
      </c>
      <c r="F586" s="108" t="str">
        <f t="shared" si="44"/>
        <v>2018-19</v>
      </c>
      <c r="H586" s="119"/>
      <c r="I586" s="26"/>
      <c r="J586" s="101">
        <f t="shared" si="41"/>
        <v>0.84443766578674484</v>
      </c>
      <c r="K586" s="37"/>
      <c r="L586" s="26">
        <v>1.59894621548</v>
      </c>
      <c r="M586" s="26" t="s">
        <v>204</v>
      </c>
      <c r="N586" s="26">
        <v>696.6467060487804</v>
      </c>
      <c r="O586" s="95">
        <f t="shared" si="42"/>
        <v>1113.9006141633056</v>
      </c>
      <c r="P586" s="97">
        <f t="shared" si="43"/>
        <v>940.61963454248325</v>
      </c>
      <c r="Q586" s="197">
        <v>1</v>
      </c>
    </row>
    <row r="587" spans="1:17" x14ac:dyDescent="0.25">
      <c r="A587" s="254">
        <v>43451</v>
      </c>
      <c r="B587" s="254" t="s">
        <v>183</v>
      </c>
      <c r="C587" s="210">
        <v>11328417</v>
      </c>
      <c r="D587" s="115" t="s">
        <v>337</v>
      </c>
      <c r="E587" s="34">
        <f t="shared" si="40"/>
        <v>43451</v>
      </c>
      <c r="F587" s="108" t="str">
        <f t="shared" si="44"/>
        <v>2018-19</v>
      </c>
      <c r="H587" s="119"/>
      <c r="I587" s="26"/>
      <c r="J587" s="101">
        <f t="shared" si="41"/>
        <v>0.84443766578674484</v>
      </c>
      <c r="K587" s="37"/>
      <c r="L587" s="26">
        <v>1.9994824330300001</v>
      </c>
      <c r="M587" s="26" t="s">
        <v>204</v>
      </c>
      <c r="N587" s="26">
        <v>936.5640883902438</v>
      </c>
      <c r="O587" s="95">
        <f t="shared" si="42"/>
        <v>1872.6434421430488</v>
      </c>
      <c r="P587" s="97">
        <f t="shared" si="43"/>
        <v>1581.3306571341313</v>
      </c>
      <c r="Q587" s="197">
        <v>1</v>
      </c>
    </row>
    <row r="588" spans="1:17" x14ac:dyDescent="0.25">
      <c r="A588" s="254">
        <v>43451</v>
      </c>
      <c r="B588" s="254" t="s">
        <v>183</v>
      </c>
      <c r="C588" s="210">
        <v>11328412</v>
      </c>
      <c r="D588" s="115" t="s">
        <v>337</v>
      </c>
      <c r="E588" s="34">
        <f t="shared" si="40"/>
        <v>43451</v>
      </c>
      <c r="F588" s="108" t="str">
        <f t="shared" si="44"/>
        <v>2018-19</v>
      </c>
      <c r="H588" s="119"/>
      <c r="I588" s="26"/>
      <c r="J588" s="101">
        <f t="shared" si="41"/>
        <v>0.84443766578674484</v>
      </c>
      <c r="K588" s="37"/>
      <c r="L588" s="26">
        <v>1.49844752995</v>
      </c>
      <c r="M588" s="26" t="s">
        <v>204</v>
      </c>
      <c r="N588" s="26">
        <v>936.5640883902438</v>
      </c>
      <c r="O588" s="95">
        <f t="shared" si="42"/>
        <v>1403.3921448882343</v>
      </c>
      <c r="P588" s="97">
        <f t="shared" si="43"/>
        <v>1185.0771870128738</v>
      </c>
      <c r="Q588" s="197">
        <v>1</v>
      </c>
    </row>
    <row r="589" spans="1:17" x14ac:dyDescent="0.25">
      <c r="A589" s="254">
        <v>43451</v>
      </c>
      <c r="B589" s="254" t="s">
        <v>183</v>
      </c>
      <c r="C589" s="210">
        <v>11328427</v>
      </c>
      <c r="D589" s="115" t="s">
        <v>337</v>
      </c>
      <c r="E589" s="34">
        <f t="shared" si="40"/>
        <v>43451</v>
      </c>
      <c r="F589" s="108" t="str">
        <f t="shared" si="44"/>
        <v>2018-19</v>
      </c>
      <c r="H589" s="119"/>
      <c r="I589" s="26"/>
      <c r="J589" s="101">
        <f t="shared" si="41"/>
        <v>0.84443766578674484</v>
      </c>
      <c r="K589" s="37"/>
      <c r="L589" s="26">
        <v>0.91825268853399999</v>
      </c>
      <c r="M589" s="26" t="s">
        <v>204</v>
      </c>
      <c r="N589" s="26">
        <v>696.6467060487804</v>
      </c>
      <c r="O589" s="95">
        <f t="shared" si="42"/>
        <v>639.69771078764779</v>
      </c>
      <c r="P589" s="97">
        <f t="shared" si="43"/>
        <v>540.18484170664544</v>
      </c>
      <c r="Q589" s="197">
        <v>1</v>
      </c>
    </row>
    <row r="590" spans="1:17" x14ac:dyDescent="0.25">
      <c r="A590" s="254">
        <v>42152</v>
      </c>
      <c r="B590" s="254" t="s">
        <v>183</v>
      </c>
      <c r="C590" s="210">
        <v>10819761</v>
      </c>
      <c r="D590" s="115" t="s">
        <v>335</v>
      </c>
      <c r="E590" s="34">
        <f t="shared" si="40"/>
        <v>42152</v>
      </c>
      <c r="F590" s="108" t="str">
        <f t="shared" si="44"/>
        <v>2014-15</v>
      </c>
      <c r="H590" s="119"/>
      <c r="I590" s="26"/>
      <c r="J590" s="101">
        <f t="shared" si="41"/>
        <v>0.84443766578674484</v>
      </c>
      <c r="K590" s="37"/>
      <c r="L590" s="26">
        <v>232.47786892799999</v>
      </c>
      <c r="M590" s="26" t="s">
        <v>204</v>
      </c>
      <c r="N590" s="26">
        <v>1422.8466506341463</v>
      </c>
      <c r="O590" s="95">
        <f t="shared" si="42"/>
        <v>330780.35715076886</v>
      </c>
      <c r="P590" s="97">
        <f t="shared" si="43"/>
        <v>54979.615945547244</v>
      </c>
      <c r="Q590" s="197">
        <v>0.19683140541127064</v>
      </c>
    </row>
    <row r="591" spans="1:17" x14ac:dyDescent="0.25">
      <c r="A591" s="254">
        <v>42152</v>
      </c>
      <c r="B591" s="254" t="s">
        <v>183</v>
      </c>
      <c r="C591" s="210">
        <v>10819747</v>
      </c>
      <c r="D591" s="115" t="s">
        <v>335</v>
      </c>
      <c r="E591" s="34">
        <f t="shared" si="40"/>
        <v>42152</v>
      </c>
      <c r="F591" s="108" t="str">
        <f t="shared" si="44"/>
        <v>2014-15</v>
      </c>
      <c r="H591" s="119"/>
      <c r="I591" s="26"/>
      <c r="J591" s="101">
        <f t="shared" si="41"/>
        <v>0.84443766578674484</v>
      </c>
      <c r="K591" s="37"/>
      <c r="L591" s="26">
        <v>73.438111748899999</v>
      </c>
      <c r="M591" s="26" t="s">
        <v>204</v>
      </c>
      <c r="N591" s="26">
        <v>1422.8466506341463</v>
      </c>
      <c r="O591" s="95">
        <f t="shared" si="42"/>
        <v>104491.17133081851</v>
      </c>
      <c r="P591" s="97">
        <f t="shared" si="43"/>
        <v>17367.671160867256</v>
      </c>
      <c r="Q591" s="197">
        <v>0.19683140541127064</v>
      </c>
    </row>
    <row r="592" spans="1:17" x14ac:dyDescent="0.25">
      <c r="A592" s="254">
        <v>41285</v>
      </c>
      <c r="B592" s="254" t="s">
        <v>183</v>
      </c>
      <c r="C592" s="210">
        <v>10819669</v>
      </c>
      <c r="D592" s="115" t="s">
        <v>335</v>
      </c>
      <c r="E592" s="34">
        <f t="shared" si="40"/>
        <v>41285</v>
      </c>
      <c r="F592" s="108" t="str">
        <f t="shared" si="44"/>
        <v>2012-13</v>
      </c>
      <c r="H592" s="119"/>
      <c r="I592" s="26"/>
      <c r="J592" s="101">
        <f t="shared" si="41"/>
        <v>0.84443766578674484</v>
      </c>
      <c r="K592" s="37"/>
      <c r="L592" s="26">
        <v>4.3809265001800002</v>
      </c>
      <c r="M592" s="26" t="s">
        <v>204</v>
      </c>
      <c r="N592" s="26">
        <v>1181.2618378536583</v>
      </c>
      <c r="O592" s="95">
        <f t="shared" si="42"/>
        <v>5175.0212891044221</v>
      </c>
      <c r="P592" s="97">
        <f t="shared" si="43"/>
        <v>860.14987539090214</v>
      </c>
      <c r="Q592" s="197">
        <v>0.19683140541127064</v>
      </c>
    </row>
    <row r="593" spans="1:17" x14ac:dyDescent="0.25">
      <c r="A593" s="254">
        <v>41285</v>
      </c>
      <c r="B593" s="254" t="s">
        <v>183</v>
      </c>
      <c r="C593" s="210">
        <v>10819693</v>
      </c>
      <c r="D593" s="115" t="s">
        <v>335</v>
      </c>
      <c r="E593" s="34">
        <f t="shared" si="40"/>
        <v>41285</v>
      </c>
      <c r="F593" s="108" t="str">
        <f t="shared" si="44"/>
        <v>2012-13</v>
      </c>
      <c r="H593" s="119"/>
      <c r="I593" s="26"/>
      <c r="J593" s="101">
        <f t="shared" si="41"/>
        <v>0.84443766578674484</v>
      </c>
      <c r="K593" s="37"/>
      <c r="L593" s="26">
        <v>1.5105088546600001</v>
      </c>
      <c r="M593" s="26" t="s">
        <v>204</v>
      </c>
      <c r="N593" s="26">
        <v>1181.2618378536583</v>
      </c>
      <c r="O593" s="95">
        <f t="shared" si="42"/>
        <v>1784.3064657498962</v>
      </c>
      <c r="P593" s="97">
        <f t="shared" si="43"/>
        <v>296.57288316963781</v>
      </c>
      <c r="Q593" s="197">
        <v>0.19683140541127064</v>
      </c>
    </row>
    <row r="594" spans="1:17" x14ac:dyDescent="0.25">
      <c r="A594" s="254">
        <v>41285</v>
      </c>
      <c r="B594" s="254" t="s">
        <v>183</v>
      </c>
      <c r="C594" s="210">
        <v>10819750</v>
      </c>
      <c r="D594" s="115" t="s">
        <v>335</v>
      </c>
      <c r="E594" s="34">
        <f t="shared" si="40"/>
        <v>41285</v>
      </c>
      <c r="F594" s="108" t="str">
        <f t="shared" si="44"/>
        <v>2012-13</v>
      </c>
      <c r="H594" s="119"/>
      <c r="I594" s="26"/>
      <c r="J594" s="101">
        <f t="shared" si="41"/>
        <v>0.84443766578674484</v>
      </c>
      <c r="K594" s="37"/>
      <c r="L594" s="26">
        <v>1.19953407621</v>
      </c>
      <c r="M594" s="26" t="s">
        <v>204</v>
      </c>
      <c r="N594" s="26">
        <v>1181.2618378536583</v>
      </c>
      <c r="O594" s="95">
        <f t="shared" si="42"/>
        <v>1416.9638274319148</v>
      </c>
      <c r="P594" s="97">
        <f t="shared" si="43"/>
        <v>235.51618273823573</v>
      </c>
      <c r="Q594" s="197">
        <v>0.19683140541127064</v>
      </c>
    </row>
    <row r="595" spans="1:17" x14ac:dyDescent="0.25">
      <c r="A595" s="254">
        <v>42152</v>
      </c>
      <c r="B595" s="254" t="s">
        <v>183</v>
      </c>
      <c r="C595" s="210">
        <v>10819746</v>
      </c>
      <c r="D595" s="115" t="s">
        <v>335</v>
      </c>
      <c r="E595" s="34">
        <f t="shared" si="40"/>
        <v>42152</v>
      </c>
      <c r="F595" s="108" t="str">
        <f t="shared" si="44"/>
        <v>2014-15</v>
      </c>
      <c r="H595" s="119"/>
      <c r="I595" s="26"/>
      <c r="J595" s="101">
        <f t="shared" si="41"/>
        <v>0.84443766578674484</v>
      </c>
      <c r="K595" s="37"/>
      <c r="L595" s="26">
        <v>1.47842416106</v>
      </c>
      <c r="M595" s="26" t="s">
        <v>204</v>
      </c>
      <c r="N595" s="26">
        <v>1181.2618378536583</v>
      </c>
      <c r="O595" s="95">
        <f t="shared" si="42"/>
        <v>1746.4060416209886</v>
      </c>
      <c r="P595" s="97">
        <f t="shared" si="43"/>
        <v>290.27338346315764</v>
      </c>
      <c r="Q595" s="197">
        <v>0.19683140541127064</v>
      </c>
    </row>
    <row r="596" spans="1:17" x14ac:dyDescent="0.25">
      <c r="A596" s="254">
        <v>42152</v>
      </c>
      <c r="B596" s="254" t="s">
        <v>183</v>
      </c>
      <c r="C596" s="210">
        <v>10819675</v>
      </c>
      <c r="D596" s="115" t="s">
        <v>335</v>
      </c>
      <c r="E596" s="34">
        <f t="shared" si="40"/>
        <v>42152</v>
      </c>
      <c r="F596" s="108" t="str">
        <f t="shared" si="44"/>
        <v>2014-15</v>
      </c>
      <c r="H596" s="119"/>
      <c r="I596" s="26"/>
      <c r="J596" s="101">
        <f t="shared" si="41"/>
        <v>0.84443766578674484</v>
      </c>
      <c r="K596" s="37"/>
      <c r="L596" s="26">
        <v>3.3977289474000001</v>
      </c>
      <c r="M596" s="26" t="s">
        <v>204</v>
      </c>
      <c r="N596" s="26">
        <v>1181.2618378536583</v>
      </c>
      <c r="O596" s="95">
        <f t="shared" si="42"/>
        <v>4013.6075409343002</v>
      </c>
      <c r="P596" s="97">
        <f t="shared" si="43"/>
        <v>667.10914474326182</v>
      </c>
      <c r="Q596" s="197">
        <v>0.19683140541127064</v>
      </c>
    </row>
    <row r="597" spans="1:17" x14ac:dyDescent="0.25">
      <c r="A597" s="254">
        <v>39898</v>
      </c>
      <c r="B597" s="254" t="s">
        <v>183</v>
      </c>
      <c r="C597" s="210">
        <v>9275334</v>
      </c>
      <c r="D597" s="115" t="s">
        <v>337</v>
      </c>
      <c r="E597" s="34">
        <f t="shared" si="40"/>
        <v>39898</v>
      </c>
      <c r="F597" s="108" t="str">
        <f t="shared" si="44"/>
        <v>2008-09</v>
      </c>
      <c r="H597" s="119"/>
      <c r="I597" s="26"/>
      <c r="J597" s="101">
        <f t="shared" si="41"/>
        <v>0.84443766578674484</v>
      </c>
      <c r="K597" s="37"/>
      <c r="L597" s="26">
        <v>45.068278819</v>
      </c>
      <c r="M597" s="26" t="s">
        <v>204</v>
      </c>
      <c r="N597" s="26">
        <v>936.5640883902438</v>
      </c>
      <c r="O597" s="95">
        <f t="shared" si="42"/>
        <v>42209.331467434065</v>
      </c>
      <c r="P597" s="97">
        <f t="shared" si="43"/>
        <v>35643.149338779018</v>
      </c>
      <c r="Q597" s="197">
        <v>1</v>
      </c>
    </row>
    <row r="598" spans="1:17" x14ac:dyDescent="0.25">
      <c r="A598" s="254">
        <v>39898</v>
      </c>
      <c r="B598" s="254" t="s">
        <v>183</v>
      </c>
      <c r="C598" s="210">
        <v>9393243</v>
      </c>
      <c r="D598" s="115" t="s">
        <v>337</v>
      </c>
      <c r="E598" s="34">
        <f t="shared" ref="E598:E608" si="45">IF(A598&lt;2022,DATEVALUE("30 Jun "&amp;A598),A598)</f>
        <v>39898</v>
      </c>
      <c r="F598" s="108" t="str">
        <f t="shared" si="44"/>
        <v>2008-09</v>
      </c>
      <c r="H598" s="119"/>
      <c r="I598" s="26"/>
      <c r="J598" s="101">
        <f t="shared" ref="J598:J608" si="46">J597</f>
        <v>0.84443766578674484</v>
      </c>
      <c r="K598" s="37"/>
      <c r="L598" s="26">
        <v>133.09392922699999</v>
      </c>
      <c r="M598" s="26" t="s">
        <v>204</v>
      </c>
      <c r="N598" s="26">
        <v>936.5640883902438</v>
      </c>
      <c r="O598" s="95">
        <f t="shared" ref="O598:O607" si="47">IF(N598="","-",L598*N598)</f>
        <v>124650.99449676088</v>
      </c>
      <c r="P598" s="97">
        <f t="shared" ref="P598:P607" si="48">IF(O598="-","-",IF(OR(E598&lt;$E$15,E598&gt;$E$16),0,O598*J598))*Q598</f>
        <v>105259.99483084113</v>
      </c>
      <c r="Q598" s="197">
        <v>1</v>
      </c>
    </row>
    <row r="599" spans="1:17" x14ac:dyDescent="0.25">
      <c r="A599" s="254">
        <v>39898</v>
      </c>
      <c r="B599" s="254" t="s">
        <v>183</v>
      </c>
      <c r="C599" s="210">
        <v>9393250</v>
      </c>
      <c r="D599" s="115" t="s">
        <v>337</v>
      </c>
      <c r="E599" s="34">
        <f t="shared" si="45"/>
        <v>39898</v>
      </c>
      <c r="F599" s="108" t="str">
        <f t="shared" ref="F599:F636" si="49">IF(E599="","-",IF(OR(E599&lt;$E$15,E599&gt;$E$16),"ERROR - date outside of range",IF(MONTH(E599)&gt;=7,YEAR(E599)&amp;"-"&amp;IF(YEAR(E599)=1999,"00",IF(AND(YEAR(E599)&gt;=2000,YEAR(E599)&lt;2009),"0","")&amp;RIGHT(YEAR(E599),2)+1),RIGHT(YEAR(E599),4)-1&amp;"-"&amp;RIGHT(YEAR(E599),2))))</f>
        <v>2008-09</v>
      </c>
      <c r="H599" s="119"/>
      <c r="I599" s="26"/>
      <c r="J599" s="101">
        <f t="shared" si="46"/>
        <v>0.84443766578674484</v>
      </c>
      <c r="K599" s="37"/>
      <c r="L599" s="26">
        <v>5.9971177243699998</v>
      </c>
      <c r="M599" s="26" t="s">
        <v>204</v>
      </c>
      <c r="N599" s="26">
        <v>936.5640883902438</v>
      </c>
      <c r="O599" s="95">
        <f t="shared" si="47"/>
        <v>5616.6850944935622</v>
      </c>
      <c r="P599" s="97">
        <f t="shared" si="48"/>
        <v>4742.9404506533465</v>
      </c>
      <c r="Q599" s="197">
        <v>1</v>
      </c>
    </row>
    <row r="600" spans="1:17" x14ac:dyDescent="0.25">
      <c r="A600" s="254">
        <v>39898</v>
      </c>
      <c r="B600" s="254" t="s">
        <v>183</v>
      </c>
      <c r="C600" s="210">
        <v>9393249</v>
      </c>
      <c r="D600" s="115" t="s">
        <v>337</v>
      </c>
      <c r="E600" s="34">
        <f t="shared" si="45"/>
        <v>39898</v>
      </c>
      <c r="F600" s="108" t="str">
        <f t="shared" si="49"/>
        <v>2008-09</v>
      </c>
      <c r="H600" s="119"/>
      <c r="I600" s="26"/>
      <c r="J600" s="101">
        <f t="shared" si="46"/>
        <v>0.84443766578674484</v>
      </c>
      <c r="K600" s="37"/>
      <c r="L600" s="26">
        <v>4.3725688049000002</v>
      </c>
      <c r="M600" s="26" t="s">
        <v>204</v>
      </c>
      <c r="N600" s="26">
        <v>936.5640883902438</v>
      </c>
      <c r="O600" s="95">
        <f t="shared" si="47"/>
        <v>4095.1909166847863</v>
      </c>
      <c r="P600" s="97">
        <f t="shared" si="48"/>
        <v>3458.133458636381</v>
      </c>
      <c r="Q600" s="197">
        <v>1</v>
      </c>
    </row>
    <row r="601" spans="1:17" x14ac:dyDescent="0.25">
      <c r="A601" s="254">
        <v>39898</v>
      </c>
      <c r="B601" s="254" t="s">
        <v>183</v>
      </c>
      <c r="C601" s="210">
        <v>9393241</v>
      </c>
      <c r="D601" s="115" t="s">
        <v>337</v>
      </c>
      <c r="E601" s="34">
        <f t="shared" si="45"/>
        <v>39898</v>
      </c>
      <c r="F601" s="108" t="str">
        <f t="shared" si="49"/>
        <v>2008-09</v>
      </c>
      <c r="H601" s="119"/>
      <c r="I601" s="26"/>
      <c r="J601" s="101">
        <f t="shared" si="46"/>
        <v>0.84443766578674484</v>
      </c>
      <c r="K601" s="37"/>
      <c r="L601" s="26">
        <v>9.0553851381400003E-3</v>
      </c>
      <c r="M601" s="26" t="s">
        <v>204</v>
      </c>
      <c r="N601" s="26">
        <v>936.5640883902438</v>
      </c>
      <c r="O601" s="95">
        <f t="shared" si="47"/>
        <v>8.4809485269246512</v>
      </c>
      <c r="P601" s="97">
        <f t="shared" si="48"/>
        <v>7.1616323777337847</v>
      </c>
      <c r="Q601" s="197">
        <v>1</v>
      </c>
    </row>
    <row r="602" spans="1:17" x14ac:dyDescent="0.25">
      <c r="A602" s="254">
        <v>39898</v>
      </c>
      <c r="B602" s="254" t="s">
        <v>183</v>
      </c>
      <c r="C602" s="210">
        <v>9394339</v>
      </c>
      <c r="D602" s="115" t="s">
        <v>337</v>
      </c>
      <c r="E602" s="34">
        <f t="shared" si="45"/>
        <v>39898</v>
      </c>
      <c r="F602" s="108" t="str">
        <f t="shared" si="49"/>
        <v>2008-09</v>
      </c>
      <c r="H602" s="119"/>
      <c r="I602" s="26"/>
      <c r="J602" s="101">
        <f t="shared" si="46"/>
        <v>0.84443766578674484</v>
      </c>
      <c r="K602" s="37"/>
      <c r="L602" s="26">
        <v>1.16111541201</v>
      </c>
      <c r="M602" s="26" t="s">
        <v>204</v>
      </c>
      <c r="N602" s="26">
        <v>936.5640883902438</v>
      </c>
      <c r="O602" s="95">
        <f t="shared" si="47"/>
        <v>1087.4589973650079</v>
      </c>
      <c r="P602" s="97">
        <f t="shared" si="48"/>
        <v>918.29133737370114</v>
      </c>
      <c r="Q602" s="197">
        <v>1</v>
      </c>
    </row>
    <row r="603" spans="1:17" x14ac:dyDescent="0.25">
      <c r="A603" s="254">
        <v>39898</v>
      </c>
      <c r="B603" s="254" t="s">
        <v>183</v>
      </c>
      <c r="C603" s="210">
        <v>9393815</v>
      </c>
      <c r="D603" s="115" t="s">
        <v>337</v>
      </c>
      <c r="E603" s="34">
        <f t="shared" si="45"/>
        <v>39898</v>
      </c>
      <c r="F603" s="108" t="str">
        <f t="shared" si="49"/>
        <v>2008-09</v>
      </c>
      <c r="H603" s="119"/>
      <c r="I603" s="26"/>
      <c r="J603" s="101">
        <f t="shared" si="46"/>
        <v>0.84443766578674484</v>
      </c>
      <c r="K603" s="37"/>
      <c r="L603" s="26">
        <v>334.16542294499999</v>
      </c>
      <c r="M603" s="26" t="s">
        <v>204</v>
      </c>
      <c r="N603" s="26">
        <v>936.5640883902438</v>
      </c>
      <c r="O603" s="95">
        <f t="shared" si="47"/>
        <v>312967.3347120242</v>
      </c>
      <c r="P603" s="97">
        <f t="shared" si="48"/>
        <v>264281.4055917206</v>
      </c>
      <c r="Q603" s="197">
        <v>1</v>
      </c>
    </row>
    <row r="604" spans="1:17" x14ac:dyDescent="0.25">
      <c r="A604" s="254">
        <v>39898</v>
      </c>
      <c r="B604" s="254" t="s">
        <v>183</v>
      </c>
      <c r="C604" s="210">
        <v>9393840</v>
      </c>
      <c r="D604" s="115" t="s">
        <v>337</v>
      </c>
      <c r="E604" s="34">
        <f t="shared" si="45"/>
        <v>39898</v>
      </c>
      <c r="F604" s="108" t="str">
        <f t="shared" si="49"/>
        <v>2008-09</v>
      </c>
      <c r="H604" s="119"/>
      <c r="I604" s="26"/>
      <c r="J604" s="101">
        <f t="shared" si="46"/>
        <v>0.84443766578674484</v>
      </c>
      <c r="K604" s="37"/>
      <c r="L604" s="26">
        <v>4.3972019512399996</v>
      </c>
      <c r="M604" s="26" t="s">
        <v>204</v>
      </c>
      <c r="N604" s="26">
        <v>1272.2340968780488</v>
      </c>
      <c r="O604" s="95">
        <f t="shared" si="47"/>
        <v>5594.2702532262147</v>
      </c>
      <c r="P604" s="97">
        <f t="shared" si="48"/>
        <v>4724.0125144145668</v>
      </c>
      <c r="Q604" s="197">
        <v>1</v>
      </c>
    </row>
    <row r="605" spans="1:17" x14ac:dyDescent="0.25">
      <c r="A605" s="254">
        <v>39898</v>
      </c>
      <c r="B605" s="254" t="s">
        <v>183</v>
      </c>
      <c r="C605" s="210">
        <v>9393839</v>
      </c>
      <c r="D605" s="115" t="s">
        <v>337</v>
      </c>
      <c r="E605" s="34">
        <f t="shared" si="45"/>
        <v>39898</v>
      </c>
      <c r="F605" s="108" t="str">
        <f t="shared" si="49"/>
        <v>2008-09</v>
      </c>
      <c r="H605" s="119"/>
      <c r="I605" s="26"/>
      <c r="J605" s="101">
        <f t="shared" si="46"/>
        <v>0.84443766578674484</v>
      </c>
      <c r="K605" s="37"/>
      <c r="L605" s="26">
        <v>2.1990918580200001</v>
      </c>
      <c r="M605" s="26" t="s">
        <v>204</v>
      </c>
      <c r="N605" s="26">
        <v>1385.4167692682922</v>
      </c>
      <c r="O605" s="95">
        <f t="shared" si="47"/>
        <v>3046.6587372622744</v>
      </c>
      <c r="P605" s="97">
        <f t="shared" si="48"/>
        <v>2572.7133925425464</v>
      </c>
      <c r="Q605" s="197">
        <v>1</v>
      </c>
    </row>
    <row r="606" spans="1:17" x14ac:dyDescent="0.25">
      <c r="A606" s="254">
        <v>39898</v>
      </c>
      <c r="B606" s="254" t="s">
        <v>183</v>
      </c>
      <c r="C606" s="210">
        <v>9393835</v>
      </c>
      <c r="D606" s="115" t="s">
        <v>337</v>
      </c>
      <c r="E606" s="34">
        <f t="shared" si="45"/>
        <v>39898</v>
      </c>
      <c r="F606" s="108" t="str">
        <f t="shared" si="49"/>
        <v>2008-09</v>
      </c>
      <c r="H606" s="119"/>
      <c r="I606" s="26"/>
      <c r="J606" s="101">
        <f t="shared" si="46"/>
        <v>0.84443766578674484</v>
      </c>
      <c r="K606" s="37"/>
      <c r="L606" s="26">
        <v>47.514070358200001</v>
      </c>
      <c r="M606" s="26" t="s">
        <v>204</v>
      </c>
      <c r="N606" s="26">
        <v>1181.2618378536583</v>
      </c>
      <c r="O606" s="95">
        <f t="shared" si="47"/>
        <v>56126.558075235364</v>
      </c>
      <c r="P606" s="97">
        <f t="shared" si="48"/>
        <v>47395.379689695925</v>
      </c>
      <c r="Q606" s="197">
        <v>1</v>
      </c>
    </row>
    <row r="607" spans="1:17" x14ac:dyDescent="0.25">
      <c r="A607" s="254">
        <v>39898</v>
      </c>
      <c r="B607" s="254" t="s">
        <v>183</v>
      </c>
      <c r="C607" s="210">
        <v>9393833</v>
      </c>
      <c r="D607" s="115" t="s">
        <v>337</v>
      </c>
      <c r="E607" s="34">
        <f t="shared" si="45"/>
        <v>39898</v>
      </c>
      <c r="F607" s="108" t="str">
        <f t="shared" si="49"/>
        <v>2008-09</v>
      </c>
      <c r="H607" s="119"/>
      <c r="I607" s="26"/>
      <c r="J607" s="101">
        <f t="shared" si="46"/>
        <v>0.84443766578674484</v>
      </c>
      <c r="K607" s="37"/>
      <c r="L607" s="26">
        <v>2.3783103245800001</v>
      </c>
      <c r="M607" s="26" t="s">
        <v>204</v>
      </c>
      <c r="N607" s="26">
        <v>1385.4167692682922</v>
      </c>
      <c r="O607" s="95">
        <f t="shared" si="47"/>
        <v>3294.9510061970473</v>
      </c>
      <c r="P607" s="97">
        <f t="shared" si="48"/>
        <v>2782.3807365547209</v>
      </c>
      <c r="Q607" s="197">
        <v>1</v>
      </c>
    </row>
    <row r="608" spans="1:17" x14ac:dyDescent="0.25">
      <c r="A608" s="254">
        <v>39898</v>
      </c>
      <c r="B608" s="254" t="s">
        <v>183</v>
      </c>
      <c r="C608" s="210">
        <v>9393827</v>
      </c>
      <c r="D608" s="115" t="s">
        <v>337</v>
      </c>
      <c r="E608" s="34">
        <f t="shared" si="45"/>
        <v>39898</v>
      </c>
      <c r="F608" s="108" t="str">
        <f t="shared" si="49"/>
        <v>2008-09</v>
      </c>
      <c r="H608" s="119"/>
      <c r="I608" s="26"/>
      <c r="J608" s="101">
        <f t="shared" si="46"/>
        <v>0.84443766578674484</v>
      </c>
      <c r="K608" s="37"/>
      <c r="L608" s="26">
        <v>6.9960509574999996</v>
      </c>
      <c r="M608" s="26" t="s">
        <v>204</v>
      </c>
      <c r="N608" s="26">
        <v>1272.2340968780488</v>
      </c>
      <c r="O608" s="95">
        <f t="shared" ref="O608:O634" si="50">IF(N608="","-",L608*N608)</f>
        <v>8900.6145716278206</v>
      </c>
      <c r="P608" s="97">
        <f t="shared" ref="P608:P634" si="51">IF(O608="-","-",IF(OR(E608&lt;$E$15,E608&gt;$E$16),0,O608*J608))*Q608</f>
        <v>7516.0141929328847</v>
      </c>
      <c r="Q608" s="197">
        <v>1</v>
      </c>
    </row>
    <row r="609" spans="1:17" x14ac:dyDescent="0.25">
      <c r="C609" s="210"/>
      <c r="D609" s="115"/>
      <c r="E609" s="34"/>
      <c r="F609" s="108"/>
      <c r="H609" s="119"/>
      <c r="I609" s="26"/>
      <c r="J609" s="101"/>
      <c r="K609" s="37"/>
      <c r="L609" s="26"/>
      <c r="M609" s="26"/>
      <c r="N609" s="26"/>
      <c r="O609" s="95"/>
      <c r="P609" s="97"/>
      <c r="Q609" s="197"/>
    </row>
    <row r="610" spans="1:17" x14ac:dyDescent="0.25">
      <c r="A610" s="254">
        <v>1996</v>
      </c>
      <c r="B610" s="254" t="s">
        <v>185</v>
      </c>
      <c r="C610" s="210"/>
      <c r="D610" s="115" t="s">
        <v>338</v>
      </c>
      <c r="E610" s="29">
        <f t="shared" ref="E610:E625" si="52">IF(A610&lt;2022,DATEVALUE("30 Jun "&amp;A610),A610)</f>
        <v>35246</v>
      </c>
      <c r="F610" s="108" t="str">
        <f t="shared" si="49"/>
        <v>1995-96</v>
      </c>
      <c r="H610" s="119"/>
      <c r="I610" s="26"/>
      <c r="J610" s="101">
        <f>J608</f>
        <v>0.84443766578674484</v>
      </c>
      <c r="K610" s="37"/>
      <c r="L610" s="26">
        <v>9</v>
      </c>
      <c r="M610" s="26" t="s">
        <v>204</v>
      </c>
      <c r="N610" s="26">
        <v>528.48103934807921</v>
      </c>
      <c r="O610" s="95">
        <f t="shared" si="50"/>
        <v>4756.329354132713</v>
      </c>
      <c r="P610" s="97">
        <f t="shared" si="51"/>
        <v>401.64236575168042</v>
      </c>
      <c r="Q610" s="197">
        <v>0.1</v>
      </c>
    </row>
    <row r="611" spans="1:17" x14ac:dyDescent="0.25">
      <c r="A611" s="254">
        <v>1996</v>
      </c>
      <c r="B611" s="254" t="s">
        <v>185</v>
      </c>
      <c r="C611" s="210"/>
      <c r="D611" s="115" t="s">
        <v>338</v>
      </c>
      <c r="E611" s="29">
        <f t="shared" si="52"/>
        <v>35246</v>
      </c>
      <c r="F611" s="108" t="str">
        <f t="shared" si="49"/>
        <v>1995-96</v>
      </c>
      <c r="H611" s="119"/>
      <c r="I611" s="26"/>
      <c r="J611" s="101">
        <f>J610</f>
        <v>0.84443766578674484</v>
      </c>
      <c r="K611" s="37"/>
      <c r="L611" s="26">
        <v>25</v>
      </c>
      <c r="M611" s="26" t="s">
        <v>204</v>
      </c>
      <c r="N611" s="26">
        <v>789.45933038416763</v>
      </c>
      <c r="O611" s="95">
        <f t="shared" si="50"/>
        <v>19736.483259604192</v>
      </c>
      <c r="P611" s="97">
        <f t="shared" si="51"/>
        <v>1666.6229854579333</v>
      </c>
      <c r="Q611" s="197">
        <v>0.1</v>
      </c>
    </row>
    <row r="612" spans="1:17" x14ac:dyDescent="0.25">
      <c r="A612" s="254">
        <v>1996</v>
      </c>
      <c r="B612" s="254" t="s">
        <v>185</v>
      </c>
      <c r="C612" s="210"/>
      <c r="D612" s="115" t="s">
        <v>338</v>
      </c>
      <c r="E612" s="29">
        <f t="shared" si="52"/>
        <v>35246</v>
      </c>
      <c r="F612" s="108" t="str">
        <f t="shared" si="49"/>
        <v>1995-96</v>
      </c>
      <c r="H612" s="119"/>
      <c r="I612" s="26"/>
      <c r="J612" s="101">
        <f t="shared" ref="J612:J636" si="53">J610</f>
        <v>0.84443766578674484</v>
      </c>
      <c r="K612" s="37"/>
      <c r="L612" s="26">
        <v>32</v>
      </c>
      <c r="M612" s="26" t="s">
        <v>204</v>
      </c>
      <c r="N612" s="26">
        <v>1285.3180833527358</v>
      </c>
      <c r="O612" s="95">
        <f t="shared" si="50"/>
        <v>41130.178667287546</v>
      </c>
      <c r="P612" s="97">
        <f t="shared" si="51"/>
        <v>3473.1872067196064</v>
      </c>
      <c r="Q612" s="197">
        <v>0.1</v>
      </c>
    </row>
    <row r="613" spans="1:17" x14ac:dyDescent="0.25">
      <c r="A613" s="254">
        <v>1996</v>
      </c>
      <c r="B613" s="254" t="s">
        <v>185</v>
      </c>
      <c r="C613" s="210"/>
      <c r="D613" s="115" t="s">
        <v>338</v>
      </c>
      <c r="E613" s="29">
        <f t="shared" si="52"/>
        <v>35246</v>
      </c>
      <c r="F613" s="108" t="str">
        <f t="shared" si="49"/>
        <v>1995-96</v>
      </c>
      <c r="H613" s="119"/>
      <c r="I613" s="26"/>
      <c r="J613" s="101">
        <f t="shared" si="53"/>
        <v>0.84443766578674484</v>
      </c>
      <c r="K613" s="37"/>
      <c r="L613" s="26">
        <v>9</v>
      </c>
      <c r="M613" s="26" t="s">
        <v>204</v>
      </c>
      <c r="N613" s="26">
        <v>1285.3180833527358</v>
      </c>
      <c r="O613" s="95">
        <f t="shared" si="50"/>
        <v>11567.862750174623</v>
      </c>
      <c r="P613" s="97">
        <f t="shared" si="51"/>
        <v>976.83390188988949</v>
      </c>
      <c r="Q613" s="197">
        <v>0.1</v>
      </c>
    </row>
    <row r="614" spans="1:17" x14ac:dyDescent="0.25">
      <c r="A614" s="254">
        <v>1996</v>
      </c>
      <c r="B614" s="254" t="s">
        <v>185</v>
      </c>
      <c r="C614" s="210"/>
      <c r="D614" s="115" t="s">
        <v>339</v>
      </c>
      <c r="E614" s="29">
        <f t="shared" si="52"/>
        <v>35246</v>
      </c>
      <c r="F614" s="108" t="str">
        <f t="shared" si="49"/>
        <v>1995-96</v>
      </c>
      <c r="H614" s="119"/>
      <c r="I614" s="26"/>
      <c r="J614" s="101">
        <f t="shared" si="53"/>
        <v>0.84443766578674484</v>
      </c>
      <c r="K614" s="37"/>
      <c r="L614" s="26">
        <v>40</v>
      </c>
      <c r="M614" s="26" t="s">
        <v>204</v>
      </c>
      <c r="N614" s="26">
        <v>528.48103934807921</v>
      </c>
      <c r="O614" s="95">
        <f t="shared" si="50"/>
        <v>21139.241573923169</v>
      </c>
      <c r="P614" s="97">
        <f t="shared" si="51"/>
        <v>1785.0771811185796</v>
      </c>
      <c r="Q614" s="197">
        <v>0.1</v>
      </c>
    </row>
    <row r="615" spans="1:17" x14ac:dyDescent="0.25">
      <c r="A615" s="254">
        <v>1996</v>
      </c>
      <c r="B615" s="254" t="s">
        <v>185</v>
      </c>
      <c r="C615" s="210"/>
      <c r="D615" s="115" t="s">
        <v>339</v>
      </c>
      <c r="E615" s="29">
        <f t="shared" si="52"/>
        <v>35246</v>
      </c>
      <c r="F615" s="108" t="str">
        <f t="shared" si="49"/>
        <v>1995-96</v>
      </c>
      <c r="H615" s="119"/>
      <c r="I615" s="26"/>
      <c r="J615" s="101">
        <f t="shared" si="53"/>
        <v>0.84443766578674484</v>
      </c>
      <c r="K615" s="37"/>
      <c r="L615" s="26">
        <v>7</v>
      </c>
      <c r="M615" s="26" t="s">
        <v>204</v>
      </c>
      <c r="N615" s="26">
        <v>626.34789848661228</v>
      </c>
      <c r="O615" s="95">
        <f t="shared" si="50"/>
        <v>4384.4352894062858</v>
      </c>
      <c r="P615" s="97">
        <f t="shared" si="51"/>
        <v>370.23823015792755</v>
      </c>
      <c r="Q615" s="197">
        <v>0.1</v>
      </c>
    </row>
    <row r="616" spans="1:17" x14ac:dyDescent="0.25">
      <c r="A616" s="254">
        <v>1996</v>
      </c>
      <c r="B616" s="254" t="s">
        <v>185</v>
      </c>
      <c r="C616" s="210"/>
      <c r="D616" s="115" t="s">
        <v>339</v>
      </c>
      <c r="E616" s="29">
        <f t="shared" si="52"/>
        <v>35246</v>
      </c>
      <c r="F616" s="108" t="str">
        <f t="shared" si="49"/>
        <v>1995-96</v>
      </c>
      <c r="H616" s="119"/>
      <c r="I616" s="26"/>
      <c r="J616" s="101">
        <f t="shared" si="53"/>
        <v>0.84443766578674484</v>
      </c>
      <c r="K616" s="37"/>
      <c r="L616" s="26">
        <v>38</v>
      </c>
      <c r="M616" s="26" t="s">
        <v>204</v>
      </c>
      <c r="N616" s="26">
        <v>789.45933038416763</v>
      </c>
      <c r="O616" s="95">
        <f t="shared" si="50"/>
        <v>29999.454554598371</v>
      </c>
      <c r="P616" s="97">
        <f t="shared" si="51"/>
        <v>2533.2669378960582</v>
      </c>
      <c r="Q616" s="197">
        <v>0.1</v>
      </c>
    </row>
    <row r="617" spans="1:17" x14ac:dyDescent="0.25">
      <c r="A617" s="254">
        <v>1996</v>
      </c>
      <c r="B617" s="254" t="s">
        <v>185</v>
      </c>
      <c r="C617" s="210"/>
      <c r="D617" s="115" t="s">
        <v>339</v>
      </c>
      <c r="E617" s="29">
        <f t="shared" si="52"/>
        <v>35246</v>
      </c>
      <c r="F617" s="108" t="str">
        <f t="shared" si="49"/>
        <v>1995-96</v>
      </c>
      <c r="H617" s="119"/>
      <c r="I617" s="26"/>
      <c r="J617" s="101">
        <f t="shared" si="53"/>
        <v>0.84443766578674484</v>
      </c>
      <c r="K617" s="37"/>
      <c r="L617" s="26">
        <v>21</v>
      </c>
      <c r="M617" s="26" t="s">
        <v>204</v>
      </c>
      <c r="N617" s="26">
        <v>895.48176111757846</v>
      </c>
      <c r="O617" s="95">
        <f t="shared" si="50"/>
        <v>18805.116983469146</v>
      </c>
      <c r="P617" s="97">
        <f t="shared" si="51"/>
        <v>1587.9749090367359</v>
      </c>
      <c r="Q617" s="197">
        <v>0.1</v>
      </c>
    </row>
    <row r="618" spans="1:17" x14ac:dyDescent="0.25">
      <c r="A618" s="254">
        <v>1996</v>
      </c>
      <c r="B618" s="254" t="s">
        <v>185</v>
      </c>
      <c r="C618" s="210"/>
      <c r="D618" s="115" t="s">
        <v>339</v>
      </c>
      <c r="E618" s="29">
        <f t="shared" si="52"/>
        <v>35246</v>
      </c>
      <c r="F618" s="108" t="str">
        <f t="shared" si="49"/>
        <v>1995-96</v>
      </c>
      <c r="H618" s="119"/>
      <c r="I618" s="26"/>
      <c r="J618" s="101">
        <f t="shared" si="53"/>
        <v>0.84443766578674484</v>
      </c>
      <c r="K618" s="37"/>
      <c r="L618" s="26">
        <v>1050</v>
      </c>
      <c r="M618" s="26" t="s">
        <v>204</v>
      </c>
      <c r="N618" s="26">
        <v>1285.3180833527358</v>
      </c>
      <c r="O618" s="95">
        <f t="shared" si="50"/>
        <v>1349583.9875203725</v>
      </c>
      <c r="P618" s="97">
        <f t="shared" si="51"/>
        <v>113963.95522048707</v>
      </c>
      <c r="Q618" s="197">
        <v>0.1</v>
      </c>
    </row>
    <row r="619" spans="1:17" x14ac:dyDescent="0.25">
      <c r="A619" s="254">
        <v>1996</v>
      </c>
      <c r="B619" s="254" t="s">
        <v>185</v>
      </c>
      <c r="C619" s="210"/>
      <c r="D619" s="115" t="s">
        <v>339</v>
      </c>
      <c r="E619" s="29">
        <f t="shared" si="52"/>
        <v>35246</v>
      </c>
      <c r="F619" s="108" t="str">
        <f t="shared" si="49"/>
        <v>1995-96</v>
      </c>
      <c r="H619" s="119"/>
      <c r="I619" s="26"/>
      <c r="J619" s="101">
        <f t="shared" si="53"/>
        <v>0.84443766578674484</v>
      </c>
      <c r="K619" s="37"/>
      <c r="L619" s="26">
        <v>24</v>
      </c>
      <c r="M619" s="26" t="s">
        <v>204</v>
      </c>
      <c r="N619" s="26">
        <v>1285.3180833527358</v>
      </c>
      <c r="O619" s="95">
        <f t="shared" si="50"/>
        <v>30847.634000465659</v>
      </c>
      <c r="P619" s="97">
        <f t="shared" si="51"/>
        <v>2604.890405039705</v>
      </c>
      <c r="Q619" s="197">
        <v>0.1</v>
      </c>
    </row>
    <row r="620" spans="1:17" x14ac:dyDescent="0.25">
      <c r="A620" s="254">
        <v>1997</v>
      </c>
      <c r="B620" s="254" t="s">
        <v>185</v>
      </c>
      <c r="C620" s="210"/>
      <c r="D620" s="115" t="s">
        <v>340</v>
      </c>
      <c r="E620" s="29">
        <f t="shared" si="52"/>
        <v>35611</v>
      </c>
      <c r="F620" s="108" t="str">
        <f t="shared" si="49"/>
        <v>1996-97</v>
      </c>
      <c r="H620" s="119"/>
      <c r="I620" s="26"/>
      <c r="J620" s="101">
        <f t="shared" si="53"/>
        <v>0.84443766578674484</v>
      </c>
      <c r="K620" s="37"/>
      <c r="L620" s="26">
        <v>1586</v>
      </c>
      <c r="M620" s="26" t="s">
        <v>204</v>
      </c>
      <c r="N620" s="26">
        <v>713.51611920838184</v>
      </c>
      <c r="O620" s="95">
        <f t="shared" si="50"/>
        <v>1131636.5650644936</v>
      </c>
      <c r="P620" s="97">
        <f t="shared" si="51"/>
        <v>95559.653952199078</v>
      </c>
      <c r="Q620" s="197">
        <v>0.1</v>
      </c>
    </row>
    <row r="621" spans="1:17" x14ac:dyDescent="0.25">
      <c r="A621" s="254">
        <v>1997</v>
      </c>
      <c r="B621" s="254" t="s">
        <v>185</v>
      </c>
      <c r="C621" s="210"/>
      <c r="D621" s="115" t="s">
        <v>340</v>
      </c>
      <c r="E621" s="29">
        <f t="shared" si="52"/>
        <v>35611</v>
      </c>
      <c r="F621" s="108" t="str">
        <f t="shared" si="49"/>
        <v>1996-97</v>
      </c>
      <c r="H621" s="119"/>
      <c r="I621" s="26"/>
      <c r="J621" s="101">
        <f t="shared" si="53"/>
        <v>0.84443766578674484</v>
      </c>
      <c r="K621" s="37"/>
      <c r="L621" s="26">
        <v>91</v>
      </c>
      <c r="M621" s="26" t="s">
        <v>204</v>
      </c>
      <c r="N621" s="26">
        <v>713.51611920838184</v>
      </c>
      <c r="O621" s="95">
        <f t="shared" si="50"/>
        <v>64929.966847962751</v>
      </c>
      <c r="P621" s="97">
        <f t="shared" si="51"/>
        <v>5482.9309644704399</v>
      </c>
      <c r="Q621" s="197">
        <v>0.1</v>
      </c>
    </row>
    <row r="622" spans="1:17" x14ac:dyDescent="0.25">
      <c r="A622" s="254">
        <v>2001</v>
      </c>
      <c r="B622" s="254" t="s">
        <v>185</v>
      </c>
      <c r="C622" s="210"/>
      <c r="D622" s="115" t="s">
        <v>341</v>
      </c>
      <c r="E622" s="29">
        <f t="shared" si="52"/>
        <v>37072</v>
      </c>
      <c r="F622" s="108" t="str">
        <f t="shared" si="49"/>
        <v>2000-01</v>
      </c>
      <c r="H622" s="119"/>
      <c r="I622" s="26"/>
      <c r="J622" s="101">
        <f t="shared" si="53"/>
        <v>0.84443766578674484</v>
      </c>
      <c r="K622" s="37"/>
      <c r="L622" s="26">
        <v>77</v>
      </c>
      <c r="M622" s="26" t="s">
        <v>204</v>
      </c>
      <c r="N622" s="26">
        <v>459.03407217694991</v>
      </c>
      <c r="O622" s="95">
        <f t="shared" si="50"/>
        <v>35345.623557625142</v>
      </c>
      <c r="P622" s="97">
        <f t="shared" si="51"/>
        <v>14326.644409333419</v>
      </c>
      <c r="Q622" s="197">
        <v>0.48</v>
      </c>
    </row>
    <row r="623" spans="1:17" x14ac:dyDescent="0.25">
      <c r="A623" s="254">
        <v>2002</v>
      </c>
      <c r="B623" s="254" t="s">
        <v>185</v>
      </c>
      <c r="C623" s="210"/>
      <c r="D623" s="115" t="s">
        <v>342</v>
      </c>
      <c r="E623" s="29">
        <f t="shared" si="52"/>
        <v>37437</v>
      </c>
      <c r="F623" s="108" t="str">
        <f t="shared" si="49"/>
        <v>2001-02</v>
      </c>
      <c r="H623" s="119"/>
      <c r="I623" s="26"/>
      <c r="J623" s="101">
        <f t="shared" si="53"/>
        <v>0.84443766578674484</v>
      </c>
      <c r="K623" s="37"/>
      <c r="L623" s="26">
        <v>2160</v>
      </c>
      <c r="M623" s="26" t="s">
        <v>204</v>
      </c>
      <c r="N623" s="26">
        <v>615.26672130384168</v>
      </c>
      <c r="O623" s="95">
        <f t="shared" si="50"/>
        <v>1328976.1180162979</v>
      </c>
      <c r="P623" s="97">
        <f t="shared" si="51"/>
        <v>168335.62364760181</v>
      </c>
      <c r="Q623" s="197">
        <v>0.15</v>
      </c>
    </row>
    <row r="624" spans="1:17" x14ac:dyDescent="0.25">
      <c r="A624" s="254">
        <v>2002</v>
      </c>
      <c r="B624" s="254" t="s">
        <v>185</v>
      </c>
      <c r="C624" s="210"/>
      <c r="D624" s="115" t="s">
        <v>342</v>
      </c>
      <c r="E624" s="29">
        <f t="shared" si="52"/>
        <v>37437</v>
      </c>
      <c r="F624" s="108" t="str">
        <f t="shared" si="49"/>
        <v>2001-02</v>
      </c>
      <c r="H624" s="119"/>
      <c r="I624" s="26"/>
      <c r="J624" s="101">
        <f t="shared" si="53"/>
        <v>0.84443766578674484</v>
      </c>
      <c r="K624" s="37"/>
      <c r="L624" s="26">
        <v>125</v>
      </c>
      <c r="M624" s="26" t="s">
        <v>204</v>
      </c>
      <c r="N624" s="26">
        <v>615.26672130384168</v>
      </c>
      <c r="O624" s="95">
        <f t="shared" si="50"/>
        <v>76908.34016298021</v>
      </c>
      <c r="P624" s="97">
        <f t="shared" si="51"/>
        <v>9741.6448870139957</v>
      </c>
      <c r="Q624" s="197">
        <v>0.15</v>
      </c>
    </row>
    <row r="625" spans="1:17" x14ac:dyDescent="0.25">
      <c r="A625" s="254">
        <v>2002</v>
      </c>
      <c r="B625" s="254" t="s">
        <v>185</v>
      </c>
      <c r="C625" s="210"/>
      <c r="D625" s="115" t="s">
        <v>342</v>
      </c>
      <c r="E625" s="29">
        <f t="shared" si="52"/>
        <v>37437</v>
      </c>
      <c r="F625" s="108" t="str">
        <f t="shared" si="49"/>
        <v>2001-02</v>
      </c>
      <c r="H625" s="119"/>
      <c r="I625" s="26"/>
      <c r="J625" s="101">
        <f t="shared" si="53"/>
        <v>0.84443766578674484</v>
      </c>
      <c r="K625" s="37"/>
      <c r="L625" s="26">
        <v>2390</v>
      </c>
      <c r="M625" s="26" t="s">
        <v>204</v>
      </c>
      <c r="N625" s="26">
        <v>526.68119860302681</v>
      </c>
      <c r="O625" s="95">
        <f t="shared" si="50"/>
        <v>1258768.0646612342</v>
      </c>
      <c r="P625" s="97">
        <f t="shared" si="51"/>
        <v>159442.6749434146</v>
      </c>
      <c r="Q625" s="197">
        <v>0.15</v>
      </c>
    </row>
    <row r="626" spans="1:17" x14ac:dyDescent="0.25">
      <c r="C626" s="210"/>
      <c r="D626" s="115"/>
      <c r="E626" s="34"/>
      <c r="F626" s="108"/>
      <c r="H626" s="119"/>
      <c r="I626" s="26"/>
      <c r="J626" s="101">
        <f t="shared" si="53"/>
        <v>0.84443766578674484</v>
      </c>
      <c r="K626" s="37"/>
      <c r="L626" s="26"/>
      <c r="M626" s="26"/>
      <c r="N626" s="26"/>
      <c r="O626" s="95"/>
      <c r="P626" s="97"/>
      <c r="Q626" s="197"/>
    </row>
    <row r="627" spans="1:17" ht="23" x14ac:dyDescent="0.25">
      <c r="A627" s="254">
        <v>2002</v>
      </c>
      <c r="B627" s="254" t="s">
        <v>186</v>
      </c>
      <c r="C627" s="210" t="s">
        <v>234</v>
      </c>
      <c r="D627" s="115" t="s">
        <v>343</v>
      </c>
      <c r="E627" s="29">
        <f t="shared" ref="E627:E630" si="54">IF(A627&lt;2022,DATEVALUE("30 Jun "&amp;A627),A627)</f>
        <v>37437</v>
      </c>
      <c r="F627" s="108" t="str">
        <f t="shared" si="49"/>
        <v>2001-02</v>
      </c>
      <c r="H627" s="119"/>
      <c r="I627" s="26"/>
      <c r="J627" s="101">
        <f t="shared" si="53"/>
        <v>0.84443766578674484</v>
      </c>
      <c r="K627" s="37"/>
      <c r="L627" s="26">
        <v>1</v>
      </c>
      <c r="M627" s="26" t="s">
        <v>227</v>
      </c>
      <c r="N627" s="26">
        <v>778600.70805960428</v>
      </c>
      <c r="O627" s="95">
        <f t="shared" si="50"/>
        <v>778600.70805960428</v>
      </c>
      <c r="P627" s="97">
        <f t="shared" si="51"/>
        <v>98621.964674063856</v>
      </c>
      <c r="Q627" s="197">
        <v>0.15</v>
      </c>
    </row>
    <row r="628" spans="1:17" x14ac:dyDescent="0.25">
      <c r="A628" s="254">
        <v>2003</v>
      </c>
      <c r="B628" s="254" t="s">
        <v>186</v>
      </c>
      <c r="C628" s="210" t="s">
        <v>344</v>
      </c>
      <c r="D628" s="115" t="s">
        <v>345</v>
      </c>
      <c r="E628" s="29">
        <f t="shared" si="54"/>
        <v>37802</v>
      </c>
      <c r="F628" s="108" t="str">
        <f t="shared" si="49"/>
        <v>2002-03</v>
      </c>
      <c r="H628" s="119"/>
      <c r="I628" s="26"/>
      <c r="J628" s="101">
        <f t="shared" si="53"/>
        <v>0.84443766578674484</v>
      </c>
      <c r="K628" s="37"/>
      <c r="L628" s="26">
        <v>1</v>
      </c>
      <c r="M628" s="26" t="s">
        <v>227</v>
      </c>
      <c r="N628" s="26">
        <v>487249.36648009316</v>
      </c>
      <c r="O628" s="95">
        <f t="shared" si="50"/>
        <v>487249.36648009316</v>
      </c>
      <c r="P628" s="97">
        <f t="shared" si="51"/>
        <v>411451.71768652007</v>
      </c>
      <c r="Q628" s="197">
        <v>1</v>
      </c>
    </row>
    <row r="629" spans="1:17" x14ac:dyDescent="0.25">
      <c r="A629" s="254">
        <v>40512</v>
      </c>
      <c r="B629" s="254" t="s">
        <v>186</v>
      </c>
      <c r="C629" s="210" t="s">
        <v>346</v>
      </c>
      <c r="D629" s="115" t="s">
        <v>347</v>
      </c>
      <c r="E629" s="29">
        <f t="shared" si="54"/>
        <v>40512</v>
      </c>
      <c r="F629" s="108" t="str">
        <f t="shared" si="49"/>
        <v>2010-11</v>
      </c>
      <c r="H629" s="119"/>
      <c r="I629" s="26"/>
      <c r="J629" s="101">
        <f t="shared" si="53"/>
        <v>0.84443766578674484</v>
      </c>
      <c r="K629" s="37"/>
      <c r="L629" s="26">
        <v>1</v>
      </c>
      <c r="M629" s="26" t="s">
        <v>227</v>
      </c>
      <c r="N629" s="26">
        <v>757641.20886820706</v>
      </c>
      <c r="O629" s="95">
        <f t="shared" si="50"/>
        <v>757641.20886820706</v>
      </c>
      <c r="P629" s="97">
        <f t="shared" si="51"/>
        <v>639780.77392051637</v>
      </c>
      <c r="Q629" s="197">
        <v>1</v>
      </c>
    </row>
    <row r="630" spans="1:17" x14ac:dyDescent="0.25">
      <c r="A630" s="254">
        <v>43831</v>
      </c>
      <c r="B630" s="254" t="s">
        <v>186</v>
      </c>
      <c r="C630" s="210" t="s">
        <v>230</v>
      </c>
      <c r="D630" s="115" t="s">
        <v>348</v>
      </c>
      <c r="E630" s="29">
        <f t="shared" si="54"/>
        <v>43831</v>
      </c>
      <c r="F630" s="108" t="str">
        <f t="shared" si="49"/>
        <v>2019-20</v>
      </c>
      <c r="H630" s="119"/>
      <c r="I630" s="26"/>
      <c r="J630" s="101">
        <f t="shared" si="53"/>
        <v>0.84443766578674484</v>
      </c>
      <c r="K630" s="37"/>
      <c r="L630" s="26">
        <v>1</v>
      </c>
      <c r="M630" s="26" t="s">
        <v>227</v>
      </c>
      <c r="N630" s="26">
        <v>1537126.6153846153</v>
      </c>
      <c r="O630" s="95">
        <f t="shared" si="50"/>
        <v>1537126.6153846153</v>
      </c>
      <c r="P630" s="97">
        <f t="shared" si="51"/>
        <v>1298007.611114064</v>
      </c>
      <c r="Q630" s="197">
        <v>1</v>
      </c>
    </row>
    <row r="631" spans="1:17" x14ac:dyDescent="0.25">
      <c r="C631" s="210"/>
      <c r="D631" s="115"/>
      <c r="E631" s="34"/>
      <c r="F631" s="108"/>
      <c r="H631" s="119"/>
      <c r="I631" s="26"/>
      <c r="J631" s="101">
        <f t="shared" si="53"/>
        <v>0.84443766578674484</v>
      </c>
      <c r="K631" s="37"/>
      <c r="L631" s="26"/>
      <c r="M631" s="26"/>
      <c r="N631" s="26"/>
      <c r="O631" s="95" t="str">
        <f t="shared" si="50"/>
        <v>-</v>
      </c>
      <c r="P631" s="97"/>
      <c r="Q631" s="197"/>
    </row>
    <row r="632" spans="1:17" x14ac:dyDescent="0.25">
      <c r="A632" s="254">
        <v>40358</v>
      </c>
      <c r="B632" s="254" t="s">
        <v>188</v>
      </c>
      <c r="C632" s="210" t="s">
        <v>349</v>
      </c>
      <c r="D632" s="115" t="s">
        <v>350</v>
      </c>
      <c r="E632" s="29">
        <f t="shared" ref="E632:E634" si="55">IF(A632&lt;2022,DATEVALUE("30 Jun "&amp;A632),A632)</f>
        <v>40358</v>
      </c>
      <c r="F632" s="108" t="str">
        <f t="shared" si="49"/>
        <v>2009-10</v>
      </c>
      <c r="H632" s="119"/>
      <c r="I632" s="26"/>
      <c r="J632" s="101">
        <f t="shared" si="53"/>
        <v>0.84443766578674484</v>
      </c>
      <c r="K632" s="37"/>
      <c r="L632" s="26">
        <v>1</v>
      </c>
      <c r="M632" s="26" t="s">
        <v>188</v>
      </c>
      <c r="N632" s="26">
        <v>195893.05846153846</v>
      </c>
      <c r="O632" s="95">
        <f t="shared" si="50"/>
        <v>195893.05846153846</v>
      </c>
      <c r="P632" s="97">
        <f t="shared" si="51"/>
        <v>165419.47703108788</v>
      </c>
      <c r="Q632" s="197">
        <v>1</v>
      </c>
    </row>
    <row r="633" spans="1:17" x14ac:dyDescent="0.25">
      <c r="A633" s="254">
        <v>41091</v>
      </c>
      <c r="B633" s="254" t="s">
        <v>188</v>
      </c>
      <c r="C633" s="210" t="s">
        <v>351</v>
      </c>
      <c r="D633" s="115" t="s">
        <v>352</v>
      </c>
      <c r="E633" s="29">
        <f t="shared" si="55"/>
        <v>41091</v>
      </c>
      <c r="F633" s="108" t="str">
        <f t="shared" si="49"/>
        <v>2012-13</v>
      </c>
      <c r="H633" s="119"/>
      <c r="I633" s="26"/>
      <c r="J633" s="101">
        <f t="shared" si="53"/>
        <v>0.84443766578674484</v>
      </c>
      <c r="K633" s="37"/>
      <c r="L633" s="26">
        <v>1</v>
      </c>
      <c r="M633" s="26" t="s">
        <v>188</v>
      </c>
      <c r="N633" s="26">
        <v>132553.76676923074</v>
      </c>
      <c r="O633" s="95">
        <f t="shared" si="50"/>
        <v>132553.76676923074</v>
      </c>
      <c r="P633" s="97">
        <f t="shared" si="51"/>
        <v>111933.3934018498</v>
      </c>
      <c r="Q633" s="197">
        <v>1</v>
      </c>
    </row>
    <row r="634" spans="1:17" x14ac:dyDescent="0.25">
      <c r="A634" s="254">
        <v>2002</v>
      </c>
      <c r="B634" s="254" t="s">
        <v>188</v>
      </c>
      <c r="C634" s="210" t="s">
        <v>353</v>
      </c>
      <c r="D634" s="115" t="s">
        <v>354</v>
      </c>
      <c r="E634" s="29">
        <f t="shared" si="55"/>
        <v>37437</v>
      </c>
      <c r="F634" s="108" t="str">
        <f t="shared" si="49"/>
        <v>2001-02</v>
      </c>
      <c r="H634" s="119"/>
      <c r="I634" s="26"/>
      <c r="J634" s="101">
        <f t="shared" si="53"/>
        <v>0.84443766578674484</v>
      </c>
      <c r="K634" s="37"/>
      <c r="L634" s="26">
        <v>1</v>
      </c>
      <c r="M634" s="26" t="s">
        <v>188</v>
      </c>
      <c r="N634" s="26">
        <v>2567783.4484442375</v>
      </c>
      <c r="O634" s="95">
        <f t="shared" si="50"/>
        <v>2567783.4484442375</v>
      </c>
      <c r="P634" s="97">
        <f t="shared" si="51"/>
        <v>325249.9592175135</v>
      </c>
      <c r="Q634" s="197">
        <v>0.15</v>
      </c>
    </row>
    <row r="635" spans="1:17" x14ac:dyDescent="0.25">
      <c r="C635" s="210"/>
      <c r="D635" s="115"/>
      <c r="E635" s="34"/>
      <c r="F635" s="108"/>
      <c r="H635" s="119"/>
      <c r="I635" s="26"/>
      <c r="J635" s="101"/>
      <c r="K635" s="37"/>
      <c r="L635" s="26"/>
      <c r="M635" s="26"/>
      <c r="N635" s="26"/>
      <c r="O635" s="95"/>
      <c r="P635" s="97"/>
      <c r="Q635" s="197"/>
    </row>
    <row r="636" spans="1:17" x14ac:dyDescent="0.25">
      <c r="A636" s="254">
        <v>35431</v>
      </c>
      <c r="B636" s="254" t="s">
        <v>259</v>
      </c>
      <c r="C636" s="210"/>
      <c r="D636" s="115" t="s">
        <v>355</v>
      </c>
      <c r="E636" s="29">
        <f t="shared" ref="E636" si="56">IF(A636&lt;2022,DATEVALUE("30 Jun "&amp;A636),A636)</f>
        <v>35431</v>
      </c>
      <c r="F636" s="108" t="str">
        <f t="shared" si="49"/>
        <v>1996-97</v>
      </c>
      <c r="H636" s="119"/>
      <c r="I636" s="26"/>
      <c r="J636" s="101">
        <f t="shared" si="53"/>
        <v>0.84443766578674484</v>
      </c>
      <c r="K636" s="37"/>
      <c r="L636" s="26">
        <v>1</v>
      </c>
      <c r="M636" s="26" t="s">
        <v>259</v>
      </c>
      <c r="N636" s="26">
        <v>673082</v>
      </c>
      <c r="O636" s="95">
        <f t="shared" ref="O636" si="57">IF(N636="","-",L636*N636)</f>
        <v>673082</v>
      </c>
      <c r="P636" s="97">
        <f t="shared" ref="P636" si="58">IF(O636="-","-",IF(OR(E636&lt;$E$15,E636&gt;$E$16),0,O636*J636))*Q636</f>
        <v>568375.79296307382</v>
      </c>
      <c r="Q636" s="197">
        <v>1</v>
      </c>
    </row>
    <row r="637" spans="1:17" x14ac:dyDescent="0.25">
      <c r="C637" s="210"/>
      <c r="D637" s="115"/>
      <c r="E637" s="34"/>
      <c r="F637" s="108"/>
      <c r="H637" s="119"/>
      <c r="I637" s="26"/>
      <c r="J637" s="101"/>
      <c r="K637" s="37"/>
      <c r="L637" s="26"/>
      <c r="M637" s="26"/>
      <c r="N637" s="26"/>
      <c r="O637" s="95"/>
      <c r="P637" s="97"/>
      <c r="Q637" s="197"/>
    </row>
    <row r="638" spans="1:17" x14ac:dyDescent="0.25">
      <c r="C638" s="210"/>
      <c r="D638" s="115"/>
      <c r="E638" s="34"/>
      <c r="F638" s="108"/>
      <c r="H638" s="119"/>
      <c r="I638" s="26"/>
      <c r="J638" s="101"/>
      <c r="K638" s="37"/>
      <c r="L638" s="26"/>
      <c r="M638" s="26"/>
      <c r="N638" s="26"/>
      <c r="O638" s="95"/>
      <c r="P638" s="97"/>
      <c r="Q638" s="197"/>
    </row>
    <row r="639" spans="1:17" x14ac:dyDescent="0.25">
      <c r="C639" s="210"/>
      <c r="D639" s="115"/>
      <c r="E639" s="34"/>
      <c r="F639" s="108"/>
      <c r="H639" s="119"/>
      <c r="I639" s="26"/>
      <c r="J639" s="101"/>
      <c r="K639" s="37"/>
      <c r="L639" s="26"/>
      <c r="M639" s="26"/>
      <c r="N639" s="26"/>
      <c r="O639" s="95"/>
      <c r="P639" s="97"/>
      <c r="Q639" s="197"/>
    </row>
    <row r="640" spans="1:17" x14ac:dyDescent="0.25">
      <c r="C640" s="210"/>
      <c r="D640" s="115"/>
      <c r="E640" s="34"/>
      <c r="F640" s="108"/>
      <c r="H640" s="119"/>
      <c r="I640" s="26"/>
      <c r="J640" s="101"/>
      <c r="K640" s="37"/>
      <c r="L640" s="26"/>
      <c r="M640" s="26"/>
      <c r="N640" s="26"/>
      <c r="O640" s="95"/>
      <c r="P640" s="97"/>
      <c r="Q640" s="197"/>
    </row>
    <row r="641" spans="3:17" x14ac:dyDescent="0.25">
      <c r="C641" s="210"/>
      <c r="D641" s="115"/>
      <c r="E641" s="34"/>
      <c r="F641" s="108"/>
      <c r="H641" s="119"/>
      <c r="I641" s="26"/>
      <c r="J641" s="101"/>
      <c r="K641" s="37"/>
      <c r="L641" s="26"/>
      <c r="M641" s="26"/>
      <c r="N641" s="26"/>
      <c r="O641" s="95"/>
      <c r="P641" s="97"/>
      <c r="Q641" s="197"/>
    </row>
    <row r="642" spans="3:17" x14ac:dyDescent="0.25">
      <c r="C642" s="210"/>
      <c r="D642" s="115"/>
      <c r="E642" s="34"/>
      <c r="F642" s="108"/>
      <c r="H642" s="119"/>
      <c r="I642" s="26"/>
      <c r="J642" s="101"/>
      <c r="K642" s="37"/>
      <c r="L642" s="26"/>
      <c r="M642" s="26"/>
      <c r="N642" s="26"/>
      <c r="O642" s="95"/>
      <c r="P642" s="97"/>
      <c r="Q642" s="197"/>
    </row>
    <row r="643" spans="3:17" x14ac:dyDescent="0.25">
      <c r="C643" s="210"/>
      <c r="D643" s="115"/>
      <c r="E643" s="34"/>
      <c r="F643" s="108"/>
      <c r="H643" s="119"/>
      <c r="I643" s="26"/>
      <c r="J643" s="101"/>
      <c r="K643" s="37"/>
      <c r="L643" s="26"/>
      <c r="M643" s="26"/>
      <c r="N643" s="26"/>
      <c r="O643" s="95"/>
      <c r="P643" s="97"/>
      <c r="Q643" s="197"/>
    </row>
    <row r="644" spans="3:17" x14ac:dyDescent="0.25">
      <c r="C644" s="210"/>
      <c r="D644" s="115"/>
      <c r="E644" s="34"/>
      <c r="F644" s="108"/>
      <c r="H644" s="119"/>
      <c r="I644" s="26"/>
      <c r="J644" s="101"/>
      <c r="K644" s="37"/>
      <c r="L644" s="26"/>
      <c r="M644" s="26"/>
      <c r="N644" s="26"/>
      <c r="O644" s="95"/>
      <c r="P644" s="97"/>
      <c r="Q644" s="197"/>
    </row>
    <row r="645" spans="3:17" x14ac:dyDescent="0.25">
      <c r="C645" s="210"/>
      <c r="D645" s="115"/>
      <c r="E645" s="34"/>
      <c r="F645" s="108"/>
      <c r="H645" s="119"/>
      <c r="I645" s="26"/>
      <c r="J645" s="101"/>
      <c r="K645" s="37"/>
      <c r="L645" s="26"/>
      <c r="M645" s="26"/>
      <c r="N645" s="26"/>
      <c r="O645" s="95"/>
      <c r="P645" s="97"/>
      <c r="Q645" s="197"/>
    </row>
    <row r="646" spans="3:17" x14ac:dyDescent="0.25">
      <c r="C646" s="210"/>
      <c r="D646" s="115"/>
      <c r="E646" s="34"/>
      <c r="F646" s="108"/>
      <c r="H646" s="119"/>
      <c r="I646" s="26"/>
      <c r="J646" s="101"/>
      <c r="K646" s="37"/>
      <c r="L646" s="26"/>
      <c r="M646" s="26"/>
      <c r="N646" s="26"/>
      <c r="O646" s="95"/>
      <c r="P646" s="97"/>
      <c r="Q646" s="197"/>
    </row>
    <row r="647" spans="3:17" x14ac:dyDescent="0.25">
      <c r="C647" s="210"/>
      <c r="D647" s="115"/>
      <c r="E647" s="34"/>
      <c r="F647" s="108"/>
      <c r="H647" s="119"/>
      <c r="I647" s="26"/>
      <c r="J647" s="101"/>
      <c r="K647" s="37"/>
      <c r="L647" s="26"/>
      <c r="M647" s="26"/>
      <c r="N647" s="26"/>
      <c r="O647" s="95"/>
      <c r="P647" s="97"/>
      <c r="Q647" s="197"/>
    </row>
    <row r="648" spans="3:17" x14ac:dyDescent="0.25">
      <c r="C648" s="210"/>
      <c r="D648" s="115"/>
      <c r="E648" s="34"/>
      <c r="F648" s="108"/>
      <c r="H648" s="119"/>
      <c r="I648" s="26"/>
      <c r="J648" s="101"/>
      <c r="K648" s="37"/>
      <c r="L648" s="26"/>
      <c r="M648" s="26"/>
      <c r="N648" s="26"/>
      <c r="O648" s="95"/>
      <c r="P648" s="97"/>
      <c r="Q648" s="197"/>
    </row>
    <row r="649" spans="3:17" x14ac:dyDescent="0.25">
      <c r="C649" s="210"/>
      <c r="D649" s="115"/>
      <c r="E649" s="34"/>
      <c r="F649" s="108"/>
      <c r="H649" s="119"/>
      <c r="I649" s="26"/>
      <c r="J649" s="101"/>
      <c r="K649" s="37"/>
      <c r="L649" s="26"/>
      <c r="M649" s="26"/>
      <c r="N649" s="26"/>
      <c r="O649" s="95"/>
      <c r="P649" s="97"/>
      <c r="Q649" s="197"/>
    </row>
    <row r="650" spans="3:17" x14ac:dyDescent="0.25">
      <c r="C650" s="210"/>
      <c r="D650" s="115"/>
      <c r="E650" s="34"/>
      <c r="F650" s="108"/>
      <c r="H650" s="119"/>
      <c r="I650" s="26"/>
      <c r="J650" s="101"/>
      <c r="K650" s="37"/>
      <c r="L650" s="26"/>
      <c r="M650" s="26"/>
      <c r="N650" s="26"/>
      <c r="O650" s="95"/>
      <c r="P650" s="97"/>
      <c r="Q650" s="197"/>
    </row>
    <row r="651" spans="3:17" x14ac:dyDescent="0.25">
      <c r="C651" s="210"/>
      <c r="D651" s="115"/>
      <c r="E651" s="34"/>
      <c r="F651" s="108"/>
      <c r="H651" s="119"/>
      <c r="I651" s="26"/>
      <c r="J651" s="101"/>
      <c r="K651" s="37"/>
      <c r="L651" s="26"/>
      <c r="M651" s="26"/>
      <c r="N651" s="26"/>
      <c r="O651" s="95"/>
      <c r="P651" s="97"/>
      <c r="Q651" s="197"/>
    </row>
    <row r="652" spans="3:17" x14ac:dyDescent="0.25">
      <c r="C652" s="210"/>
      <c r="D652" s="115"/>
      <c r="E652" s="34"/>
      <c r="F652" s="108"/>
      <c r="H652" s="119"/>
      <c r="I652" s="26"/>
      <c r="J652" s="101"/>
      <c r="K652" s="37"/>
      <c r="L652" s="26"/>
      <c r="M652" s="26"/>
      <c r="N652" s="26"/>
      <c r="O652" s="95"/>
      <c r="P652" s="97"/>
      <c r="Q652" s="197"/>
    </row>
    <row r="653" spans="3:17" x14ac:dyDescent="0.25">
      <c r="C653" s="210"/>
      <c r="D653" s="115"/>
      <c r="E653" s="34"/>
      <c r="F653" s="108"/>
      <c r="H653" s="119"/>
      <c r="I653" s="26"/>
      <c r="J653" s="101"/>
      <c r="K653" s="37"/>
      <c r="L653" s="26"/>
      <c r="M653" s="26"/>
      <c r="N653" s="26"/>
      <c r="O653" s="95"/>
      <c r="P653" s="97"/>
      <c r="Q653" s="197"/>
    </row>
    <row r="654" spans="3:17" x14ac:dyDescent="0.25">
      <c r="C654" s="210"/>
      <c r="D654" s="115"/>
      <c r="E654" s="34"/>
      <c r="F654" s="108"/>
      <c r="H654" s="119"/>
      <c r="I654" s="26"/>
      <c r="J654" s="101"/>
      <c r="K654" s="37"/>
      <c r="L654" s="26"/>
      <c r="M654" s="26"/>
      <c r="N654" s="26"/>
      <c r="O654" s="95"/>
      <c r="P654" s="97"/>
      <c r="Q654" s="197"/>
    </row>
    <row r="655" spans="3:17" x14ac:dyDescent="0.25">
      <c r="C655" s="210"/>
      <c r="D655" s="115"/>
      <c r="E655" s="34"/>
      <c r="F655" s="108"/>
      <c r="H655" s="119"/>
      <c r="I655" s="26"/>
      <c r="J655" s="101"/>
      <c r="K655" s="37"/>
      <c r="L655" s="26"/>
      <c r="M655" s="26"/>
      <c r="N655" s="26"/>
      <c r="O655" s="95"/>
      <c r="P655" s="97"/>
      <c r="Q655" s="197"/>
    </row>
    <row r="656" spans="3:17" x14ac:dyDescent="0.25">
      <c r="C656" s="210"/>
      <c r="D656" s="115"/>
      <c r="E656" s="34"/>
      <c r="F656" s="108"/>
      <c r="H656" s="119"/>
      <c r="I656" s="26"/>
      <c r="J656" s="101"/>
      <c r="K656" s="37"/>
      <c r="L656" s="26"/>
      <c r="M656" s="26"/>
      <c r="N656" s="26"/>
      <c r="O656" s="95"/>
      <c r="P656" s="97"/>
      <c r="Q656" s="197"/>
    </row>
    <row r="657" spans="3:17" x14ac:dyDescent="0.25">
      <c r="C657" s="210"/>
      <c r="D657" s="115"/>
      <c r="E657" s="34"/>
      <c r="F657" s="108"/>
      <c r="H657" s="119"/>
      <c r="I657" s="26"/>
      <c r="J657" s="101"/>
      <c r="K657" s="37"/>
      <c r="L657" s="26"/>
      <c r="M657" s="26"/>
      <c r="N657" s="26"/>
      <c r="O657" s="95"/>
      <c r="P657" s="97"/>
      <c r="Q657" s="197"/>
    </row>
    <row r="658" spans="3:17" x14ac:dyDescent="0.25">
      <c r="C658" s="210"/>
      <c r="D658" s="115"/>
      <c r="E658" s="34"/>
      <c r="F658" s="108"/>
      <c r="H658" s="119"/>
      <c r="I658" s="26"/>
      <c r="J658" s="101"/>
      <c r="K658" s="37"/>
      <c r="L658" s="26"/>
      <c r="M658" s="26"/>
      <c r="N658" s="26"/>
      <c r="O658" s="95"/>
      <c r="P658" s="97"/>
      <c r="Q658" s="197"/>
    </row>
    <row r="659" spans="3:17" x14ac:dyDescent="0.25">
      <c r="C659" s="210"/>
      <c r="D659" s="115"/>
      <c r="E659" s="34"/>
      <c r="F659" s="108"/>
      <c r="H659" s="119"/>
      <c r="I659" s="26"/>
      <c r="J659" s="101"/>
      <c r="K659" s="37"/>
      <c r="L659" s="26"/>
      <c r="M659" s="26"/>
      <c r="N659" s="26"/>
      <c r="O659" s="95"/>
      <c r="P659" s="97"/>
      <c r="Q659" s="197"/>
    </row>
    <row r="660" spans="3:17" x14ac:dyDescent="0.25">
      <c r="C660" s="210"/>
      <c r="D660" s="115"/>
      <c r="E660" s="34"/>
      <c r="F660" s="108"/>
      <c r="H660" s="119"/>
      <c r="I660" s="26"/>
      <c r="J660" s="101"/>
      <c r="K660" s="37"/>
      <c r="L660" s="26"/>
      <c r="M660" s="26"/>
      <c r="N660" s="26"/>
      <c r="O660" s="95"/>
      <c r="P660" s="97"/>
      <c r="Q660" s="197"/>
    </row>
    <row r="661" spans="3:17" x14ac:dyDescent="0.25">
      <c r="C661" s="210"/>
      <c r="D661" s="115"/>
      <c r="E661" s="34"/>
      <c r="F661" s="108"/>
      <c r="H661" s="119"/>
      <c r="I661" s="26"/>
      <c r="J661" s="101"/>
      <c r="K661" s="37"/>
      <c r="L661" s="26"/>
      <c r="M661" s="26"/>
      <c r="N661" s="26"/>
      <c r="O661" s="95"/>
      <c r="P661" s="97"/>
      <c r="Q661" s="197"/>
    </row>
    <row r="662" spans="3:17" x14ac:dyDescent="0.25">
      <c r="C662" s="210"/>
      <c r="D662" s="115"/>
      <c r="E662" s="34"/>
      <c r="F662" s="108"/>
      <c r="H662" s="119"/>
      <c r="I662" s="26"/>
      <c r="J662" s="101"/>
      <c r="K662" s="37"/>
      <c r="L662" s="26"/>
      <c r="M662" s="26"/>
      <c r="N662" s="26"/>
      <c r="O662" s="95"/>
      <c r="P662" s="97"/>
      <c r="Q662" s="197"/>
    </row>
    <row r="663" spans="3:17" x14ac:dyDescent="0.25">
      <c r="C663" s="210"/>
      <c r="D663" s="115"/>
      <c r="E663" s="34"/>
      <c r="F663" s="108"/>
      <c r="H663" s="119"/>
      <c r="I663" s="26"/>
      <c r="J663" s="101"/>
      <c r="K663" s="37"/>
      <c r="L663" s="26"/>
      <c r="M663" s="26"/>
      <c r="N663" s="26"/>
      <c r="O663" s="95"/>
      <c r="P663" s="97"/>
      <c r="Q663" s="197"/>
    </row>
    <row r="664" spans="3:17" x14ac:dyDescent="0.25">
      <c r="C664" s="210"/>
      <c r="D664" s="115"/>
      <c r="E664" s="34"/>
      <c r="F664" s="108"/>
      <c r="H664" s="119"/>
      <c r="I664" s="26"/>
      <c r="J664" s="101"/>
      <c r="K664" s="37"/>
      <c r="L664" s="26"/>
      <c r="M664" s="26"/>
      <c r="N664" s="26"/>
      <c r="O664" s="95"/>
      <c r="P664" s="97"/>
      <c r="Q664" s="197"/>
    </row>
    <row r="665" spans="3:17" x14ac:dyDescent="0.25">
      <c r="C665" s="210"/>
      <c r="D665" s="115"/>
      <c r="E665" s="34"/>
      <c r="F665" s="108"/>
      <c r="H665" s="119"/>
      <c r="I665" s="26"/>
      <c r="J665" s="101"/>
      <c r="K665" s="37"/>
      <c r="L665" s="26"/>
      <c r="M665" s="26"/>
      <c r="N665" s="26"/>
      <c r="O665" s="95"/>
      <c r="P665" s="97"/>
      <c r="Q665" s="197"/>
    </row>
    <row r="666" spans="3:17" x14ac:dyDescent="0.25">
      <c r="C666" s="210"/>
      <c r="D666" s="115"/>
      <c r="E666" s="34"/>
      <c r="F666" s="108"/>
      <c r="H666" s="119"/>
      <c r="I666" s="26"/>
      <c r="J666" s="101"/>
      <c r="K666" s="37"/>
      <c r="L666" s="26"/>
      <c r="M666" s="26"/>
      <c r="N666" s="26"/>
      <c r="O666" s="95"/>
      <c r="P666" s="97"/>
      <c r="Q666" s="197"/>
    </row>
    <row r="667" spans="3:17" x14ac:dyDescent="0.25">
      <c r="C667" s="210"/>
      <c r="D667" s="115"/>
      <c r="E667" s="34"/>
      <c r="F667" s="108"/>
      <c r="H667" s="119"/>
      <c r="I667" s="26"/>
      <c r="J667" s="101"/>
      <c r="K667" s="37"/>
      <c r="L667" s="26"/>
      <c r="M667" s="26"/>
      <c r="N667" s="26"/>
      <c r="O667" s="95"/>
      <c r="P667" s="97"/>
      <c r="Q667" s="197"/>
    </row>
    <row r="668" spans="3:17" x14ac:dyDescent="0.25">
      <c r="C668" s="210"/>
      <c r="D668" s="115"/>
      <c r="E668" s="34"/>
      <c r="F668" s="108"/>
      <c r="H668" s="119"/>
      <c r="I668" s="26"/>
      <c r="J668" s="101"/>
      <c r="K668" s="37"/>
      <c r="L668" s="26"/>
      <c r="M668" s="26"/>
      <c r="N668" s="26"/>
      <c r="O668" s="95"/>
      <c r="P668" s="97"/>
      <c r="Q668" s="197"/>
    </row>
    <row r="669" spans="3:17" x14ac:dyDescent="0.25">
      <c r="C669" s="210"/>
      <c r="D669" s="115"/>
      <c r="E669" s="34"/>
      <c r="F669" s="108"/>
      <c r="H669" s="119"/>
      <c r="I669" s="26"/>
      <c r="J669" s="101"/>
      <c r="K669" s="37"/>
      <c r="L669" s="26"/>
      <c r="M669" s="26"/>
      <c r="N669" s="26"/>
      <c r="O669" s="95"/>
      <c r="P669" s="97"/>
      <c r="Q669" s="197"/>
    </row>
    <row r="670" spans="3:17" x14ac:dyDescent="0.25">
      <c r="C670" s="210"/>
      <c r="D670" s="115"/>
      <c r="E670" s="34"/>
      <c r="F670" s="108"/>
      <c r="H670" s="119"/>
      <c r="I670" s="26"/>
      <c r="J670" s="101"/>
      <c r="K670" s="37"/>
      <c r="L670" s="26"/>
      <c r="M670" s="26"/>
      <c r="N670" s="26"/>
      <c r="O670" s="95"/>
      <c r="P670" s="97"/>
      <c r="Q670" s="197"/>
    </row>
    <row r="671" spans="3:17" x14ac:dyDescent="0.25">
      <c r="C671" s="210"/>
      <c r="D671" s="115"/>
      <c r="E671" s="34"/>
      <c r="F671" s="108"/>
      <c r="H671" s="119"/>
      <c r="I671" s="26"/>
      <c r="J671" s="101"/>
      <c r="K671" s="37"/>
      <c r="L671" s="26"/>
      <c r="M671" s="26"/>
      <c r="N671" s="26"/>
      <c r="O671" s="95"/>
      <c r="P671" s="97"/>
      <c r="Q671" s="197"/>
    </row>
    <row r="672" spans="3:17" x14ac:dyDescent="0.25">
      <c r="C672" s="210"/>
      <c r="D672" s="115"/>
      <c r="E672" s="34"/>
      <c r="F672" s="108"/>
      <c r="H672" s="119"/>
      <c r="I672" s="26"/>
      <c r="J672" s="101"/>
      <c r="K672" s="37"/>
      <c r="L672" s="26"/>
      <c r="M672" s="26"/>
      <c r="N672" s="26"/>
      <c r="O672" s="95"/>
      <c r="P672" s="97"/>
      <c r="Q672" s="197"/>
    </row>
    <row r="673" spans="3:17" x14ac:dyDescent="0.25">
      <c r="C673" s="210"/>
      <c r="D673" s="115"/>
      <c r="E673" s="34"/>
      <c r="F673" s="108"/>
      <c r="H673" s="119"/>
      <c r="I673" s="26"/>
      <c r="J673" s="101"/>
      <c r="K673" s="37"/>
      <c r="L673" s="26"/>
      <c r="M673" s="26"/>
      <c r="N673" s="26"/>
      <c r="O673" s="95"/>
      <c r="P673" s="97"/>
      <c r="Q673" s="197"/>
    </row>
    <row r="674" spans="3:17" x14ac:dyDescent="0.25">
      <c r="C674" s="210"/>
      <c r="D674" s="115"/>
      <c r="E674" s="34"/>
      <c r="F674" s="108"/>
      <c r="H674" s="119"/>
      <c r="I674" s="26"/>
      <c r="J674" s="101"/>
      <c r="K674" s="37"/>
      <c r="L674" s="26"/>
      <c r="M674" s="26"/>
      <c r="N674" s="26"/>
      <c r="O674" s="95"/>
      <c r="P674" s="97"/>
      <c r="Q674" s="197"/>
    </row>
    <row r="675" spans="3:17" x14ac:dyDescent="0.25">
      <c r="C675" s="210"/>
      <c r="D675" s="115"/>
      <c r="E675" s="34"/>
      <c r="F675" s="108"/>
      <c r="H675" s="119"/>
      <c r="I675" s="26"/>
      <c r="J675" s="101"/>
      <c r="K675" s="37"/>
      <c r="L675" s="26"/>
      <c r="M675" s="26"/>
      <c r="N675" s="26"/>
      <c r="O675" s="95"/>
      <c r="P675" s="97"/>
      <c r="Q675" s="197"/>
    </row>
    <row r="676" spans="3:17" x14ac:dyDescent="0.25">
      <c r="C676" s="210"/>
      <c r="D676" s="115"/>
      <c r="E676" s="34"/>
      <c r="F676" s="108"/>
      <c r="H676" s="119"/>
      <c r="I676" s="26"/>
      <c r="J676" s="101"/>
      <c r="K676" s="37"/>
      <c r="L676" s="26"/>
      <c r="M676" s="26"/>
      <c r="N676" s="26"/>
      <c r="O676" s="95"/>
      <c r="P676" s="97"/>
      <c r="Q676" s="197"/>
    </row>
    <row r="677" spans="3:17" x14ac:dyDescent="0.25">
      <c r="C677" s="210"/>
      <c r="D677" s="115"/>
      <c r="E677" s="34"/>
      <c r="F677" s="108"/>
      <c r="H677" s="119"/>
      <c r="I677" s="26"/>
      <c r="J677" s="101"/>
      <c r="K677" s="37"/>
      <c r="L677" s="26"/>
      <c r="M677" s="26"/>
      <c r="N677" s="26"/>
      <c r="O677" s="95"/>
      <c r="P677" s="97"/>
      <c r="Q677" s="197"/>
    </row>
    <row r="678" spans="3:17" x14ac:dyDescent="0.25">
      <c r="C678" s="210"/>
      <c r="D678" s="115"/>
      <c r="E678" s="34"/>
      <c r="F678" s="108"/>
      <c r="H678" s="119"/>
      <c r="I678" s="26"/>
      <c r="J678" s="101"/>
      <c r="K678" s="37"/>
      <c r="L678" s="26"/>
      <c r="M678" s="26"/>
      <c r="N678" s="26"/>
      <c r="O678" s="95"/>
      <c r="P678" s="97"/>
      <c r="Q678" s="197"/>
    </row>
    <row r="679" spans="3:17" x14ac:dyDescent="0.25">
      <c r="C679" s="210"/>
      <c r="D679" s="115"/>
      <c r="E679" s="34"/>
      <c r="F679" s="108"/>
      <c r="H679" s="119"/>
      <c r="I679" s="26"/>
      <c r="J679" s="101"/>
      <c r="K679" s="37"/>
      <c r="L679" s="26"/>
      <c r="M679" s="26"/>
      <c r="N679" s="26"/>
      <c r="O679" s="95"/>
      <c r="P679" s="97"/>
      <c r="Q679" s="197"/>
    </row>
    <row r="680" spans="3:17" x14ac:dyDescent="0.25">
      <c r="C680" s="210"/>
      <c r="D680" s="115"/>
      <c r="E680" s="34"/>
      <c r="F680" s="108"/>
      <c r="H680" s="119"/>
      <c r="I680" s="26"/>
      <c r="J680" s="101"/>
      <c r="K680" s="37"/>
      <c r="L680" s="26"/>
      <c r="M680" s="26"/>
      <c r="N680" s="26"/>
      <c r="O680" s="95"/>
      <c r="P680" s="97"/>
      <c r="Q680" s="197"/>
    </row>
    <row r="681" spans="3:17" x14ac:dyDescent="0.25">
      <c r="C681" s="210"/>
      <c r="D681" s="115"/>
      <c r="E681" s="34"/>
      <c r="F681" s="108"/>
      <c r="H681" s="119"/>
      <c r="I681" s="26"/>
      <c r="J681" s="101"/>
      <c r="K681" s="37"/>
      <c r="L681" s="26"/>
      <c r="M681" s="26"/>
      <c r="N681" s="26"/>
      <c r="O681" s="95"/>
      <c r="P681" s="97"/>
      <c r="Q681" s="197"/>
    </row>
    <row r="682" spans="3:17" x14ac:dyDescent="0.25">
      <c r="C682" s="210"/>
      <c r="D682" s="115"/>
      <c r="E682" s="34"/>
      <c r="F682" s="108"/>
      <c r="H682" s="119"/>
      <c r="I682" s="26"/>
      <c r="J682" s="101"/>
      <c r="K682" s="37"/>
      <c r="L682" s="26"/>
      <c r="M682" s="26"/>
      <c r="N682" s="26"/>
      <c r="O682" s="95"/>
      <c r="P682" s="97"/>
      <c r="Q682" s="197"/>
    </row>
    <row r="683" spans="3:17" x14ac:dyDescent="0.25">
      <c r="C683" s="210"/>
      <c r="D683" s="115"/>
      <c r="E683" s="34"/>
      <c r="F683" s="108"/>
      <c r="H683" s="119"/>
      <c r="I683" s="26"/>
      <c r="J683" s="101"/>
      <c r="K683" s="37"/>
      <c r="L683" s="26"/>
      <c r="M683" s="26"/>
      <c r="N683" s="26"/>
      <c r="O683" s="95"/>
      <c r="P683" s="97"/>
      <c r="Q683" s="197"/>
    </row>
    <row r="684" spans="3:17" x14ac:dyDescent="0.25">
      <c r="C684" s="210"/>
      <c r="D684" s="115"/>
      <c r="E684" s="34"/>
      <c r="F684" s="108"/>
      <c r="H684" s="119"/>
      <c r="I684" s="26"/>
      <c r="J684" s="101"/>
      <c r="K684" s="37"/>
      <c r="L684" s="26"/>
      <c r="M684" s="26"/>
      <c r="N684" s="26"/>
      <c r="O684" s="95"/>
      <c r="P684" s="97"/>
      <c r="Q684" s="197"/>
    </row>
    <row r="685" spans="3:17" x14ac:dyDescent="0.25">
      <c r="C685" s="210"/>
      <c r="D685" s="115"/>
      <c r="E685" s="34"/>
      <c r="F685" s="108"/>
      <c r="H685" s="119"/>
      <c r="I685" s="26"/>
      <c r="J685" s="101"/>
      <c r="K685" s="37"/>
      <c r="L685" s="26"/>
      <c r="M685" s="26"/>
      <c r="N685" s="26"/>
      <c r="O685" s="95"/>
      <c r="P685" s="97"/>
      <c r="Q685" s="197"/>
    </row>
    <row r="686" spans="3:17" x14ac:dyDescent="0.25">
      <c r="C686" s="210"/>
      <c r="D686" s="115"/>
      <c r="E686" s="34"/>
      <c r="F686" s="108"/>
      <c r="H686" s="119"/>
      <c r="I686" s="26"/>
      <c r="J686" s="101"/>
      <c r="K686" s="37"/>
      <c r="L686" s="26"/>
      <c r="M686" s="26"/>
      <c r="N686" s="26"/>
      <c r="O686" s="95"/>
      <c r="P686" s="97"/>
      <c r="Q686" s="197"/>
    </row>
    <row r="687" spans="3:17" x14ac:dyDescent="0.25">
      <c r="C687" s="210"/>
      <c r="D687" s="115"/>
      <c r="E687" s="34"/>
      <c r="F687" s="108"/>
      <c r="H687" s="119"/>
      <c r="I687" s="26"/>
      <c r="J687" s="101"/>
      <c r="K687" s="37"/>
      <c r="L687" s="26"/>
      <c r="M687" s="26"/>
      <c r="N687" s="26"/>
      <c r="O687" s="95"/>
      <c r="P687" s="97"/>
      <c r="Q687" s="197"/>
    </row>
    <row r="688" spans="3:17" x14ac:dyDescent="0.25">
      <c r="C688" s="210"/>
      <c r="D688" s="115"/>
      <c r="E688" s="34"/>
      <c r="F688" s="108"/>
      <c r="H688" s="119"/>
      <c r="I688" s="26"/>
      <c r="J688" s="101"/>
      <c r="K688" s="37"/>
      <c r="L688" s="26"/>
      <c r="M688" s="26"/>
      <c r="N688" s="26"/>
      <c r="O688" s="95"/>
      <c r="P688" s="97"/>
      <c r="Q688" s="197"/>
    </row>
    <row r="689" spans="3:17" x14ac:dyDescent="0.25">
      <c r="C689" s="210"/>
      <c r="D689" s="115"/>
      <c r="E689" s="34"/>
      <c r="F689" s="108"/>
      <c r="H689" s="119"/>
      <c r="I689" s="26"/>
      <c r="J689" s="101"/>
      <c r="K689" s="37"/>
      <c r="L689" s="26"/>
      <c r="M689" s="26"/>
      <c r="N689" s="26"/>
      <c r="O689" s="95"/>
      <c r="P689" s="97"/>
      <c r="Q689" s="197"/>
    </row>
    <row r="690" spans="3:17" x14ac:dyDescent="0.25">
      <c r="C690" s="210"/>
      <c r="D690" s="115"/>
      <c r="E690" s="34"/>
      <c r="F690" s="108"/>
      <c r="H690" s="119"/>
      <c r="I690" s="26"/>
      <c r="J690" s="101"/>
      <c r="K690" s="37"/>
      <c r="L690" s="26"/>
      <c r="M690" s="26"/>
      <c r="N690" s="26"/>
      <c r="O690" s="95"/>
      <c r="P690" s="97"/>
      <c r="Q690" s="197"/>
    </row>
    <row r="691" spans="3:17" x14ac:dyDescent="0.25">
      <c r="C691" s="210"/>
      <c r="D691" s="115"/>
      <c r="E691" s="34"/>
      <c r="F691" s="108"/>
      <c r="H691" s="119"/>
      <c r="I691" s="26"/>
      <c r="J691" s="101"/>
      <c r="K691" s="37"/>
      <c r="L691" s="26"/>
      <c r="M691" s="26"/>
      <c r="N691" s="26"/>
      <c r="O691" s="95"/>
      <c r="P691" s="97"/>
      <c r="Q691" s="197"/>
    </row>
    <row r="692" spans="3:17" x14ac:dyDescent="0.25">
      <c r="C692" s="210"/>
      <c r="D692" s="115"/>
      <c r="E692" s="34"/>
      <c r="F692" s="108"/>
      <c r="H692" s="119"/>
      <c r="I692" s="26"/>
      <c r="J692" s="101"/>
      <c r="K692" s="37"/>
      <c r="L692" s="26"/>
      <c r="M692" s="26"/>
      <c r="N692" s="26"/>
      <c r="O692" s="95"/>
      <c r="P692" s="97"/>
      <c r="Q692" s="197"/>
    </row>
    <row r="693" spans="3:17" x14ac:dyDescent="0.25">
      <c r="C693" s="210"/>
      <c r="D693" s="115"/>
      <c r="E693" s="34"/>
      <c r="F693" s="108"/>
      <c r="H693" s="119"/>
      <c r="I693" s="26"/>
      <c r="J693" s="101"/>
      <c r="K693" s="37"/>
      <c r="L693" s="26"/>
      <c r="M693" s="26"/>
      <c r="N693" s="26"/>
      <c r="O693" s="95"/>
      <c r="P693" s="97"/>
      <c r="Q693" s="197"/>
    </row>
    <row r="694" spans="3:17" x14ac:dyDescent="0.25">
      <c r="C694" s="210"/>
      <c r="D694" s="115"/>
      <c r="E694" s="34"/>
      <c r="F694" s="108"/>
      <c r="H694" s="119"/>
      <c r="I694" s="26"/>
      <c r="J694" s="101"/>
      <c r="K694" s="37"/>
      <c r="L694" s="26"/>
      <c r="M694" s="26"/>
      <c r="N694" s="26"/>
      <c r="O694" s="95"/>
      <c r="P694" s="97"/>
      <c r="Q694" s="197"/>
    </row>
    <row r="695" spans="3:17" x14ac:dyDescent="0.25">
      <c r="C695" s="210"/>
      <c r="D695" s="115"/>
      <c r="E695" s="34"/>
      <c r="F695" s="108"/>
      <c r="H695" s="119"/>
      <c r="I695" s="26"/>
      <c r="J695" s="101"/>
      <c r="K695" s="37"/>
      <c r="L695" s="26"/>
      <c r="M695" s="26"/>
      <c r="N695" s="26"/>
      <c r="O695" s="95"/>
      <c r="P695" s="97"/>
      <c r="Q695" s="197"/>
    </row>
    <row r="696" spans="3:17" x14ac:dyDescent="0.25">
      <c r="C696" s="210"/>
      <c r="D696" s="115"/>
      <c r="E696" s="34"/>
      <c r="F696" s="108"/>
      <c r="H696" s="119"/>
      <c r="I696" s="26"/>
      <c r="J696" s="101"/>
      <c r="K696" s="37"/>
      <c r="L696" s="26"/>
      <c r="M696" s="26"/>
      <c r="N696" s="26"/>
      <c r="O696" s="95"/>
      <c r="P696" s="97"/>
      <c r="Q696" s="197"/>
    </row>
    <row r="697" spans="3:17" x14ac:dyDescent="0.25">
      <c r="C697" s="210"/>
      <c r="D697" s="115"/>
      <c r="E697" s="34"/>
      <c r="F697" s="108"/>
      <c r="H697" s="119"/>
      <c r="I697" s="26"/>
      <c r="J697" s="101"/>
      <c r="K697" s="37"/>
      <c r="L697" s="26"/>
      <c r="M697" s="26"/>
      <c r="N697" s="26"/>
      <c r="O697" s="95"/>
      <c r="P697" s="97"/>
      <c r="Q697" s="197"/>
    </row>
    <row r="698" spans="3:17" x14ac:dyDescent="0.25">
      <c r="C698" s="210"/>
      <c r="D698" s="115"/>
      <c r="E698" s="34"/>
      <c r="F698" s="108"/>
      <c r="H698" s="119"/>
      <c r="I698" s="26"/>
      <c r="J698" s="101"/>
      <c r="K698" s="37"/>
      <c r="L698" s="26"/>
      <c r="M698" s="26"/>
      <c r="N698" s="26"/>
      <c r="O698" s="95"/>
      <c r="P698" s="97"/>
      <c r="Q698" s="197"/>
    </row>
    <row r="699" spans="3:17" x14ac:dyDescent="0.25">
      <c r="C699" s="210"/>
      <c r="D699" s="115"/>
      <c r="E699" s="34"/>
      <c r="F699" s="108"/>
      <c r="H699" s="119"/>
      <c r="I699" s="26"/>
      <c r="J699" s="101"/>
      <c r="K699" s="37"/>
      <c r="L699" s="26"/>
      <c r="M699" s="26"/>
      <c r="N699" s="26"/>
      <c r="O699" s="95"/>
      <c r="P699" s="97"/>
      <c r="Q699" s="197"/>
    </row>
    <row r="700" spans="3:17" x14ac:dyDescent="0.25">
      <c r="C700" s="210"/>
      <c r="D700" s="115"/>
      <c r="E700" s="34"/>
      <c r="F700" s="108"/>
      <c r="H700" s="119"/>
      <c r="I700" s="26"/>
      <c r="J700" s="101"/>
      <c r="K700" s="37"/>
      <c r="L700" s="26"/>
      <c r="M700" s="26"/>
      <c r="N700" s="26"/>
      <c r="O700" s="95"/>
      <c r="P700" s="97"/>
      <c r="Q700" s="197"/>
    </row>
    <row r="701" spans="3:17" x14ac:dyDescent="0.25">
      <c r="C701" s="210"/>
      <c r="D701" s="115"/>
      <c r="E701" s="34"/>
      <c r="F701" s="108"/>
      <c r="H701" s="119"/>
      <c r="I701" s="26"/>
      <c r="J701" s="101"/>
      <c r="K701" s="37"/>
      <c r="L701" s="26"/>
      <c r="M701" s="26"/>
      <c r="N701" s="26"/>
      <c r="O701" s="95"/>
      <c r="P701" s="97"/>
      <c r="Q701" s="197"/>
    </row>
    <row r="702" spans="3:17" x14ac:dyDescent="0.25">
      <c r="C702" s="210"/>
      <c r="D702" s="115"/>
      <c r="E702" s="34"/>
      <c r="F702" s="108"/>
      <c r="H702" s="119"/>
      <c r="I702" s="26"/>
      <c r="J702" s="101"/>
      <c r="K702" s="37"/>
      <c r="L702" s="26"/>
      <c r="M702" s="26"/>
      <c r="N702" s="26"/>
      <c r="O702" s="95"/>
      <c r="P702" s="97"/>
      <c r="Q702" s="197"/>
    </row>
    <row r="703" spans="3:17" x14ac:dyDescent="0.25">
      <c r="C703" s="210"/>
      <c r="D703" s="115"/>
      <c r="E703" s="34"/>
      <c r="F703" s="108"/>
      <c r="H703" s="119"/>
      <c r="I703" s="26"/>
      <c r="J703" s="101"/>
      <c r="K703" s="37"/>
      <c r="L703" s="26"/>
      <c r="M703" s="26"/>
      <c r="N703" s="26"/>
      <c r="O703" s="95"/>
      <c r="P703" s="97"/>
      <c r="Q703" s="197"/>
    </row>
    <row r="704" spans="3:17" x14ac:dyDescent="0.25">
      <c r="C704" s="210"/>
      <c r="D704" s="115"/>
      <c r="E704" s="34"/>
      <c r="F704" s="108"/>
      <c r="H704" s="119"/>
      <c r="I704" s="26"/>
      <c r="J704" s="101"/>
      <c r="K704" s="37"/>
      <c r="L704" s="26"/>
      <c r="M704" s="26"/>
      <c r="N704" s="26"/>
      <c r="O704" s="95"/>
      <c r="P704" s="97"/>
      <c r="Q704" s="197"/>
    </row>
    <row r="705" spans="3:17" x14ac:dyDescent="0.25">
      <c r="C705" s="210"/>
      <c r="D705" s="115"/>
      <c r="E705" s="34"/>
      <c r="F705" s="108"/>
      <c r="H705" s="119"/>
      <c r="I705" s="26"/>
      <c r="J705" s="101"/>
      <c r="K705" s="37"/>
      <c r="L705" s="26"/>
      <c r="M705" s="26"/>
      <c r="N705" s="26"/>
      <c r="O705" s="95"/>
      <c r="P705" s="97"/>
      <c r="Q705" s="197"/>
    </row>
    <row r="706" spans="3:17" x14ac:dyDescent="0.25">
      <c r="C706" s="210"/>
      <c r="D706" s="115"/>
      <c r="E706" s="34"/>
      <c r="F706" s="108"/>
      <c r="H706" s="119"/>
      <c r="I706" s="26"/>
      <c r="J706" s="101"/>
      <c r="K706" s="37"/>
      <c r="L706" s="26"/>
      <c r="M706" s="26"/>
      <c r="N706" s="26"/>
      <c r="O706" s="95"/>
      <c r="P706" s="97"/>
      <c r="Q706" s="197"/>
    </row>
    <row r="707" spans="3:17" x14ac:dyDescent="0.25">
      <c r="C707" s="210"/>
      <c r="D707" s="115"/>
      <c r="E707" s="34"/>
      <c r="F707" s="108"/>
      <c r="H707" s="119"/>
      <c r="I707" s="26"/>
      <c r="J707" s="101"/>
      <c r="K707" s="37"/>
      <c r="L707" s="26"/>
      <c r="M707" s="26"/>
      <c r="N707" s="26"/>
      <c r="O707" s="95"/>
      <c r="P707" s="97"/>
      <c r="Q707" s="197"/>
    </row>
    <row r="708" spans="3:17" x14ac:dyDescent="0.25">
      <c r="C708" s="210"/>
      <c r="D708" s="115"/>
      <c r="E708" s="34"/>
      <c r="F708" s="108"/>
      <c r="H708" s="119"/>
      <c r="I708" s="26"/>
      <c r="J708" s="101"/>
      <c r="K708" s="37"/>
      <c r="L708" s="26"/>
      <c r="M708" s="26"/>
      <c r="N708" s="26"/>
      <c r="O708" s="95"/>
      <c r="P708" s="97"/>
      <c r="Q708" s="197"/>
    </row>
    <row r="709" spans="3:17" x14ac:dyDescent="0.25">
      <c r="C709" s="210"/>
      <c r="D709" s="115"/>
      <c r="E709" s="34"/>
      <c r="F709" s="108"/>
      <c r="H709" s="119"/>
      <c r="I709" s="26"/>
      <c r="J709" s="101"/>
      <c r="K709" s="37"/>
      <c r="L709" s="26"/>
      <c r="M709" s="26"/>
      <c r="N709" s="26"/>
      <c r="O709" s="95"/>
      <c r="P709" s="97"/>
      <c r="Q709" s="197"/>
    </row>
    <row r="710" spans="3:17" x14ac:dyDescent="0.25">
      <c r="C710" s="210"/>
      <c r="D710" s="115"/>
      <c r="E710" s="34"/>
      <c r="F710" s="108"/>
      <c r="H710" s="119"/>
      <c r="I710" s="26"/>
      <c r="J710" s="101"/>
      <c r="K710" s="37"/>
      <c r="L710" s="26"/>
      <c r="M710" s="26"/>
      <c r="N710" s="26"/>
      <c r="O710" s="95"/>
      <c r="P710" s="97"/>
      <c r="Q710" s="197"/>
    </row>
    <row r="711" spans="3:17" x14ac:dyDescent="0.25">
      <c r="C711" s="210"/>
      <c r="D711" s="115"/>
      <c r="E711" s="34"/>
      <c r="F711" s="108"/>
      <c r="H711" s="119"/>
      <c r="I711" s="26"/>
      <c r="J711" s="101"/>
      <c r="K711" s="37"/>
      <c r="L711" s="26"/>
      <c r="M711" s="26"/>
      <c r="N711" s="26"/>
      <c r="O711" s="95"/>
      <c r="P711" s="97"/>
      <c r="Q711" s="197"/>
    </row>
    <row r="712" spans="3:17" x14ac:dyDescent="0.25">
      <c r="C712" s="210"/>
      <c r="D712" s="115"/>
      <c r="E712" s="34"/>
      <c r="F712" s="108"/>
      <c r="H712" s="119"/>
      <c r="I712" s="26"/>
      <c r="J712" s="101"/>
      <c r="K712" s="37"/>
      <c r="L712" s="26"/>
      <c r="M712" s="26"/>
      <c r="N712" s="26"/>
      <c r="O712" s="95"/>
      <c r="P712" s="97"/>
      <c r="Q712" s="197"/>
    </row>
    <row r="713" spans="3:17" x14ac:dyDescent="0.25">
      <c r="C713" s="210"/>
      <c r="D713" s="115"/>
      <c r="E713" s="34"/>
      <c r="F713" s="108"/>
      <c r="H713" s="119"/>
      <c r="I713" s="26"/>
      <c r="J713" s="101"/>
      <c r="K713" s="37"/>
      <c r="L713" s="26"/>
      <c r="M713" s="26"/>
      <c r="N713" s="26"/>
      <c r="O713" s="95"/>
      <c r="P713" s="97"/>
      <c r="Q713" s="197"/>
    </row>
    <row r="714" spans="3:17" x14ac:dyDescent="0.25">
      <c r="C714" s="210"/>
      <c r="D714" s="115"/>
      <c r="E714" s="34"/>
      <c r="F714" s="108"/>
      <c r="H714" s="119"/>
      <c r="I714" s="26"/>
      <c r="J714" s="101"/>
      <c r="K714" s="37"/>
      <c r="L714" s="26"/>
      <c r="M714" s="26"/>
      <c r="N714" s="26"/>
      <c r="O714" s="95"/>
      <c r="P714" s="97"/>
      <c r="Q714" s="197"/>
    </row>
    <row r="715" spans="3:17" x14ac:dyDescent="0.25">
      <c r="C715" s="210"/>
      <c r="D715" s="115"/>
      <c r="E715" s="34"/>
      <c r="F715" s="108"/>
      <c r="H715" s="119"/>
      <c r="I715" s="26"/>
      <c r="J715" s="101"/>
      <c r="K715" s="37"/>
      <c r="L715" s="26"/>
      <c r="M715" s="26"/>
      <c r="N715" s="26"/>
      <c r="O715" s="95"/>
      <c r="P715" s="97"/>
      <c r="Q715" s="197"/>
    </row>
    <row r="716" spans="3:17" x14ac:dyDescent="0.25">
      <c r="C716" s="210"/>
      <c r="D716" s="115"/>
      <c r="E716" s="34"/>
      <c r="F716" s="108"/>
      <c r="H716" s="119"/>
      <c r="I716" s="26"/>
      <c r="J716" s="101"/>
      <c r="K716" s="37"/>
      <c r="L716" s="26"/>
      <c r="M716" s="26"/>
      <c r="N716" s="26"/>
      <c r="O716" s="95"/>
      <c r="P716" s="97"/>
      <c r="Q716" s="197"/>
    </row>
    <row r="717" spans="3:17" x14ac:dyDescent="0.25">
      <c r="C717" s="210"/>
      <c r="D717" s="115"/>
      <c r="E717" s="34"/>
      <c r="F717" s="108"/>
      <c r="H717" s="119"/>
      <c r="I717" s="26"/>
      <c r="J717" s="101"/>
      <c r="K717" s="37"/>
      <c r="L717" s="26"/>
      <c r="M717" s="26"/>
      <c r="N717" s="26"/>
      <c r="O717" s="95"/>
      <c r="P717" s="97"/>
      <c r="Q717" s="197"/>
    </row>
    <row r="718" spans="3:17" x14ac:dyDescent="0.25">
      <c r="C718" s="210"/>
      <c r="D718" s="115"/>
      <c r="E718" s="34"/>
      <c r="F718" s="108"/>
      <c r="H718" s="119"/>
      <c r="I718" s="26"/>
      <c r="J718" s="101"/>
      <c r="K718" s="37"/>
      <c r="L718" s="26"/>
      <c r="M718" s="26"/>
      <c r="N718" s="26"/>
      <c r="O718" s="95"/>
      <c r="P718" s="97"/>
      <c r="Q718" s="197"/>
    </row>
    <row r="719" spans="3:17" x14ac:dyDescent="0.25">
      <c r="C719" s="210"/>
      <c r="D719" s="115"/>
      <c r="E719" s="34"/>
      <c r="F719" s="108"/>
      <c r="H719" s="119"/>
      <c r="I719" s="26"/>
      <c r="J719" s="101"/>
      <c r="K719" s="37"/>
      <c r="L719" s="26"/>
      <c r="M719" s="26"/>
      <c r="N719" s="26"/>
      <c r="O719" s="95"/>
      <c r="P719" s="97"/>
      <c r="Q719" s="197"/>
    </row>
    <row r="720" spans="3:17" x14ac:dyDescent="0.25">
      <c r="C720" s="210"/>
      <c r="D720" s="115"/>
      <c r="E720" s="34"/>
      <c r="F720" s="108"/>
      <c r="H720" s="119"/>
      <c r="I720" s="26"/>
      <c r="J720" s="101"/>
      <c r="K720" s="37"/>
      <c r="L720" s="26"/>
      <c r="M720" s="26"/>
      <c r="N720" s="26"/>
      <c r="O720" s="95"/>
      <c r="P720" s="97"/>
      <c r="Q720" s="197"/>
    </row>
    <row r="721" spans="3:17" x14ac:dyDescent="0.25">
      <c r="C721" s="210"/>
      <c r="D721" s="115"/>
      <c r="E721" s="34"/>
      <c r="F721" s="108"/>
      <c r="H721" s="119"/>
      <c r="I721" s="26"/>
      <c r="J721" s="101"/>
      <c r="K721" s="37"/>
      <c r="L721" s="26"/>
      <c r="M721" s="26"/>
      <c r="N721" s="26"/>
      <c r="O721" s="95"/>
      <c r="P721" s="97"/>
      <c r="Q721" s="197"/>
    </row>
    <row r="722" spans="3:17" x14ac:dyDescent="0.25">
      <c r="C722" s="210"/>
      <c r="D722" s="115"/>
      <c r="E722" s="34"/>
      <c r="F722" s="108"/>
      <c r="H722" s="119"/>
      <c r="I722" s="26"/>
      <c r="J722" s="101"/>
      <c r="K722" s="37"/>
      <c r="L722" s="26"/>
      <c r="M722" s="26"/>
      <c r="N722" s="26"/>
      <c r="O722" s="95"/>
      <c r="P722" s="97"/>
      <c r="Q722" s="197"/>
    </row>
    <row r="723" spans="3:17" x14ac:dyDescent="0.25">
      <c r="C723" s="210"/>
      <c r="D723" s="115"/>
      <c r="E723" s="34"/>
      <c r="F723" s="108"/>
      <c r="H723" s="119"/>
      <c r="I723" s="26"/>
      <c r="J723" s="101"/>
      <c r="K723" s="37"/>
      <c r="L723" s="26"/>
      <c r="M723" s="26"/>
      <c r="N723" s="26"/>
      <c r="O723" s="95"/>
      <c r="P723" s="97"/>
      <c r="Q723" s="197"/>
    </row>
    <row r="724" spans="3:17" x14ac:dyDescent="0.25">
      <c r="C724" s="210"/>
      <c r="D724" s="115"/>
      <c r="E724" s="34"/>
      <c r="F724" s="108"/>
      <c r="H724" s="119"/>
      <c r="I724" s="26"/>
      <c r="J724" s="101"/>
      <c r="K724" s="37"/>
      <c r="L724" s="26"/>
      <c r="M724" s="26"/>
      <c r="N724" s="26"/>
      <c r="O724" s="95"/>
      <c r="P724" s="97"/>
      <c r="Q724" s="197"/>
    </row>
    <row r="725" spans="3:17" x14ac:dyDescent="0.25">
      <c r="C725" s="210"/>
      <c r="D725" s="115"/>
      <c r="E725" s="34"/>
      <c r="F725" s="108"/>
      <c r="H725" s="119"/>
      <c r="I725" s="26"/>
      <c r="J725" s="101"/>
      <c r="K725" s="37"/>
      <c r="L725" s="26"/>
      <c r="M725" s="26"/>
      <c r="N725" s="26"/>
      <c r="O725" s="95"/>
      <c r="P725" s="97"/>
      <c r="Q725" s="197"/>
    </row>
    <row r="726" spans="3:17" x14ac:dyDescent="0.25">
      <c r="C726" s="210"/>
      <c r="D726" s="115"/>
      <c r="E726" s="34"/>
      <c r="F726" s="108"/>
      <c r="H726" s="119"/>
      <c r="I726" s="26"/>
      <c r="J726" s="101"/>
      <c r="K726" s="37"/>
      <c r="L726" s="26"/>
      <c r="M726" s="26"/>
      <c r="N726" s="26"/>
      <c r="O726" s="95"/>
      <c r="P726" s="97"/>
      <c r="Q726" s="197"/>
    </row>
    <row r="727" spans="3:17" x14ac:dyDescent="0.25">
      <c r="C727" s="210"/>
      <c r="D727" s="115"/>
      <c r="E727" s="34"/>
      <c r="F727" s="108"/>
      <c r="H727" s="119"/>
      <c r="I727" s="26"/>
      <c r="J727" s="101"/>
      <c r="K727" s="37"/>
      <c r="L727" s="26"/>
      <c r="M727" s="26"/>
      <c r="N727" s="26"/>
      <c r="O727" s="95"/>
      <c r="P727" s="97"/>
      <c r="Q727" s="197"/>
    </row>
    <row r="728" spans="3:17" x14ac:dyDescent="0.25">
      <c r="C728" s="210"/>
      <c r="D728" s="115"/>
      <c r="E728" s="34"/>
      <c r="F728" s="108"/>
      <c r="H728" s="119"/>
      <c r="I728" s="26"/>
      <c r="J728" s="101"/>
      <c r="K728" s="37"/>
      <c r="L728" s="26"/>
      <c r="M728" s="26"/>
      <c r="N728" s="26"/>
      <c r="O728" s="95"/>
      <c r="P728" s="97"/>
      <c r="Q728" s="197"/>
    </row>
    <row r="729" spans="3:17" x14ac:dyDescent="0.25">
      <c r="C729" s="210"/>
      <c r="D729" s="115"/>
      <c r="E729" s="34"/>
      <c r="F729" s="108"/>
      <c r="H729" s="119"/>
      <c r="I729" s="26"/>
      <c r="J729" s="101"/>
      <c r="K729" s="37"/>
      <c r="L729" s="26"/>
      <c r="M729" s="26"/>
      <c r="N729" s="26"/>
      <c r="O729" s="95"/>
      <c r="P729" s="97"/>
      <c r="Q729" s="197"/>
    </row>
    <row r="730" spans="3:17" x14ac:dyDescent="0.25">
      <c r="C730" s="210"/>
      <c r="D730" s="115"/>
      <c r="E730" s="34"/>
      <c r="F730" s="108"/>
      <c r="H730" s="119"/>
      <c r="I730" s="26"/>
      <c r="J730" s="101"/>
      <c r="K730" s="37"/>
      <c r="L730" s="26"/>
      <c r="M730" s="26"/>
      <c r="N730" s="26"/>
      <c r="O730" s="95"/>
      <c r="P730" s="97"/>
      <c r="Q730" s="197"/>
    </row>
    <row r="731" spans="3:17" x14ac:dyDescent="0.25">
      <c r="C731" s="210"/>
      <c r="D731" s="115"/>
      <c r="E731" s="34"/>
      <c r="F731" s="108"/>
      <c r="H731" s="119"/>
      <c r="I731" s="26"/>
      <c r="J731" s="101"/>
      <c r="K731" s="37"/>
      <c r="L731" s="26"/>
      <c r="M731" s="26"/>
      <c r="N731" s="26"/>
      <c r="O731" s="95"/>
      <c r="P731" s="97"/>
      <c r="Q731" s="197"/>
    </row>
    <row r="732" spans="3:17" x14ac:dyDescent="0.25">
      <c r="C732" s="210"/>
      <c r="D732" s="115"/>
      <c r="E732" s="34"/>
      <c r="F732" s="108"/>
      <c r="H732" s="119"/>
      <c r="I732" s="26"/>
      <c r="J732" s="101"/>
      <c r="K732" s="37"/>
      <c r="L732" s="26"/>
      <c r="M732" s="26"/>
      <c r="N732" s="26"/>
      <c r="O732" s="95"/>
      <c r="P732" s="97"/>
      <c r="Q732" s="197"/>
    </row>
    <row r="733" spans="3:17" x14ac:dyDescent="0.25">
      <c r="C733" s="210"/>
      <c r="D733" s="115"/>
      <c r="E733" s="34"/>
      <c r="F733" s="108"/>
      <c r="H733" s="119"/>
      <c r="I733" s="26"/>
      <c r="J733" s="101"/>
      <c r="K733" s="37"/>
      <c r="L733" s="26"/>
      <c r="M733" s="26"/>
      <c r="N733" s="26"/>
      <c r="O733" s="95"/>
      <c r="P733" s="97"/>
      <c r="Q733" s="197"/>
    </row>
    <row r="734" spans="3:17" x14ac:dyDescent="0.25">
      <c r="C734" s="210"/>
      <c r="D734" s="115"/>
      <c r="E734" s="34"/>
      <c r="F734" s="108"/>
      <c r="H734" s="119"/>
      <c r="I734" s="26"/>
      <c r="J734" s="101"/>
      <c r="K734" s="37"/>
      <c r="L734" s="26"/>
      <c r="M734" s="26"/>
      <c r="N734" s="26"/>
      <c r="O734" s="95"/>
      <c r="P734" s="97"/>
      <c r="Q734" s="197"/>
    </row>
    <row r="735" spans="3:17" x14ac:dyDescent="0.25">
      <c r="C735" s="210"/>
      <c r="D735" s="115"/>
      <c r="E735" s="34"/>
      <c r="F735" s="108"/>
      <c r="H735" s="119"/>
      <c r="I735" s="26"/>
      <c r="J735" s="101"/>
      <c r="K735" s="37"/>
      <c r="L735" s="26"/>
      <c r="M735" s="26"/>
      <c r="N735" s="26"/>
      <c r="O735" s="95"/>
      <c r="P735" s="97"/>
      <c r="Q735" s="197"/>
    </row>
    <row r="736" spans="3:17" x14ac:dyDescent="0.25">
      <c r="C736" s="210"/>
      <c r="D736" s="115"/>
      <c r="E736" s="34"/>
      <c r="F736" s="108"/>
      <c r="H736" s="119"/>
      <c r="I736" s="26"/>
      <c r="J736" s="101"/>
      <c r="K736" s="37"/>
      <c r="L736" s="26"/>
      <c r="M736" s="26"/>
      <c r="N736" s="26"/>
      <c r="O736" s="95"/>
      <c r="P736" s="97"/>
      <c r="Q736" s="197"/>
    </row>
    <row r="737" spans="3:17" x14ac:dyDescent="0.25">
      <c r="C737" s="210"/>
      <c r="D737" s="115"/>
      <c r="E737" s="34"/>
      <c r="F737" s="108"/>
      <c r="H737" s="119"/>
      <c r="I737" s="26"/>
      <c r="J737" s="101"/>
      <c r="K737" s="37"/>
      <c r="L737" s="26"/>
      <c r="M737" s="26"/>
      <c r="N737" s="26"/>
      <c r="O737" s="95"/>
      <c r="P737" s="97"/>
      <c r="Q737" s="197"/>
    </row>
    <row r="738" spans="3:17" x14ac:dyDescent="0.25">
      <c r="C738" s="210"/>
      <c r="D738" s="115"/>
      <c r="E738" s="34"/>
      <c r="F738" s="108"/>
      <c r="H738" s="119"/>
      <c r="I738" s="26"/>
      <c r="J738" s="101"/>
      <c r="K738" s="37"/>
      <c r="L738" s="26"/>
      <c r="M738" s="26"/>
      <c r="N738" s="26"/>
      <c r="O738" s="95"/>
      <c r="P738" s="97"/>
      <c r="Q738" s="197"/>
    </row>
    <row r="739" spans="3:17" x14ac:dyDescent="0.25">
      <c r="C739" s="210"/>
      <c r="D739" s="115"/>
      <c r="E739" s="34"/>
      <c r="F739" s="108"/>
      <c r="H739" s="119"/>
      <c r="I739" s="26"/>
      <c r="J739" s="101"/>
      <c r="K739" s="37"/>
      <c r="L739" s="26"/>
      <c r="M739" s="26"/>
      <c r="N739" s="26"/>
      <c r="O739" s="95"/>
      <c r="P739" s="97"/>
      <c r="Q739" s="197"/>
    </row>
    <row r="740" spans="3:17" x14ac:dyDescent="0.25">
      <c r="C740" s="210"/>
      <c r="D740" s="115"/>
      <c r="E740" s="34"/>
      <c r="F740" s="108"/>
      <c r="H740" s="119"/>
      <c r="I740" s="26"/>
      <c r="J740" s="101"/>
      <c r="K740" s="37"/>
      <c r="L740" s="26"/>
      <c r="M740" s="26"/>
      <c r="N740" s="26"/>
      <c r="O740" s="95"/>
      <c r="P740" s="97"/>
      <c r="Q740" s="197"/>
    </row>
    <row r="741" spans="3:17" x14ac:dyDescent="0.25">
      <c r="C741" s="210"/>
      <c r="D741" s="115"/>
      <c r="E741" s="34"/>
      <c r="F741" s="108"/>
      <c r="H741" s="119"/>
      <c r="I741" s="26"/>
      <c r="J741" s="101"/>
      <c r="K741" s="37"/>
      <c r="L741" s="26"/>
      <c r="M741" s="26"/>
      <c r="N741" s="26"/>
      <c r="O741" s="95"/>
      <c r="P741" s="97"/>
      <c r="Q741" s="197"/>
    </row>
    <row r="742" spans="3:17" x14ac:dyDescent="0.25">
      <c r="C742" s="210"/>
      <c r="D742" s="115"/>
      <c r="E742" s="34"/>
      <c r="F742" s="108"/>
      <c r="H742" s="119"/>
      <c r="I742" s="26"/>
      <c r="J742" s="101"/>
      <c r="K742" s="37"/>
      <c r="L742" s="26"/>
      <c r="M742" s="26"/>
      <c r="N742" s="26"/>
      <c r="O742" s="95"/>
      <c r="P742" s="97"/>
      <c r="Q742" s="197"/>
    </row>
    <row r="743" spans="3:17" x14ac:dyDescent="0.25">
      <c r="C743" s="210"/>
      <c r="D743" s="115"/>
      <c r="E743" s="34"/>
      <c r="F743" s="108"/>
      <c r="H743" s="119"/>
      <c r="I743" s="26"/>
      <c r="J743" s="101"/>
      <c r="K743" s="37"/>
      <c r="L743" s="26"/>
      <c r="M743" s="26"/>
      <c r="N743" s="26"/>
      <c r="O743" s="95"/>
      <c r="P743" s="97"/>
      <c r="Q743" s="197"/>
    </row>
    <row r="744" spans="3:17" x14ac:dyDescent="0.25">
      <c r="C744" s="210"/>
      <c r="D744" s="115"/>
      <c r="E744" s="34"/>
      <c r="F744" s="108"/>
      <c r="H744" s="119"/>
      <c r="I744" s="26"/>
      <c r="J744" s="101"/>
      <c r="K744" s="37"/>
      <c r="L744" s="26"/>
      <c r="M744" s="26"/>
      <c r="N744" s="26"/>
      <c r="O744" s="95"/>
      <c r="P744" s="97"/>
      <c r="Q744" s="197"/>
    </row>
    <row r="745" spans="3:17" x14ac:dyDescent="0.25">
      <c r="C745" s="210"/>
      <c r="D745" s="115"/>
      <c r="E745" s="34"/>
      <c r="F745" s="108"/>
      <c r="H745" s="119"/>
      <c r="I745" s="26"/>
      <c r="J745" s="101"/>
      <c r="K745" s="37"/>
      <c r="L745" s="26"/>
      <c r="M745" s="26"/>
      <c r="N745" s="26"/>
      <c r="O745" s="95"/>
      <c r="P745" s="97"/>
      <c r="Q745" s="197"/>
    </row>
    <row r="746" spans="3:17" x14ac:dyDescent="0.25">
      <c r="C746" s="210"/>
      <c r="D746" s="115"/>
      <c r="E746" s="34"/>
      <c r="F746" s="108"/>
      <c r="H746" s="119"/>
      <c r="I746" s="26"/>
      <c r="J746" s="101"/>
      <c r="K746" s="37"/>
      <c r="L746" s="26"/>
      <c r="M746" s="26"/>
      <c r="N746" s="26"/>
      <c r="O746" s="95"/>
      <c r="P746" s="97"/>
      <c r="Q746" s="197"/>
    </row>
    <row r="747" spans="3:17" x14ac:dyDescent="0.25">
      <c r="C747" s="210"/>
      <c r="D747" s="115"/>
      <c r="E747" s="34"/>
      <c r="F747" s="108"/>
      <c r="H747" s="119"/>
      <c r="I747" s="26"/>
      <c r="J747" s="101"/>
      <c r="K747" s="37"/>
      <c r="L747" s="26"/>
      <c r="M747" s="26"/>
      <c r="N747" s="26"/>
      <c r="O747" s="95"/>
      <c r="P747" s="97"/>
      <c r="Q747" s="197"/>
    </row>
    <row r="748" spans="3:17" x14ac:dyDescent="0.25">
      <c r="C748" s="210"/>
      <c r="D748" s="115"/>
      <c r="E748" s="34"/>
      <c r="F748" s="108"/>
      <c r="H748" s="119"/>
      <c r="I748" s="26"/>
      <c r="J748" s="101"/>
      <c r="K748" s="37"/>
      <c r="L748" s="26"/>
      <c r="M748" s="26"/>
      <c r="N748" s="26"/>
      <c r="O748" s="95"/>
      <c r="P748" s="97"/>
      <c r="Q748" s="197"/>
    </row>
    <row r="749" spans="3:17" x14ac:dyDescent="0.25">
      <c r="C749" s="210"/>
      <c r="D749" s="115"/>
      <c r="E749" s="34"/>
      <c r="F749" s="108"/>
      <c r="H749" s="119"/>
      <c r="I749" s="26"/>
      <c r="J749" s="101"/>
      <c r="K749" s="37"/>
      <c r="L749" s="26"/>
      <c r="M749" s="26"/>
      <c r="N749" s="26"/>
      <c r="O749" s="95"/>
      <c r="P749" s="97"/>
      <c r="Q749" s="197"/>
    </row>
    <row r="750" spans="3:17" x14ac:dyDescent="0.25">
      <c r="C750" s="210"/>
      <c r="D750" s="115"/>
      <c r="E750" s="34"/>
      <c r="F750" s="108"/>
      <c r="H750" s="119"/>
      <c r="I750" s="26"/>
      <c r="J750" s="101"/>
      <c r="K750" s="37"/>
      <c r="L750" s="26"/>
      <c r="M750" s="26"/>
      <c r="N750" s="26"/>
      <c r="O750" s="95"/>
      <c r="P750" s="97"/>
      <c r="Q750" s="197"/>
    </row>
    <row r="751" spans="3:17" x14ac:dyDescent="0.25">
      <c r="C751" s="210"/>
      <c r="D751" s="115"/>
      <c r="E751" s="34"/>
      <c r="F751" s="108"/>
      <c r="H751" s="119"/>
      <c r="I751" s="26"/>
      <c r="J751" s="101"/>
      <c r="K751" s="37"/>
      <c r="L751" s="26"/>
      <c r="M751" s="26"/>
      <c r="N751" s="26"/>
      <c r="O751" s="95"/>
      <c r="P751" s="97"/>
      <c r="Q751" s="197"/>
    </row>
    <row r="752" spans="3:17" x14ac:dyDescent="0.25">
      <c r="C752" s="210"/>
      <c r="D752" s="115"/>
      <c r="E752" s="34"/>
      <c r="F752" s="108"/>
      <c r="H752" s="119"/>
      <c r="I752" s="26"/>
      <c r="J752" s="101"/>
      <c r="K752" s="37"/>
      <c r="L752" s="26"/>
      <c r="M752" s="26"/>
      <c r="N752" s="26"/>
      <c r="O752" s="95"/>
      <c r="P752" s="97"/>
      <c r="Q752" s="197"/>
    </row>
    <row r="753" spans="3:17" x14ac:dyDescent="0.25">
      <c r="C753" s="210"/>
      <c r="D753" s="115"/>
      <c r="E753" s="34"/>
      <c r="F753" s="108"/>
      <c r="H753" s="119"/>
      <c r="I753" s="26"/>
      <c r="J753" s="101"/>
      <c r="K753" s="37"/>
      <c r="L753" s="26"/>
      <c r="M753" s="26"/>
      <c r="N753" s="26"/>
      <c r="O753" s="95"/>
      <c r="P753" s="97"/>
      <c r="Q753" s="197"/>
    </row>
    <row r="754" spans="3:17" x14ac:dyDescent="0.25">
      <c r="C754" s="210"/>
      <c r="D754" s="115"/>
      <c r="E754" s="34"/>
      <c r="F754" s="108"/>
      <c r="H754" s="119"/>
      <c r="I754" s="26"/>
      <c r="J754" s="101"/>
      <c r="K754" s="37"/>
      <c r="L754" s="26"/>
      <c r="M754" s="26"/>
      <c r="N754" s="26"/>
      <c r="O754" s="95"/>
      <c r="P754" s="97"/>
      <c r="Q754" s="197"/>
    </row>
    <row r="755" spans="3:17" x14ac:dyDescent="0.25">
      <c r="C755" s="210"/>
      <c r="D755" s="115"/>
      <c r="E755" s="34"/>
      <c r="F755" s="108"/>
      <c r="H755" s="119"/>
      <c r="I755" s="26"/>
      <c r="J755" s="101"/>
      <c r="K755" s="37"/>
      <c r="L755" s="26"/>
      <c r="M755" s="26"/>
      <c r="N755" s="26"/>
      <c r="O755" s="95"/>
      <c r="P755" s="97"/>
      <c r="Q755" s="197"/>
    </row>
    <row r="756" spans="3:17" x14ac:dyDescent="0.25">
      <c r="C756" s="210"/>
      <c r="D756" s="115"/>
      <c r="E756" s="34"/>
      <c r="F756" s="108"/>
      <c r="H756" s="119"/>
      <c r="I756" s="26"/>
      <c r="J756" s="101"/>
      <c r="K756" s="37"/>
      <c r="L756" s="26"/>
      <c r="M756" s="26"/>
      <c r="N756" s="26"/>
      <c r="O756" s="95"/>
      <c r="P756" s="97"/>
      <c r="Q756" s="197"/>
    </row>
    <row r="757" spans="3:17" x14ac:dyDescent="0.25">
      <c r="C757" s="210"/>
      <c r="D757" s="115"/>
      <c r="E757" s="34"/>
      <c r="F757" s="108"/>
      <c r="H757" s="119"/>
      <c r="I757" s="26"/>
      <c r="J757" s="101"/>
      <c r="K757" s="37"/>
      <c r="L757" s="26"/>
      <c r="M757" s="26"/>
      <c r="N757" s="26"/>
      <c r="O757" s="95"/>
      <c r="P757" s="97"/>
      <c r="Q757" s="197"/>
    </row>
    <row r="758" spans="3:17" x14ac:dyDescent="0.25">
      <c r="C758" s="210"/>
      <c r="D758" s="115"/>
      <c r="E758" s="34"/>
      <c r="F758" s="108"/>
      <c r="H758" s="119"/>
      <c r="I758" s="26"/>
      <c r="J758" s="101"/>
      <c r="K758" s="37"/>
      <c r="L758" s="26"/>
      <c r="M758" s="26"/>
      <c r="N758" s="26"/>
      <c r="O758" s="95"/>
      <c r="P758" s="97"/>
      <c r="Q758" s="197"/>
    </row>
    <row r="759" spans="3:17" x14ac:dyDescent="0.25">
      <c r="C759" s="210"/>
      <c r="D759" s="115"/>
      <c r="E759" s="34"/>
      <c r="F759" s="108"/>
      <c r="H759" s="119"/>
      <c r="I759" s="26"/>
      <c r="J759" s="101"/>
      <c r="K759" s="37"/>
      <c r="L759" s="26"/>
      <c r="M759" s="26"/>
      <c r="N759" s="26"/>
      <c r="O759" s="95"/>
      <c r="P759" s="97"/>
      <c r="Q759" s="197"/>
    </row>
    <row r="760" spans="3:17" x14ac:dyDescent="0.25">
      <c r="C760" s="210"/>
      <c r="D760" s="115"/>
      <c r="E760" s="34"/>
      <c r="F760" s="108"/>
      <c r="H760" s="119"/>
      <c r="I760" s="26"/>
      <c r="J760" s="101"/>
      <c r="K760" s="37"/>
      <c r="L760" s="26"/>
      <c r="M760" s="26"/>
      <c r="N760" s="26"/>
      <c r="O760" s="95"/>
      <c r="P760" s="97"/>
      <c r="Q760" s="197"/>
    </row>
    <row r="761" spans="3:17" x14ac:dyDescent="0.25">
      <c r="C761" s="210"/>
      <c r="D761" s="115"/>
      <c r="E761" s="34"/>
      <c r="F761" s="108"/>
      <c r="H761" s="119"/>
      <c r="I761" s="26"/>
      <c r="J761" s="101"/>
      <c r="K761" s="37"/>
      <c r="L761" s="26"/>
      <c r="M761" s="26"/>
      <c r="N761" s="26"/>
      <c r="O761" s="95"/>
      <c r="P761" s="97"/>
      <c r="Q761" s="197"/>
    </row>
    <row r="762" spans="3:17" x14ac:dyDescent="0.25">
      <c r="C762" s="210"/>
      <c r="D762" s="115"/>
      <c r="E762" s="34"/>
      <c r="F762" s="108"/>
      <c r="H762" s="119"/>
      <c r="I762" s="26"/>
      <c r="J762" s="101"/>
      <c r="K762" s="37"/>
      <c r="L762" s="26"/>
      <c r="M762" s="26"/>
      <c r="N762" s="26"/>
      <c r="O762" s="95"/>
      <c r="P762" s="97"/>
      <c r="Q762" s="197"/>
    </row>
    <row r="763" spans="3:17" x14ac:dyDescent="0.25">
      <c r="C763" s="210"/>
      <c r="D763" s="115"/>
      <c r="E763" s="34"/>
      <c r="F763" s="108"/>
      <c r="H763" s="119"/>
      <c r="I763" s="26"/>
      <c r="J763" s="101"/>
      <c r="K763" s="37"/>
      <c r="L763" s="26"/>
      <c r="M763" s="26"/>
      <c r="N763" s="26"/>
      <c r="O763" s="95"/>
      <c r="P763" s="97"/>
      <c r="Q763" s="197"/>
    </row>
    <row r="764" spans="3:17" x14ac:dyDescent="0.25">
      <c r="C764" s="210"/>
      <c r="D764" s="115"/>
      <c r="E764" s="34"/>
      <c r="F764" s="108"/>
      <c r="H764" s="119"/>
      <c r="I764" s="26"/>
      <c r="J764" s="101"/>
      <c r="K764" s="37"/>
      <c r="L764" s="26"/>
      <c r="M764" s="26"/>
      <c r="N764" s="26"/>
      <c r="O764" s="95"/>
      <c r="P764" s="97"/>
      <c r="Q764" s="197"/>
    </row>
    <row r="765" spans="3:17" x14ac:dyDescent="0.25">
      <c r="C765" s="210"/>
      <c r="D765" s="115"/>
      <c r="E765" s="34"/>
      <c r="F765" s="108"/>
      <c r="H765" s="119"/>
      <c r="I765" s="26"/>
      <c r="J765" s="101"/>
      <c r="K765" s="37"/>
      <c r="L765" s="26"/>
      <c r="M765" s="26"/>
      <c r="N765" s="26"/>
      <c r="O765" s="95"/>
      <c r="P765" s="97"/>
      <c r="Q765" s="197"/>
    </row>
    <row r="766" spans="3:17" x14ac:dyDescent="0.25">
      <c r="C766" s="210"/>
      <c r="D766" s="115"/>
      <c r="E766" s="34"/>
      <c r="F766" s="108"/>
      <c r="H766" s="119"/>
      <c r="I766" s="26"/>
      <c r="J766" s="101"/>
      <c r="K766" s="37"/>
      <c r="L766" s="26"/>
      <c r="M766" s="26"/>
      <c r="N766" s="26"/>
      <c r="O766" s="95"/>
      <c r="P766" s="97"/>
      <c r="Q766" s="197"/>
    </row>
    <row r="767" spans="3:17" x14ac:dyDescent="0.25">
      <c r="C767" s="210"/>
      <c r="D767" s="115"/>
      <c r="E767" s="34"/>
      <c r="F767" s="108"/>
      <c r="H767" s="119"/>
      <c r="I767" s="26"/>
      <c r="J767" s="101"/>
      <c r="K767" s="37"/>
      <c r="L767" s="26"/>
      <c r="M767" s="26"/>
      <c r="N767" s="26"/>
      <c r="O767" s="95"/>
      <c r="P767" s="97"/>
      <c r="Q767" s="197"/>
    </row>
    <row r="768" spans="3:17" x14ac:dyDescent="0.25">
      <c r="C768" s="210"/>
      <c r="D768" s="115"/>
      <c r="E768" s="34"/>
      <c r="F768" s="108"/>
      <c r="H768" s="119"/>
      <c r="I768" s="26"/>
      <c r="J768" s="101"/>
      <c r="K768" s="37"/>
      <c r="L768" s="26"/>
      <c r="M768" s="26"/>
      <c r="N768" s="26"/>
      <c r="O768" s="95"/>
      <c r="P768" s="97"/>
      <c r="Q768" s="197"/>
    </row>
    <row r="769" spans="3:17" x14ac:dyDescent="0.25">
      <c r="C769" s="210"/>
      <c r="D769" s="115"/>
      <c r="E769" s="34"/>
      <c r="F769" s="108"/>
      <c r="H769" s="119"/>
      <c r="I769" s="26"/>
      <c r="J769" s="101"/>
      <c r="K769" s="37"/>
      <c r="L769" s="26"/>
      <c r="M769" s="26"/>
      <c r="N769" s="26"/>
      <c r="O769" s="95"/>
      <c r="P769" s="97"/>
      <c r="Q769" s="197"/>
    </row>
    <row r="770" spans="3:17" x14ac:dyDescent="0.25">
      <c r="C770" s="210"/>
      <c r="D770" s="115"/>
      <c r="E770" s="34"/>
      <c r="F770" s="108"/>
      <c r="H770" s="119"/>
      <c r="I770" s="26"/>
      <c r="J770" s="101"/>
      <c r="K770" s="37"/>
      <c r="L770" s="26"/>
      <c r="M770" s="26"/>
      <c r="N770" s="26"/>
      <c r="O770" s="95"/>
      <c r="P770" s="97"/>
      <c r="Q770" s="197"/>
    </row>
    <row r="771" spans="3:17" x14ac:dyDescent="0.25">
      <c r="C771" s="210"/>
      <c r="D771" s="115"/>
      <c r="E771" s="34"/>
      <c r="F771" s="108"/>
      <c r="H771" s="119"/>
      <c r="I771" s="26"/>
      <c r="J771" s="101"/>
      <c r="K771" s="37"/>
      <c r="L771" s="26"/>
      <c r="M771" s="26"/>
      <c r="N771" s="26"/>
      <c r="O771" s="95"/>
      <c r="P771" s="97"/>
      <c r="Q771" s="197"/>
    </row>
    <row r="772" spans="3:17" x14ac:dyDescent="0.25">
      <c r="C772" s="210"/>
      <c r="D772" s="115"/>
      <c r="E772" s="34"/>
      <c r="F772" s="108"/>
      <c r="H772" s="119"/>
      <c r="I772" s="26"/>
      <c r="J772" s="101"/>
      <c r="K772" s="37"/>
      <c r="L772" s="26"/>
      <c r="M772" s="26"/>
      <c r="N772" s="26"/>
      <c r="O772" s="95"/>
      <c r="P772" s="97"/>
      <c r="Q772" s="197"/>
    </row>
    <row r="773" spans="3:17" x14ac:dyDescent="0.25">
      <c r="C773" s="210"/>
      <c r="D773" s="115"/>
      <c r="E773" s="34"/>
      <c r="F773" s="108"/>
      <c r="H773" s="119"/>
      <c r="I773" s="26"/>
      <c r="J773" s="101"/>
      <c r="K773" s="37"/>
      <c r="L773" s="26"/>
      <c r="M773" s="26"/>
      <c r="N773" s="26"/>
      <c r="O773" s="95"/>
      <c r="P773" s="97"/>
      <c r="Q773" s="197"/>
    </row>
    <row r="774" spans="3:17" x14ac:dyDescent="0.25">
      <c r="C774" s="210"/>
      <c r="D774" s="115"/>
      <c r="E774" s="34"/>
      <c r="F774" s="108"/>
      <c r="H774" s="119"/>
      <c r="I774" s="26"/>
      <c r="J774" s="101"/>
      <c r="K774" s="37"/>
      <c r="L774" s="26"/>
      <c r="M774" s="26"/>
      <c r="N774" s="26"/>
      <c r="O774" s="95"/>
      <c r="P774" s="97"/>
      <c r="Q774" s="197"/>
    </row>
    <row r="775" spans="3:17" x14ac:dyDescent="0.25">
      <c r="C775" s="210"/>
      <c r="D775" s="115"/>
      <c r="E775" s="34"/>
      <c r="F775" s="108"/>
      <c r="H775" s="119"/>
      <c r="I775" s="26"/>
      <c r="J775" s="101"/>
      <c r="K775" s="37"/>
      <c r="L775" s="26"/>
      <c r="M775" s="26"/>
      <c r="N775" s="26"/>
      <c r="O775" s="95"/>
      <c r="P775" s="97"/>
      <c r="Q775" s="197"/>
    </row>
    <row r="776" spans="3:17" x14ac:dyDescent="0.25">
      <c r="C776" s="210"/>
      <c r="D776" s="115"/>
      <c r="E776" s="34"/>
      <c r="F776" s="108"/>
      <c r="H776" s="119"/>
      <c r="I776" s="26"/>
      <c r="J776" s="101"/>
      <c r="K776" s="37"/>
      <c r="L776" s="26"/>
      <c r="M776" s="26"/>
      <c r="N776" s="26"/>
      <c r="O776" s="95"/>
      <c r="P776" s="97"/>
      <c r="Q776" s="197"/>
    </row>
    <row r="777" spans="3:17" x14ac:dyDescent="0.25">
      <c r="C777" s="210"/>
      <c r="D777" s="115"/>
      <c r="E777" s="34"/>
      <c r="F777" s="108"/>
      <c r="H777" s="119"/>
      <c r="I777" s="26"/>
      <c r="J777" s="101"/>
      <c r="K777" s="37"/>
      <c r="L777" s="26"/>
      <c r="M777" s="26"/>
      <c r="N777" s="26"/>
      <c r="O777" s="95"/>
      <c r="P777" s="97"/>
      <c r="Q777" s="197"/>
    </row>
    <row r="778" spans="3:17" x14ac:dyDescent="0.25">
      <c r="C778" s="210"/>
      <c r="D778" s="115"/>
      <c r="E778" s="34"/>
      <c r="F778" s="108"/>
      <c r="H778" s="119"/>
      <c r="I778" s="26"/>
      <c r="J778" s="101"/>
      <c r="K778" s="37"/>
      <c r="L778" s="26"/>
      <c r="M778" s="26"/>
      <c r="N778" s="26"/>
      <c r="O778" s="95"/>
      <c r="P778" s="97"/>
      <c r="Q778" s="197"/>
    </row>
    <row r="779" spans="3:17" x14ac:dyDescent="0.25">
      <c r="C779" s="210"/>
      <c r="D779" s="115"/>
      <c r="E779" s="34"/>
      <c r="F779" s="108"/>
      <c r="H779" s="119"/>
      <c r="I779" s="26"/>
      <c r="J779" s="101"/>
      <c r="K779" s="37"/>
      <c r="L779" s="26"/>
      <c r="M779" s="26"/>
      <c r="N779" s="26"/>
      <c r="O779" s="95"/>
      <c r="P779" s="97"/>
      <c r="Q779" s="197"/>
    </row>
    <row r="780" spans="3:17" x14ac:dyDescent="0.25">
      <c r="C780" s="210"/>
      <c r="D780" s="115"/>
      <c r="E780" s="34"/>
      <c r="F780" s="108"/>
      <c r="H780" s="119"/>
      <c r="I780" s="26"/>
      <c r="J780" s="101"/>
      <c r="K780" s="37"/>
      <c r="L780" s="26"/>
      <c r="M780" s="26"/>
      <c r="N780" s="26"/>
      <c r="O780" s="95"/>
      <c r="P780" s="97"/>
      <c r="Q780" s="197"/>
    </row>
    <row r="781" spans="3:17" x14ac:dyDescent="0.25">
      <c r="C781" s="210"/>
      <c r="D781" s="115"/>
      <c r="E781" s="34"/>
      <c r="F781" s="108"/>
      <c r="H781" s="119"/>
      <c r="I781" s="26"/>
      <c r="J781" s="101"/>
      <c r="K781" s="37"/>
      <c r="L781" s="26"/>
      <c r="M781" s="26"/>
      <c r="N781" s="26"/>
      <c r="O781" s="95"/>
      <c r="P781" s="97"/>
      <c r="Q781" s="197"/>
    </row>
    <row r="782" spans="3:17" x14ac:dyDescent="0.25">
      <c r="C782" s="210"/>
      <c r="D782" s="115"/>
      <c r="E782" s="34"/>
      <c r="F782" s="108"/>
      <c r="H782" s="119"/>
      <c r="I782" s="26"/>
      <c r="J782" s="101"/>
      <c r="K782" s="37"/>
      <c r="L782" s="26"/>
      <c r="M782" s="26"/>
      <c r="N782" s="26"/>
      <c r="O782" s="95"/>
      <c r="P782" s="97"/>
      <c r="Q782" s="197"/>
    </row>
    <row r="783" spans="3:17" x14ac:dyDescent="0.25">
      <c r="C783" s="210"/>
      <c r="D783" s="115"/>
      <c r="E783" s="34"/>
      <c r="F783" s="108"/>
      <c r="H783" s="119"/>
      <c r="I783" s="26"/>
      <c r="J783" s="101"/>
      <c r="K783" s="37"/>
      <c r="L783" s="26"/>
      <c r="M783" s="26"/>
      <c r="N783" s="26"/>
      <c r="O783" s="95"/>
      <c r="P783" s="97"/>
      <c r="Q783" s="197"/>
    </row>
    <row r="784" spans="3:17" x14ac:dyDescent="0.25">
      <c r="C784" s="210"/>
      <c r="D784" s="115"/>
      <c r="E784" s="34"/>
      <c r="F784" s="108"/>
      <c r="H784" s="119"/>
      <c r="I784" s="26"/>
      <c r="J784" s="101"/>
      <c r="K784" s="37"/>
      <c r="L784" s="26"/>
      <c r="M784" s="26"/>
      <c r="N784" s="26"/>
      <c r="O784" s="95"/>
      <c r="P784" s="97"/>
      <c r="Q784" s="197"/>
    </row>
    <row r="785" spans="3:17" x14ac:dyDescent="0.25">
      <c r="C785" s="210"/>
      <c r="D785" s="115"/>
      <c r="E785" s="34"/>
      <c r="F785" s="108"/>
      <c r="H785" s="119"/>
      <c r="I785" s="26"/>
      <c r="J785" s="101"/>
      <c r="K785" s="37"/>
      <c r="L785" s="26"/>
      <c r="M785" s="26"/>
      <c r="N785" s="26"/>
      <c r="O785" s="95"/>
      <c r="P785" s="97"/>
      <c r="Q785" s="197"/>
    </row>
    <row r="786" spans="3:17" x14ac:dyDescent="0.25">
      <c r="C786" s="210"/>
      <c r="D786" s="115"/>
      <c r="E786" s="34"/>
      <c r="F786" s="108"/>
      <c r="H786" s="119"/>
      <c r="I786" s="26"/>
      <c r="J786" s="101"/>
      <c r="K786" s="37"/>
      <c r="L786" s="26"/>
      <c r="M786" s="26"/>
      <c r="N786" s="26"/>
      <c r="O786" s="95"/>
      <c r="P786" s="97"/>
      <c r="Q786" s="197"/>
    </row>
    <row r="787" spans="3:17" x14ac:dyDescent="0.25">
      <c r="C787" s="210"/>
      <c r="D787" s="115"/>
      <c r="E787" s="34"/>
      <c r="F787" s="108"/>
      <c r="H787" s="119"/>
      <c r="I787" s="26"/>
      <c r="J787" s="101"/>
      <c r="K787" s="37"/>
      <c r="L787" s="26"/>
      <c r="M787" s="26"/>
      <c r="N787" s="26"/>
      <c r="O787" s="95"/>
      <c r="P787" s="97"/>
      <c r="Q787" s="197"/>
    </row>
    <row r="788" spans="3:17" x14ac:dyDescent="0.25">
      <c r="C788" s="210"/>
      <c r="D788" s="115"/>
      <c r="E788" s="34"/>
      <c r="F788" s="108"/>
      <c r="H788" s="119"/>
      <c r="I788" s="26"/>
      <c r="J788" s="101"/>
      <c r="K788" s="37"/>
      <c r="L788" s="26"/>
      <c r="M788" s="26"/>
      <c r="N788" s="26"/>
      <c r="O788" s="95"/>
      <c r="P788" s="97"/>
      <c r="Q788" s="197"/>
    </row>
    <row r="789" spans="3:17" x14ac:dyDescent="0.25">
      <c r="C789" s="210"/>
      <c r="D789" s="115"/>
      <c r="E789" s="34"/>
      <c r="F789" s="108"/>
      <c r="H789" s="119"/>
      <c r="I789" s="26"/>
      <c r="J789" s="101"/>
      <c r="K789" s="37"/>
      <c r="L789" s="26"/>
      <c r="M789" s="26"/>
      <c r="N789" s="26"/>
      <c r="O789" s="95"/>
      <c r="P789" s="97"/>
      <c r="Q789" s="197"/>
    </row>
    <row r="790" spans="3:17" x14ac:dyDescent="0.25">
      <c r="C790" s="210"/>
      <c r="D790" s="115"/>
      <c r="E790" s="34"/>
      <c r="F790" s="108"/>
      <c r="H790" s="119"/>
      <c r="I790" s="26"/>
      <c r="J790" s="101"/>
      <c r="K790" s="37"/>
      <c r="L790" s="26"/>
      <c r="M790" s="26"/>
      <c r="N790" s="26"/>
      <c r="O790" s="95"/>
      <c r="P790" s="97"/>
      <c r="Q790" s="197"/>
    </row>
    <row r="791" spans="3:17" x14ac:dyDescent="0.25">
      <c r="C791" s="210"/>
      <c r="D791" s="115"/>
      <c r="E791" s="34"/>
      <c r="F791" s="108"/>
      <c r="H791" s="119"/>
      <c r="I791" s="26"/>
      <c r="J791" s="101"/>
      <c r="K791" s="37"/>
      <c r="L791" s="26"/>
      <c r="M791" s="26"/>
      <c r="N791" s="26"/>
      <c r="O791" s="95"/>
      <c r="P791" s="97"/>
      <c r="Q791" s="197"/>
    </row>
    <row r="792" spans="3:17" x14ac:dyDescent="0.25">
      <c r="C792" s="210"/>
      <c r="D792" s="115"/>
      <c r="E792" s="34"/>
      <c r="F792" s="108"/>
      <c r="H792" s="119"/>
      <c r="I792" s="26"/>
      <c r="J792" s="101"/>
      <c r="K792" s="37"/>
      <c r="L792" s="26"/>
      <c r="M792" s="26"/>
      <c r="N792" s="26"/>
      <c r="O792" s="95"/>
      <c r="P792" s="97"/>
      <c r="Q792" s="197"/>
    </row>
    <row r="793" spans="3:17" x14ac:dyDescent="0.25">
      <c r="C793" s="210"/>
      <c r="D793" s="115"/>
      <c r="E793" s="34"/>
      <c r="F793" s="108"/>
      <c r="H793" s="119"/>
      <c r="I793" s="26"/>
      <c r="J793" s="101"/>
      <c r="K793" s="37"/>
      <c r="L793" s="26"/>
      <c r="M793" s="26"/>
      <c r="N793" s="26"/>
      <c r="O793" s="95"/>
      <c r="P793" s="97"/>
      <c r="Q793" s="197"/>
    </row>
    <row r="794" spans="3:17" x14ac:dyDescent="0.25">
      <c r="C794" s="210"/>
      <c r="D794" s="115"/>
      <c r="E794" s="34"/>
      <c r="F794" s="108"/>
      <c r="H794" s="119"/>
      <c r="I794" s="26"/>
      <c r="J794" s="101"/>
      <c r="K794" s="37"/>
      <c r="L794" s="26"/>
      <c r="M794" s="26"/>
      <c r="N794" s="26"/>
      <c r="O794" s="95"/>
      <c r="P794" s="97"/>
      <c r="Q794" s="197"/>
    </row>
    <row r="795" spans="3:17" x14ac:dyDescent="0.25">
      <c r="C795" s="210"/>
      <c r="D795" s="115"/>
      <c r="E795" s="34"/>
      <c r="F795" s="108"/>
      <c r="H795" s="119"/>
      <c r="I795" s="26"/>
      <c r="J795" s="101"/>
      <c r="K795" s="37"/>
      <c r="L795" s="26"/>
      <c r="M795" s="26"/>
      <c r="N795" s="26"/>
      <c r="O795" s="95"/>
      <c r="P795" s="97"/>
      <c r="Q795" s="197"/>
    </row>
    <row r="796" spans="3:17" x14ac:dyDescent="0.25">
      <c r="C796" s="210"/>
      <c r="D796" s="115"/>
      <c r="E796" s="34"/>
      <c r="F796" s="108"/>
      <c r="H796" s="119"/>
      <c r="I796" s="26"/>
      <c r="J796" s="101"/>
      <c r="K796" s="37"/>
      <c r="L796" s="26"/>
      <c r="M796" s="26"/>
      <c r="N796" s="26"/>
      <c r="O796" s="95"/>
      <c r="P796" s="97"/>
      <c r="Q796" s="197"/>
    </row>
    <row r="797" spans="3:17" x14ac:dyDescent="0.25">
      <c r="C797" s="210"/>
      <c r="D797" s="115"/>
      <c r="E797" s="34"/>
      <c r="F797" s="108"/>
      <c r="H797" s="119"/>
      <c r="I797" s="26"/>
      <c r="J797" s="101"/>
      <c r="K797" s="37"/>
      <c r="L797" s="26"/>
      <c r="M797" s="26"/>
      <c r="N797" s="26"/>
      <c r="O797" s="95"/>
      <c r="P797" s="97"/>
      <c r="Q797" s="197"/>
    </row>
    <row r="798" spans="3:17" x14ac:dyDescent="0.25">
      <c r="C798" s="210"/>
      <c r="D798" s="115"/>
      <c r="E798" s="34"/>
      <c r="F798" s="108"/>
      <c r="H798" s="119"/>
      <c r="I798" s="26"/>
      <c r="J798" s="101"/>
      <c r="K798" s="37"/>
      <c r="L798" s="26"/>
      <c r="M798" s="26"/>
      <c r="N798" s="26"/>
      <c r="O798" s="95"/>
      <c r="P798" s="97"/>
      <c r="Q798" s="197"/>
    </row>
    <row r="799" spans="3:17" x14ac:dyDescent="0.25">
      <c r="C799" s="210"/>
      <c r="D799" s="115"/>
      <c r="E799" s="34"/>
      <c r="F799" s="108"/>
      <c r="H799" s="119"/>
      <c r="I799" s="26"/>
      <c r="J799" s="101"/>
      <c r="K799" s="37"/>
      <c r="L799" s="26"/>
      <c r="M799" s="26"/>
      <c r="N799" s="26"/>
      <c r="O799" s="95"/>
      <c r="P799" s="97"/>
      <c r="Q799" s="197"/>
    </row>
    <row r="800" spans="3:17" x14ac:dyDescent="0.25">
      <c r="C800" s="210"/>
      <c r="D800" s="115"/>
      <c r="E800" s="34"/>
      <c r="F800" s="108"/>
      <c r="H800" s="119"/>
      <c r="I800" s="26"/>
      <c r="J800" s="101"/>
      <c r="K800" s="37"/>
      <c r="L800" s="26"/>
      <c r="M800" s="26"/>
      <c r="N800" s="26"/>
      <c r="O800" s="95"/>
      <c r="P800" s="97"/>
      <c r="Q800" s="197"/>
    </row>
    <row r="801" spans="3:17" x14ac:dyDescent="0.25">
      <c r="C801" s="210"/>
      <c r="D801" s="115"/>
      <c r="E801" s="34"/>
      <c r="F801" s="108"/>
      <c r="H801" s="119"/>
      <c r="I801" s="26"/>
      <c r="J801" s="101"/>
      <c r="K801" s="37"/>
      <c r="L801" s="26"/>
      <c r="M801" s="26"/>
      <c r="N801" s="26"/>
      <c r="O801" s="95"/>
      <c r="P801" s="97"/>
      <c r="Q801" s="197"/>
    </row>
    <row r="802" spans="3:17" x14ac:dyDescent="0.25">
      <c r="C802" s="210"/>
      <c r="D802" s="115"/>
      <c r="E802" s="34"/>
      <c r="F802" s="108"/>
      <c r="H802" s="119"/>
      <c r="I802" s="26"/>
      <c r="J802" s="101"/>
      <c r="K802" s="37"/>
      <c r="L802" s="26"/>
      <c r="M802" s="26"/>
      <c r="N802" s="26"/>
      <c r="O802" s="95"/>
      <c r="P802" s="97"/>
      <c r="Q802" s="197"/>
    </row>
    <row r="803" spans="3:17" x14ac:dyDescent="0.25">
      <c r="C803" s="210"/>
      <c r="D803" s="115"/>
      <c r="E803" s="34"/>
      <c r="F803" s="108"/>
      <c r="H803" s="119"/>
      <c r="I803" s="26"/>
      <c r="J803" s="101"/>
      <c r="K803" s="37"/>
      <c r="L803" s="26"/>
      <c r="M803" s="26"/>
      <c r="N803" s="26"/>
      <c r="O803" s="95"/>
      <c r="P803" s="97"/>
      <c r="Q803" s="197"/>
    </row>
    <row r="804" spans="3:17" x14ac:dyDescent="0.25">
      <c r="C804" s="210"/>
      <c r="D804" s="115"/>
      <c r="E804" s="34"/>
      <c r="F804" s="108"/>
      <c r="H804" s="119"/>
      <c r="I804" s="26"/>
      <c r="J804" s="101"/>
      <c r="K804" s="37"/>
      <c r="L804" s="26"/>
      <c r="M804" s="26"/>
      <c r="N804" s="26"/>
      <c r="O804" s="95"/>
      <c r="P804" s="97"/>
      <c r="Q804" s="197"/>
    </row>
    <row r="805" spans="3:17" x14ac:dyDescent="0.25">
      <c r="C805" s="210"/>
      <c r="D805" s="115"/>
      <c r="E805" s="34"/>
      <c r="F805" s="108"/>
      <c r="H805" s="119"/>
      <c r="I805" s="26"/>
      <c r="J805" s="101"/>
      <c r="K805" s="37"/>
      <c r="L805" s="26"/>
      <c r="M805" s="26"/>
      <c r="N805" s="26"/>
      <c r="O805" s="95"/>
      <c r="P805" s="97"/>
      <c r="Q805" s="197"/>
    </row>
    <row r="806" spans="3:17" x14ac:dyDescent="0.25">
      <c r="C806" s="210"/>
      <c r="D806" s="115"/>
      <c r="E806" s="34"/>
      <c r="F806" s="108"/>
      <c r="H806" s="119"/>
      <c r="I806" s="26"/>
      <c r="J806" s="101"/>
      <c r="K806" s="37"/>
      <c r="L806" s="26"/>
      <c r="M806" s="26"/>
      <c r="N806" s="26"/>
      <c r="O806" s="95"/>
      <c r="P806" s="97"/>
      <c r="Q806" s="197"/>
    </row>
    <row r="807" spans="3:17" x14ac:dyDescent="0.25">
      <c r="C807" s="210"/>
      <c r="D807" s="115"/>
      <c r="E807" s="34"/>
      <c r="F807" s="108"/>
      <c r="H807" s="119"/>
      <c r="I807" s="26"/>
      <c r="J807" s="101"/>
      <c r="K807" s="37"/>
      <c r="L807" s="26"/>
      <c r="M807" s="26"/>
      <c r="N807" s="26"/>
      <c r="O807" s="95"/>
      <c r="P807" s="97"/>
      <c r="Q807" s="197"/>
    </row>
    <row r="808" spans="3:17" x14ac:dyDescent="0.25">
      <c r="C808" s="210"/>
      <c r="D808" s="115"/>
      <c r="E808" s="34"/>
      <c r="F808" s="108"/>
      <c r="H808" s="119"/>
      <c r="I808" s="26"/>
      <c r="J808" s="101"/>
      <c r="K808" s="37"/>
      <c r="L808" s="26"/>
      <c r="M808" s="26"/>
      <c r="N808" s="26"/>
      <c r="O808" s="95"/>
      <c r="P808" s="97"/>
      <c r="Q808" s="197"/>
    </row>
    <row r="809" spans="3:17" x14ac:dyDescent="0.25">
      <c r="C809" s="210"/>
      <c r="D809" s="115"/>
      <c r="E809" s="34"/>
      <c r="F809" s="108"/>
      <c r="H809" s="119"/>
      <c r="I809" s="26"/>
      <c r="J809" s="101"/>
      <c r="K809" s="37"/>
      <c r="L809" s="26"/>
      <c r="M809" s="26"/>
      <c r="N809" s="26"/>
      <c r="O809" s="95"/>
      <c r="P809" s="97"/>
      <c r="Q809" s="197"/>
    </row>
    <row r="810" spans="3:17" x14ac:dyDescent="0.25">
      <c r="C810" s="210"/>
      <c r="D810" s="115"/>
      <c r="E810" s="34"/>
      <c r="F810" s="108"/>
      <c r="H810" s="119"/>
      <c r="I810" s="26"/>
      <c r="J810" s="101"/>
      <c r="K810" s="37"/>
      <c r="L810" s="26"/>
      <c r="M810" s="26"/>
      <c r="N810" s="26"/>
      <c r="O810" s="95"/>
      <c r="P810" s="97"/>
      <c r="Q810" s="197"/>
    </row>
    <row r="811" spans="3:17" x14ac:dyDescent="0.25">
      <c r="C811" s="210"/>
      <c r="D811" s="115"/>
      <c r="E811" s="34"/>
      <c r="F811" s="108"/>
      <c r="H811" s="119"/>
      <c r="I811" s="26"/>
      <c r="J811" s="101"/>
      <c r="K811" s="37"/>
      <c r="L811" s="26"/>
      <c r="M811" s="26"/>
      <c r="N811" s="26"/>
      <c r="O811" s="95"/>
      <c r="P811" s="97"/>
      <c r="Q811" s="197"/>
    </row>
    <row r="812" spans="3:17" x14ac:dyDescent="0.25">
      <c r="C812" s="210"/>
      <c r="D812" s="115"/>
      <c r="E812" s="34"/>
      <c r="F812" s="108"/>
      <c r="H812" s="119"/>
      <c r="I812" s="26"/>
      <c r="J812" s="101"/>
      <c r="K812" s="37"/>
      <c r="L812" s="26"/>
      <c r="M812" s="26"/>
      <c r="N812" s="26"/>
      <c r="O812" s="95"/>
      <c r="P812" s="97"/>
      <c r="Q812" s="197"/>
    </row>
    <row r="813" spans="3:17" x14ac:dyDescent="0.25">
      <c r="C813" s="210"/>
      <c r="D813" s="115"/>
      <c r="E813" s="34"/>
      <c r="F813" s="108"/>
      <c r="H813" s="119"/>
      <c r="I813" s="26"/>
      <c r="J813" s="101"/>
      <c r="K813" s="37"/>
      <c r="L813" s="26"/>
      <c r="M813" s="26"/>
      <c r="N813" s="26"/>
      <c r="O813" s="95"/>
      <c r="P813" s="97"/>
      <c r="Q813" s="197"/>
    </row>
    <row r="814" spans="3:17" x14ac:dyDescent="0.25">
      <c r="C814" s="210"/>
      <c r="D814" s="115"/>
      <c r="E814" s="34"/>
      <c r="F814" s="108"/>
      <c r="H814" s="119"/>
      <c r="I814" s="26"/>
      <c r="J814" s="101"/>
      <c r="K814" s="37"/>
      <c r="L814" s="26"/>
      <c r="M814" s="26"/>
      <c r="N814" s="26"/>
      <c r="O814" s="95"/>
      <c r="P814" s="97"/>
      <c r="Q814" s="197"/>
    </row>
    <row r="815" spans="3:17" x14ac:dyDescent="0.25">
      <c r="C815" s="210"/>
      <c r="D815" s="115"/>
      <c r="E815" s="34"/>
      <c r="F815" s="108"/>
      <c r="H815" s="119"/>
      <c r="I815" s="26"/>
      <c r="J815" s="101"/>
      <c r="K815" s="37"/>
      <c r="L815" s="26"/>
      <c r="M815" s="26"/>
      <c r="N815" s="26"/>
      <c r="O815" s="95"/>
      <c r="P815" s="97"/>
      <c r="Q815" s="197"/>
    </row>
    <row r="816" spans="3:17" x14ac:dyDescent="0.25">
      <c r="C816" s="210"/>
      <c r="D816" s="115"/>
      <c r="E816" s="34"/>
      <c r="F816" s="108"/>
      <c r="H816" s="119"/>
      <c r="I816" s="26"/>
      <c r="J816" s="101"/>
      <c r="K816" s="37"/>
      <c r="L816" s="26"/>
      <c r="M816" s="26"/>
      <c r="N816" s="26"/>
      <c r="O816" s="95"/>
      <c r="P816" s="97"/>
      <c r="Q816" s="197"/>
    </row>
    <row r="817" spans="3:17" x14ac:dyDescent="0.25">
      <c r="C817" s="210"/>
      <c r="D817" s="115"/>
      <c r="E817" s="34"/>
      <c r="F817" s="108"/>
      <c r="H817" s="119"/>
      <c r="I817" s="26"/>
      <c r="J817" s="101"/>
      <c r="K817" s="37"/>
      <c r="L817" s="26"/>
      <c r="M817" s="26"/>
      <c r="N817" s="26"/>
      <c r="O817" s="95"/>
      <c r="P817" s="97"/>
      <c r="Q817" s="197"/>
    </row>
    <row r="818" spans="3:17" x14ac:dyDescent="0.25">
      <c r="C818" s="210"/>
      <c r="D818" s="115"/>
      <c r="E818" s="34"/>
      <c r="F818" s="108"/>
      <c r="H818" s="119"/>
      <c r="I818" s="26"/>
      <c r="J818" s="101"/>
      <c r="K818" s="37"/>
      <c r="L818" s="26"/>
      <c r="M818" s="26"/>
      <c r="N818" s="26"/>
      <c r="O818" s="95"/>
      <c r="P818" s="97"/>
      <c r="Q818" s="197"/>
    </row>
    <row r="819" spans="3:17" x14ac:dyDescent="0.25">
      <c r="C819" s="210"/>
      <c r="D819" s="115"/>
      <c r="E819" s="34"/>
      <c r="F819" s="108"/>
      <c r="H819" s="119"/>
      <c r="I819" s="26"/>
      <c r="J819" s="101"/>
      <c r="K819" s="37"/>
      <c r="L819" s="26"/>
      <c r="M819" s="26"/>
      <c r="N819" s="26"/>
      <c r="O819" s="95"/>
      <c r="P819" s="97"/>
      <c r="Q819" s="197"/>
    </row>
    <row r="820" spans="3:17" x14ac:dyDescent="0.25">
      <c r="C820" s="210"/>
      <c r="D820" s="115"/>
      <c r="E820" s="34"/>
      <c r="F820" s="108"/>
      <c r="H820" s="119"/>
      <c r="I820" s="26"/>
      <c r="J820" s="101"/>
      <c r="K820" s="37"/>
      <c r="L820" s="26"/>
      <c r="M820" s="26"/>
      <c r="N820" s="26"/>
      <c r="O820" s="95"/>
      <c r="P820" s="97"/>
      <c r="Q820" s="197"/>
    </row>
    <row r="821" spans="3:17" x14ac:dyDescent="0.25">
      <c r="C821" s="210"/>
      <c r="D821" s="115"/>
      <c r="E821" s="34"/>
      <c r="F821" s="108"/>
      <c r="H821" s="119"/>
      <c r="I821" s="26"/>
      <c r="J821" s="101"/>
      <c r="K821" s="37"/>
      <c r="L821" s="26"/>
      <c r="M821" s="26"/>
      <c r="N821" s="26"/>
      <c r="O821" s="95"/>
      <c r="P821" s="97"/>
      <c r="Q821" s="197"/>
    </row>
    <row r="822" spans="3:17" x14ac:dyDescent="0.25">
      <c r="C822" s="210"/>
      <c r="D822" s="115"/>
      <c r="E822" s="34"/>
      <c r="F822" s="108"/>
      <c r="H822" s="119"/>
      <c r="I822" s="26"/>
      <c r="J822" s="101"/>
      <c r="K822" s="37"/>
      <c r="L822" s="26"/>
      <c r="M822" s="26"/>
      <c r="N822" s="26"/>
      <c r="O822" s="95"/>
      <c r="P822" s="97"/>
      <c r="Q822" s="197"/>
    </row>
    <row r="823" spans="3:17" x14ac:dyDescent="0.25">
      <c r="C823" s="210"/>
      <c r="D823" s="115"/>
      <c r="E823" s="34"/>
      <c r="F823" s="108"/>
      <c r="H823" s="119"/>
      <c r="I823" s="26"/>
      <c r="J823" s="101"/>
      <c r="K823" s="37"/>
      <c r="L823" s="26"/>
      <c r="M823" s="26"/>
      <c r="N823" s="26"/>
      <c r="O823" s="95"/>
      <c r="P823" s="97"/>
      <c r="Q823" s="197"/>
    </row>
    <row r="824" spans="3:17" x14ac:dyDescent="0.25">
      <c r="C824" s="210"/>
      <c r="D824" s="115"/>
      <c r="E824" s="34"/>
      <c r="F824" s="108"/>
      <c r="H824" s="119"/>
      <c r="I824" s="26"/>
      <c r="J824" s="101"/>
      <c r="K824" s="37"/>
      <c r="L824" s="26"/>
      <c r="M824" s="26"/>
      <c r="N824" s="26"/>
      <c r="O824" s="95"/>
      <c r="P824" s="97"/>
      <c r="Q824" s="197"/>
    </row>
    <row r="825" spans="3:17" x14ac:dyDescent="0.25">
      <c r="C825" s="210"/>
      <c r="D825" s="115"/>
      <c r="E825" s="34"/>
      <c r="F825" s="108"/>
      <c r="H825" s="119"/>
      <c r="I825" s="26"/>
      <c r="J825" s="101"/>
      <c r="K825" s="37"/>
      <c r="L825" s="26"/>
      <c r="M825" s="26"/>
      <c r="N825" s="26"/>
      <c r="O825" s="95"/>
      <c r="P825" s="97"/>
      <c r="Q825" s="197"/>
    </row>
    <row r="826" spans="3:17" x14ac:dyDescent="0.25">
      <c r="C826" s="210"/>
      <c r="D826" s="115"/>
      <c r="E826" s="34"/>
      <c r="F826" s="108"/>
      <c r="H826" s="119"/>
      <c r="I826" s="26"/>
      <c r="J826" s="101"/>
      <c r="K826" s="37"/>
      <c r="L826" s="26"/>
      <c r="M826" s="26"/>
      <c r="N826" s="26"/>
      <c r="O826" s="95"/>
      <c r="P826" s="97"/>
      <c r="Q826" s="197"/>
    </row>
    <row r="827" spans="3:17" x14ac:dyDescent="0.25">
      <c r="C827" s="210"/>
      <c r="D827" s="115"/>
      <c r="E827" s="34"/>
      <c r="F827" s="108"/>
      <c r="H827" s="119"/>
      <c r="I827" s="26"/>
      <c r="J827" s="101"/>
      <c r="K827" s="37"/>
      <c r="L827" s="26"/>
      <c r="M827" s="26"/>
      <c r="N827" s="26"/>
      <c r="O827" s="95"/>
      <c r="P827" s="97"/>
      <c r="Q827" s="197"/>
    </row>
    <row r="828" spans="3:17" x14ac:dyDescent="0.25">
      <c r="C828" s="210"/>
      <c r="D828" s="115"/>
      <c r="E828" s="34"/>
      <c r="F828" s="108"/>
      <c r="H828" s="119"/>
      <c r="I828" s="26"/>
      <c r="J828" s="101"/>
      <c r="K828" s="37"/>
      <c r="L828" s="26"/>
      <c r="M828" s="26"/>
      <c r="N828" s="26"/>
      <c r="O828" s="95"/>
      <c r="P828" s="97"/>
      <c r="Q828" s="197"/>
    </row>
    <row r="829" spans="3:17" x14ac:dyDescent="0.25">
      <c r="C829" s="210"/>
      <c r="D829" s="115"/>
      <c r="E829" s="34"/>
      <c r="F829" s="108"/>
      <c r="H829" s="119"/>
      <c r="I829" s="26"/>
      <c r="J829" s="101"/>
      <c r="K829" s="37"/>
      <c r="L829" s="26"/>
      <c r="M829" s="26"/>
      <c r="N829" s="26"/>
      <c r="O829" s="95"/>
      <c r="P829" s="97"/>
      <c r="Q829" s="197"/>
    </row>
    <row r="830" spans="3:17" x14ac:dyDescent="0.25">
      <c r="C830" s="210"/>
      <c r="D830" s="115"/>
      <c r="E830" s="34"/>
      <c r="F830" s="108"/>
      <c r="H830" s="119"/>
      <c r="I830" s="26"/>
      <c r="J830" s="101"/>
      <c r="K830" s="37"/>
      <c r="L830" s="26"/>
      <c r="M830" s="26"/>
      <c r="N830" s="26"/>
      <c r="O830" s="95"/>
      <c r="P830" s="97"/>
      <c r="Q830" s="197"/>
    </row>
    <row r="831" spans="3:17" x14ac:dyDescent="0.25">
      <c r="C831" s="210"/>
      <c r="D831" s="115"/>
      <c r="E831" s="34"/>
      <c r="F831" s="108"/>
      <c r="H831" s="119"/>
      <c r="I831" s="26"/>
      <c r="J831" s="101"/>
      <c r="K831" s="37"/>
      <c r="L831" s="26"/>
      <c r="M831" s="26"/>
      <c r="N831" s="26"/>
      <c r="O831" s="95"/>
      <c r="P831" s="97"/>
      <c r="Q831" s="197"/>
    </row>
    <row r="832" spans="3:17" x14ac:dyDescent="0.25">
      <c r="C832" s="210"/>
      <c r="D832" s="115"/>
      <c r="E832" s="34"/>
      <c r="F832" s="108"/>
      <c r="H832" s="119"/>
      <c r="I832" s="26"/>
      <c r="J832" s="101"/>
      <c r="K832" s="37"/>
      <c r="L832" s="26"/>
      <c r="M832" s="26"/>
      <c r="N832" s="26"/>
      <c r="O832" s="95"/>
      <c r="P832" s="97"/>
      <c r="Q832" s="197"/>
    </row>
    <row r="833" spans="3:17" x14ac:dyDescent="0.25">
      <c r="C833" s="210"/>
      <c r="D833" s="115"/>
      <c r="E833" s="34"/>
      <c r="F833" s="108"/>
      <c r="H833" s="119"/>
      <c r="I833" s="26"/>
      <c r="J833" s="101"/>
      <c r="K833" s="37"/>
      <c r="L833" s="26"/>
      <c r="M833" s="26"/>
      <c r="N833" s="26"/>
      <c r="O833" s="95"/>
      <c r="P833" s="97"/>
      <c r="Q833" s="197"/>
    </row>
    <row r="834" spans="3:17" x14ac:dyDescent="0.25">
      <c r="C834" s="210"/>
      <c r="D834" s="115"/>
      <c r="E834" s="34"/>
      <c r="F834" s="108"/>
      <c r="H834" s="119"/>
      <c r="I834" s="26"/>
      <c r="J834" s="101"/>
      <c r="K834" s="37"/>
      <c r="L834" s="26"/>
      <c r="M834" s="26"/>
      <c r="N834" s="26"/>
      <c r="O834" s="95"/>
      <c r="P834" s="97"/>
      <c r="Q834" s="197"/>
    </row>
    <row r="835" spans="3:17" x14ac:dyDescent="0.25">
      <c r="C835" s="210"/>
      <c r="D835" s="115"/>
      <c r="E835" s="34"/>
      <c r="F835" s="108"/>
      <c r="H835" s="119"/>
      <c r="I835" s="26"/>
      <c r="J835" s="101"/>
      <c r="K835" s="37"/>
      <c r="L835" s="26"/>
      <c r="M835" s="26"/>
      <c r="N835" s="26"/>
      <c r="O835" s="95"/>
      <c r="P835" s="97"/>
      <c r="Q835" s="197"/>
    </row>
    <row r="836" spans="3:17" x14ac:dyDescent="0.25">
      <c r="C836" s="210"/>
      <c r="D836" s="115"/>
      <c r="E836" s="34"/>
      <c r="F836" s="108"/>
      <c r="H836" s="119"/>
      <c r="I836" s="26"/>
      <c r="J836" s="101"/>
      <c r="K836" s="37"/>
      <c r="L836" s="26"/>
      <c r="M836" s="26"/>
      <c r="N836" s="26"/>
      <c r="O836" s="95"/>
      <c r="P836" s="97"/>
      <c r="Q836" s="197"/>
    </row>
    <row r="837" spans="3:17" x14ac:dyDescent="0.25">
      <c r="C837" s="210"/>
      <c r="D837" s="115"/>
      <c r="E837" s="34"/>
      <c r="F837" s="108"/>
      <c r="H837" s="119"/>
      <c r="I837" s="26"/>
      <c r="J837" s="101"/>
      <c r="K837" s="37"/>
      <c r="L837" s="26"/>
      <c r="M837" s="26"/>
      <c r="N837" s="26"/>
      <c r="O837" s="95"/>
      <c r="P837" s="97"/>
      <c r="Q837" s="197"/>
    </row>
    <row r="838" spans="3:17" x14ac:dyDescent="0.25">
      <c r="C838" s="210"/>
      <c r="D838" s="115"/>
      <c r="E838" s="34"/>
      <c r="F838" s="108"/>
      <c r="H838" s="119"/>
      <c r="I838" s="26"/>
      <c r="J838" s="101"/>
      <c r="K838" s="37"/>
      <c r="L838" s="26"/>
      <c r="M838" s="26"/>
      <c r="N838" s="26"/>
      <c r="O838" s="95"/>
      <c r="P838" s="97"/>
      <c r="Q838" s="197"/>
    </row>
    <row r="839" spans="3:17" x14ac:dyDescent="0.25">
      <c r="C839" s="210"/>
      <c r="D839" s="115"/>
      <c r="E839" s="34"/>
      <c r="F839" s="108"/>
      <c r="H839" s="119"/>
      <c r="I839" s="26"/>
      <c r="J839" s="101"/>
      <c r="K839" s="37"/>
      <c r="L839" s="26"/>
      <c r="M839" s="26"/>
      <c r="N839" s="26"/>
      <c r="O839" s="95"/>
      <c r="P839" s="97"/>
      <c r="Q839" s="197"/>
    </row>
    <row r="840" spans="3:17" x14ac:dyDescent="0.25">
      <c r="C840" s="210"/>
      <c r="D840" s="115"/>
      <c r="E840" s="34"/>
      <c r="F840" s="108"/>
      <c r="H840" s="119"/>
      <c r="I840" s="26"/>
      <c r="J840" s="101"/>
      <c r="K840" s="37"/>
      <c r="L840" s="26"/>
      <c r="M840" s="26"/>
      <c r="N840" s="26"/>
      <c r="O840" s="95"/>
      <c r="P840" s="97"/>
      <c r="Q840" s="197"/>
    </row>
    <row r="841" spans="3:17" x14ac:dyDescent="0.25">
      <c r="C841" s="210"/>
      <c r="D841" s="115"/>
      <c r="E841" s="34"/>
      <c r="F841" s="108"/>
      <c r="H841" s="119"/>
      <c r="I841" s="26"/>
      <c r="J841" s="101"/>
      <c r="K841" s="37"/>
      <c r="L841" s="26"/>
      <c r="M841" s="26"/>
      <c r="N841" s="26"/>
      <c r="O841" s="95"/>
      <c r="P841" s="97"/>
      <c r="Q841" s="197"/>
    </row>
    <row r="842" spans="3:17" x14ac:dyDescent="0.25">
      <c r="C842" s="210"/>
      <c r="D842" s="115"/>
      <c r="E842" s="34"/>
      <c r="F842" s="108"/>
      <c r="H842" s="119"/>
      <c r="I842" s="26"/>
      <c r="J842" s="101"/>
      <c r="K842" s="37"/>
      <c r="L842" s="26"/>
      <c r="M842" s="26"/>
      <c r="N842" s="26"/>
      <c r="O842" s="95"/>
      <c r="P842" s="97"/>
      <c r="Q842" s="197"/>
    </row>
    <row r="843" spans="3:17" x14ac:dyDescent="0.25">
      <c r="C843" s="210"/>
      <c r="D843" s="115"/>
      <c r="E843" s="34"/>
      <c r="F843" s="108"/>
      <c r="H843" s="119"/>
      <c r="I843" s="26"/>
      <c r="J843" s="101"/>
      <c r="K843" s="37"/>
      <c r="L843" s="26"/>
      <c r="M843" s="26"/>
      <c r="N843" s="26"/>
      <c r="O843" s="95"/>
      <c r="P843" s="97"/>
      <c r="Q843" s="197"/>
    </row>
    <row r="844" spans="3:17" x14ac:dyDescent="0.25">
      <c r="C844" s="210"/>
      <c r="D844" s="115"/>
      <c r="E844" s="34"/>
      <c r="F844" s="108"/>
      <c r="H844" s="119"/>
      <c r="I844" s="26"/>
      <c r="J844" s="101"/>
      <c r="K844" s="37"/>
      <c r="L844" s="26"/>
      <c r="M844" s="26"/>
      <c r="N844" s="26"/>
      <c r="O844" s="95"/>
      <c r="P844" s="97"/>
      <c r="Q844" s="197"/>
    </row>
    <row r="845" spans="3:17" x14ac:dyDescent="0.25">
      <c r="C845" s="210"/>
      <c r="D845" s="115"/>
      <c r="E845" s="34"/>
      <c r="F845" s="108"/>
      <c r="H845" s="119"/>
      <c r="I845" s="26"/>
      <c r="J845" s="101"/>
      <c r="K845" s="37"/>
      <c r="L845" s="26"/>
      <c r="M845" s="26"/>
      <c r="N845" s="26"/>
      <c r="O845" s="95"/>
      <c r="P845" s="97"/>
      <c r="Q845" s="197"/>
    </row>
    <row r="846" spans="3:17" x14ac:dyDescent="0.25">
      <c r="C846" s="210"/>
      <c r="D846" s="115"/>
      <c r="E846" s="34"/>
      <c r="F846" s="108"/>
      <c r="H846" s="119"/>
      <c r="I846" s="26"/>
      <c r="J846" s="101"/>
      <c r="K846" s="37"/>
      <c r="L846" s="26"/>
      <c r="M846" s="26"/>
      <c r="N846" s="26"/>
      <c r="O846" s="95"/>
      <c r="P846" s="97"/>
      <c r="Q846" s="197"/>
    </row>
    <row r="847" spans="3:17" x14ac:dyDescent="0.25">
      <c r="C847" s="210"/>
      <c r="D847" s="115"/>
      <c r="E847" s="34"/>
      <c r="F847" s="108"/>
      <c r="H847" s="119"/>
      <c r="I847" s="26"/>
      <c r="J847" s="101"/>
      <c r="K847" s="37"/>
      <c r="L847" s="26"/>
      <c r="M847" s="26"/>
      <c r="N847" s="26"/>
      <c r="O847" s="95"/>
      <c r="P847" s="97"/>
      <c r="Q847" s="197"/>
    </row>
    <row r="848" spans="3:17" x14ac:dyDescent="0.25">
      <c r="C848" s="210"/>
      <c r="D848" s="115"/>
      <c r="E848" s="34"/>
      <c r="F848" s="108"/>
      <c r="H848" s="119"/>
      <c r="I848" s="26"/>
      <c r="J848" s="101"/>
      <c r="K848" s="37"/>
      <c r="L848" s="26"/>
      <c r="M848" s="26"/>
      <c r="N848" s="26"/>
      <c r="O848" s="95"/>
      <c r="P848" s="97"/>
      <c r="Q848" s="197"/>
    </row>
    <row r="849" spans="3:17" x14ac:dyDescent="0.25">
      <c r="C849" s="210"/>
      <c r="D849" s="115"/>
      <c r="E849" s="34"/>
      <c r="F849" s="108"/>
      <c r="H849" s="119"/>
      <c r="I849" s="26"/>
      <c r="J849" s="101"/>
      <c r="K849" s="37"/>
      <c r="L849" s="26"/>
      <c r="M849" s="26"/>
      <c r="N849" s="26"/>
      <c r="O849" s="95"/>
      <c r="P849" s="97"/>
      <c r="Q849" s="197"/>
    </row>
    <row r="850" spans="3:17" x14ac:dyDescent="0.25">
      <c r="C850" s="210"/>
      <c r="D850" s="115"/>
      <c r="E850" s="34"/>
      <c r="F850" s="108"/>
      <c r="H850" s="119"/>
      <c r="I850" s="26"/>
      <c r="J850" s="101"/>
      <c r="K850" s="37"/>
      <c r="L850" s="26"/>
      <c r="M850" s="26"/>
      <c r="N850" s="26"/>
      <c r="O850" s="95"/>
      <c r="P850" s="97"/>
      <c r="Q850" s="197"/>
    </row>
    <row r="851" spans="3:17" x14ac:dyDescent="0.25">
      <c r="C851" s="210"/>
      <c r="D851" s="115"/>
      <c r="E851" s="34"/>
      <c r="F851" s="108"/>
      <c r="H851" s="119"/>
      <c r="I851" s="26"/>
      <c r="J851" s="101"/>
      <c r="K851" s="37"/>
      <c r="L851" s="26"/>
      <c r="M851" s="26"/>
      <c r="N851" s="26"/>
      <c r="O851" s="95"/>
      <c r="P851" s="97"/>
      <c r="Q851" s="197"/>
    </row>
    <row r="852" spans="3:17" x14ac:dyDescent="0.25">
      <c r="C852" s="210"/>
      <c r="D852" s="115"/>
      <c r="E852" s="34"/>
      <c r="F852" s="108"/>
      <c r="H852" s="119"/>
      <c r="I852" s="26"/>
      <c r="J852" s="101"/>
      <c r="K852" s="37"/>
      <c r="L852" s="26"/>
      <c r="M852" s="26"/>
      <c r="N852" s="26"/>
      <c r="O852" s="95"/>
      <c r="P852" s="97"/>
      <c r="Q852" s="197"/>
    </row>
    <row r="853" spans="3:17" x14ac:dyDescent="0.25">
      <c r="C853" s="210"/>
      <c r="D853" s="115"/>
      <c r="E853" s="34"/>
      <c r="F853" s="108"/>
      <c r="H853" s="119"/>
      <c r="I853" s="26"/>
      <c r="J853" s="101"/>
      <c r="K853" s="37"/>
      <c r="L853" s="26"/>
      <c r="M853" s="26"/>
      <c r="N853" s="26"/>
      <c r="O853" s="95"/>
      <c r="P853" s="97"/>
      <c r="Q853" s="197"/>
    </row>
    <row r="854" spans="3:17" x14ac:dyDescent="0.25">
      <c r="C854" s="210"/>
      <c r="D854" s="115"/>
      <c r="E854" s="34"/>
      <c r="F854" s="108"/>
      <c r="H854" s="119"/>
      <c r="I854" s="26"/>
      <c r="J854" s="101"/>
      <c r="K854" s="37"/>
      <c r="L854" s="26"/>
      <c r="M854" s="26"/>
      <c r="N854" s="26"/>
      <c r="O854" s="95"/>
      <c r="P854" s="97"/>
      <c r="Q854" s="197"/>
    </row>
    <row r="855" spans="3:17" x14ac:dyDescent="0.25">
      <c r="C855" s="210"/>
      <c r="D855" s="115"/>
      <c r="E855" s="34"/>
      <c r="F855" s="108"/>
      <c r="H855" s="119"/>
      <c r="I855" s="26"/>
      <c r="J855" s="101"/>
      <c r="K855" s="37"/>
      <c r="L855" s="26"/>
      <c r="M855" s="26"/>
      <c r="N855" s="26"/>
      <c r="O855" s="95"/>
      <c r="P855" s="97"/>
      <c r="Q855" s="197"/>
    </row>
    <row r="856" spans="3:17" x14ac:dyDescent="0.25">
      <c r="C856" s="210"/>
      <c r="D856" s="115"/>
      <c r="E856" s="34"/>
      <c r="F856" s="108"/>
      <c r="H856" s="119"/>
      <c r="I856" s="26"/>
      <c r="J856" s="101"/>
      <c r="K856" s="37"/>
      <c r="L856" s="26"/>
      <c r="M856" s="26"/>
      <c r="N856" s="26"/>
      <c r="O856" s="95"/>
      <c r="P856" s="97"/>
      <c r="Q856" s="197"/>
    </row>
    <row r="857" spans="3:17" x14ac:dyDescent="0.25">
      <c r="C857" s="210"/>
      <c r="D857" s="115"/>
      <c r="E857" s="34"/>
      <c r="F857" s="108"/>
      <c r="H857" s="119"/>
      <c r="I857" s="26"/>
      <c r="J857" s="101"/>
      <c r="K857" s="37"/>
      <c r="L857" s="26"/>
      <c r="M857" s="26"/>
      <c r="N857" s="26"/>
      <c r="O857" s="95"/>
      <c r="P857" s="97"/>
      <c r="Q857" s="197"/>
    </row>
    <row r="858" spans="3:17" x14ac:dyDescent="0.25">
      <c r="C858" s="210"/>
      <c r="D858" s="115"/>
      <c r="E858" s="34"/>
      <c r="F858" s="108"/>
      <c r="H858" s="119"/>
      <c r="I858" s="26"/>
      <c r="J858" s="101"/>
      <c r="K858" s="37"/>
      <c r="L858" s="26"/>
      <c r="M858" s="26"/>
      <c r="N858" s="26"/>
      <c r="O858" s="95"/>
      <c r="P858" s="97"/>
      <c r="Q858" s="197"/>
    </row>
    <row r="859" spans="3:17" x14ac:dyDescent="0.25">
      <c r="C859" s="210"/>
      <c r="D859" s="115"/>
      <c r="E859" s="34"/>
      <c r="F859" s="108"/>
      <c r="H859" s="119"/>
      <c r="I859" s="26"/>
      <c r="J859" s="101"/>
      <c r="K859" s="37"/>
      <c r="L859" s="26"/>
      <c r="M859" s="26"/>
      <c r="N859" s="26"/>
      <c r="O859" s="95"/>
      <c r="P859" s="97"/>
      <c r="Q859" s="197"/>
    </row>
    <row r="860" spans="3:17" x14ac:dyDescent="0.25">
      <c r="C860" s="210"/>
      <c r="D860" s="115"/>
      <c r="E860" s="34"/>
      <c r="F860" s="108"/>
      <c r="H860" s="119"/>
      <c r="I860" s="26"/>
      <c r="J860" s="101"/>
      <c r="K860" s="37"/>
      <c r="L860" s="26"/>
      <c r="M860" s="26"/>
      <c r="N860" s="26"/>
      <c r="O860" s="95"/>
      <c r="P860" s="97"/>
      <c r="Q860" s="197"/>
    </row>
    <row r="861" spans="3:17" x14ac:dyDescent="0.25">
      <c r="C861" s="210"/>
      <c r="D861" s="115"/>
      <c r="E861" s="34"/>
      <c r="F861" s="108"/>
      <c r="H861" s="119"/>
      <c r="I861" s="26"/>
      <c r="J861" s="101"/>
      <c r="K861" s="37"/>
      <c r="L861" s="26"/>
      <c r="M861" s="26"/>
      <c r="N861" s="26"/>
      <c r="O861" s="95"/>
      <c r="P861" s="97"/>
      <c r="Q861" s="197"/>
    </row>
    <row r="862" spans="3:17" x14ac:dyDescent="0.25">
      <c r="C862" s="210"/>
      <c r="D862" s="115"/>
      <c r="E862" s="34"/>
      <c r="F862" s="108"/>
      <c r="H862" s="119"/>
      <c r="I862" s="26"/>
      <c r="J862" s="101"/>
      <c r="K862" s="37"/>
      <c r="L862" s="26"/>
      <c r="M862" s="26"/>
      <c r="N862" s="26"/>
      <c r="O862" s="95"/>
      <c r="P862" s="97"/>
      <c r="Q862" s="197"/>
    </row>
    <row r="863" spans="3:17" x14ac:dyDescent="0.25">
      <c r="C863" s="210"/>
      <c r="D863" s="115"/>
      <c r="E863" s="34"/>
      <c r="F863" s="108"/>
      <c r="H863" s="119"/>
      <c r="I863" s="26"/>
      <c r="J863" s="101"/>
      <c r="K863" s="37"/>
      <c r="L863" s="26"/>
      <c r="M863" s="26"/>
      <c r="N863" s="26"/>
      <c r="O863" s="95"/>
      <c r="P863" s="97"/>
      <c r="Q863" s="197"/>
    </row>
    <row r="864" spans="3:17" x14ac:dyDescent="0.25">
      <c r="C864" s="210"/>
      <c r="D864" s="115"/>
      <c r="E864" s="34"/>
      <c r="F864" s="108"/>
      <c r="H864" s="119"/>
      <c r="I864" s="26"/>
      <c r="J864" s="101"/>
      <c r="K864" s="37"/>
      <c r="L864" s="26"/>
      <c r="M864" s="26"/>
      <c r="N864" s="26"/>
      <c r="O864" s="95"/>
      <c r="P864" s="97"/>
      <c r="Q864" s="197"/>
    </row>
    <row r="865" spans="3:17" x14ac:dyDescent="0.25">
      <c r="C865" s="210"/>
      <c r="D865" s="115"/>
      <c r="E865" s="34"/>
      <c r="F865" s="108"/>
      <c r="H865" s="119"/>
      <c r="I865" s="26"/>
      <c r="J865" s="101"/>
      <c r="K865" s="37"/>
      <c r="L865" s="26"/>
      <c r="M865" s="26"/>
      <c r="N865" s="26"/>
      <c r="O865" s="95"/>
      <c r="P865" s="97"/>
      <c r="Q865" s="197"/>
    </row>
    <row r="866" spans="3:17" x14ac:dyDescent="0.25">
      <c r="C866" s="210"/>
      <c r="D866" s="115"/>
      <c r="E866" s="34"/>
      <c r="F866" s="108"/>
      <c r="H866" s="119"/>
      <c r="I866" s="26"/>
      <c r="J866" s="101"/>
      <c r="K866" s="37"/>
      <c r="L866" s="26"/>
      <c r="M866" s="26"/>
      <c r="N866" s="26"/>
      <c r="O866" s="95"/>
      <c r="P866" s="97"/>
      <c r="Q866" s="197"/>
    </row>
    <row r="867" spans="3:17" x14ac:dyDescent="0.25">
      <c r="C867" s="210"/>
      <c r="D867" s="115"/>
      <c r="E867" s="34"/>
      <c r="F867" s="108"/>
      <c r="H867" s="119"/>
      <c r="I867" s="26"/>
      <c r="J867" s="101"/>
      <c r="K867" s="37"/>
      <c r="L867" s="26"/>
      <c r="M867" s="26"/>
      <c r="N867" s="26"/>
      <c r="O867" s="95"/>
      <c r="P867" s="97"/>
      <c r="Q867" s="197"/>
    </row>
    <row r="868" spans="3:17" x14ac:dyDescent="0.25">
      <c r="C868" s="210"/>
      <c r="D868" s="115"/>
      <c r="E868" s="34"/>
      <c r="F868" s="108"/>
      <c r="H868" s="119"/>
      <c r="I868" s="26"/>
      <c r="J868" s="101"/>
      <c r="K868" s="37"/>
      <c r="L868" s="26"/>
      <c r="M868" s="26"/>
      <c r="N868" s="26"/>
      <c r="O868" s="95"/>
      <c r="P868" s="97"/>
      <c r="Q868" s="197"/>
    </row>
    <row r="869" spans="3:17" x14ac:dyDescent="0.25">
      <c r="C869" s="210"/>
      <c r="D869" s="115"/>
      <c r="E869" s="34"/>
      <c r="F869" s="108"/>
      <c r="H869" s="119"/>
      <c r="I869" s="26"/>
      <c r="J869" s="101"/>
      <c r="K869" s="37"/>
      <c r="L869" s="26"/>
      <c r="M869" s="26"/>
      <c r="N869" s="26"/>
      <c r="O869" s="95"/>
      <c r="P869" s="97"/>
      <c r="Q869" s="197"/>
    </row>
    <row r="870" spans="3:17" x14ac:dyDescent="0.25">
      <c r="C870" s="210"/>
      <c r="D870" s="115"/>
      <c r="E870" s="34"/>
      <c r="F870" s="108"/>
      <c r="H870" s="119"/>
      <c r="I870" s="26"/>
      <c r="J870" s="101"/>
      <c r="K870" s="37"/>
      <c r="L870" s="26"/>
      <c r="M870" s="26"/>
      <c r="N870" s="26"/>
      <c r="O870" s="95"/>
      <c r="P870" s="97"/>
      <c r="Q870" s="197"/>
    </row>
    <row r="871" spans="3:17" x14ac:dyDescent="0.25">
      <c r="C871" s="210"/>
      <c r="D871" s="115"/>
      <c r="E871" s="34"/>
      <c r="F871" s="108"/>
      <c r="H871" s="119"/>
      <c r="I871" s="26"/>
      <c r="J871" s="101"/>
      <c r="K871" s="37"/>
      <c r="L871" s="26"/>
      <c r="M871" s="26"/>
      <c r="N871" s="26"/>
      <c r="O871" s="95"/>
      <c r="P871" s="97"/>
      <c r="Q871" s="197"/>
    </row>
    <row r="872" spans="3:17" x14ac:dyDescent="0.25">
      <c r="C872" s="210"/>
      <c r="D872" s="115"/>
      <c r="E872" s="34"/>
      <c r="F872" s="108"/>
      <c r="H872" s="119"/>
      <c r="I872" s="26"/>
      <c r="J872" s="101"/>
      <c r="K872" s="37"/>
      <c r="L872" s="26"/>
      <c r="M872" s="26"/>
      <c r="N872" s="26"/>
      <c r="O872" s="95"/>
      <c r="P872" s="97"/>
      <c r="Q872" s="197"/>
    </row>
    <row r="873" spans="3:17" x14ac:dyDescent="0.25">
      <c r="C873" s="210"/>
      <c r="D873" s="115"/>
      <c r="E873" s="34"/>
      <c r="F873" s="108"/>
      <c r="H873" s="119"/>
      <c r="I873" s="26"/>
      <c r="J873" s="101"/>
      <c r="K873" s="37"/>
      <c r="L873" s="26"/>
      <c r="M873" s="26"/>
      <c r="N873" s="26"/>
      <c r="O873" s="95"/>
      <c r="P873" s="97"/>
      <c r="Q873" s="197"/>
    </row>
    <row r="874" spans="3:17" x14ac:dyDescent="0.25">
      <c r="C874" s="210"/>
      <c r="D874" s="115"/>
      <c r="E874" s="34"/>
      <c r="F874" s="108"/>
      <c r="H874" s="119"/>
      <c r="I874" s="26"/>
      <c r="J874" s="101"/>
      <c r="K874" s="37"/>
      <c r="L874" s="26"/>
      <c r="M874" s="26"/>
      <c r="N874" s="26"/>
      <c r="O874" s="95"/>
      <c r="P874" s="97"/>
      <c r="Q874" s="197"/>
    </row>
    <row r="875" spans="3:17" x14ac:dyDescent="0.25">
      <c r="C875" s="210"/>
      <c r="D875" s="115"/>
      <c r="E875" s="34"/>
      <c r="F875" s="108"/>
      <c r="H875" s="119"/>
      <c r="I875" s="26"/>
      <c r="J875" s="101"/>
      <c r="K875" s="37"/>
      <c r="L875" s="26"/>
      <c r="M875" s="26"/>
      <c r="N875" s="26"/>
      <c r="O875" s="95"/>
      <c r="P875" s="97"/>
      <c r="Q875" s="197"/>
    </row>
    <row r="876" spans="3:17" x14ac:dyDescent="0.25">
      <c r="C876" s="210"/>
      <c r="D876" s="115"/>
      <c r="E876" s="34"/>
      <c r="F876" s="108"/>
      <c r="H876" s="119"/>
      <c r="I876" s="26"/>
      <c r="J876" s="101"/>
      <c r="K876" s="37"/>
      <c r="L876" s="26"/>
      <c r="M876" s="26"/>
      <c r="N876" s="26"/>
      <c r="O876" s="95"/>
      <c r="P876" s="97"/>
      <c r="Q876" s="197"/>
    </row>
    <row r="877" spans="3:17" x14ac:dyDescent="0.25">
      <c r="C877" s="210"/>
      <c r="D877" s="115"/>
      <c r="E877" s="34"/>
      <c r="F877" s="108"/>
      <c r="H877" s="119"/>
      <c r="I877" s="26"/>
      <c r="J877" s="101"/>
      <c r="K877" s="37"/>
      <c r="L877" s="26"/>
      <c r="M877" s="26"/>
      <c r="N877" s="26"/>
      <c r="O877" s="95"/>
      <c r="P877" s="97"/>
      <c r="Q877" s="197"/>
    </row>
    <row r="878" spans="3:17" x14ac:dyDescent="0.25">
      <c r="C878" s="210"/>
      <c r="D878" s="115"/>
      <c r="E878" s="34"/>
      <c r="F878" s="108"/>
      <c r="H878" s="119"/>
      <c r="I878" s="26"/>
      <c r="J878" s="101"/>
      <c r="K878" s="37"/>
      <c r="L878" s="26"/>
      <c r="M878" s="26"/>
      <c r="N878" s="26"/>
      <c r="O878" s="95"/>
      <c r="P878" s="97"/>
      <c r="Q878" s="197"/>
    </row>
    <row r="879" spans="3:17" x14ac:dyDescent="0.25">
      <c r="C879" s="210"/>
      <c r="D879" s="115"/>
      <c r="E879" s="34"/>
      <c r="F879" s="108"/>
      <c r="H879" s="119"/>
      <c r="I879" s="26"/>
      <c r="J879" s="101"/>
      <c r="K879" s="37"/>
      <c r="L879" s="26"/>
      <c r="M879" s="26"/>
      <c r="N879" s="26"/>
      <c r="O879" s="95"/>
      <c r="P879" s="97"/>
      <c r="Q879" s="197"/>
    </row>
    <row r="880" spans="3:17" x14ac:dyDescent="0.25">
      <c r="C880" s="210"/>
      <c r="D880" s="115"/>
      <c r="E880" s="34"/>
      <c r="F880" s="108"/>
      <c r="H880" s="119"/>
      <c r="I880" s="26"/>
      <c r="J880" s="101"/>
      <c r="K880" s="37"/>
      <c r="L880" s="26"/>
      <c r="M880" s="26"/>
      <c r="N880" s="26"/>
      <c r="O880" s="95"/>
      <c r="P880" s="97"/>
      <c r="Q880" s="197"/>
    </row>
    <row r="881" spans="3:17" x14ac:dyDescent="0.25">
      <c r="C881" s="210"/>
      <c r="D881" s="115"/>
      <c r="E881" s="34"/>
      <c r="F881" s="108"/>
      <c r="H881" s="119"/>
      <c r="I881" s="26"/>
      <c r="J881" s="101"/>
      <c r="K881" s="37"/>
      <c r="L881" s="26"/>
      <c r="M881" s="26"/>
      <c r="N881" s="26"/>
      <c r="O881" s="95"/>
      <c r="P881" s="97"/>
      <c r="Q881" s="197"/>
    </row>
    <row r="882" spans="3:17" x14ac:dyDescent="0.25">
      <c r="C882" s="210"/>
      <c r="D882" s="115"/>
      <c r="E882" s="34"/>
      <c r="F882" s="108"/>
      <c r="H882" s="119"/>
      <c r="I882" s="26"/>
      <c r="J882" s="101"/>
      <c r="K882" s="37"/>
      <c r="L882" s="26"/>
      <c r="M882" s="26"/>
      <c r="N882" s="26"/>
      <c r="O882" s="95"/>
      <c r="P882" s="97"/>
      <c r="Q882" s="197"/>
    </row>
    <row r="883" spans="3:17" x14ac:dyDescent="0.25">
      <c r="C883" s="210"/>
      <c r="D883" s="115"/>
      <c r="E883" s="34"/>
      <c r="F883" s="108"/>
      <c r="H883" s="119"/>
      <c r="I883" s="26"/>
      <c r="J883" s="101"/>
      <c r="K883" s="37"/>
      <c r="L883" s="26"/>
      <c r="M883" s="26"/>
      <c r="N883" s="26"/>
      <c r="O883" s="95"/>
      <c r="P883" s="97"/>
      <c r="Q883" s="197"/>
    </row>
    <row r="884" spans="3:17" x14ac:dyDescent="0.25">
      <c r="C884" s="210"/>
      <c r="D884" s="115"/>
      <c r="E884" s="34"/>
      <c r="F884" s="108"/>
      <c r="H884" s="119"/>
      <c r="I884" s="26"/>
      <c r="J884" s="101"/>
      <c r="K884" s="37"/>
      <c r="L884" s="26"/>
      <c r="M884" s="26"/>
      <c r="N884" s="26"/>
      <c r="O884" s="95"/>
      <c r="P884" s="97"/>
      <c r="Q884" s="197"/>
    </row>
    <row r="885" spans="3:17" x14ac:dyDescent="0.25">
      <c r="C885" s="210"/>
      <c r="D885" s="115"/>
      <c r="E885" s="34"/>
      <c r="F885" s="108"/>
      <c r="H885" s="119"/>
      <c r="I885" s="26"/>
      <c r="J885" s="101"/>
      <c r="K885" s="37"/>
      <c r="L885" s="26"/>
      <c r="M885" s="26"/>
      <c r="N885" s="26"/>
      <c r="O885" s="95"/>
      <c r="P885" s="97"/>
      <c r="Q885" s="197"/>
    </row>
    <row r="886" spans="3:17" x14ac:dyDescent="0.25">
      <c r="C886" s="210"/>
      <c r="D886" s="115"/>
      <c r="E886" s="34"/>
      <c r="F886" s="108"/>
      <c r="H886" s="119"/>
      <c r="I886" s="26"/>
      <c r="J886" s="101"/>
      <c r="K886" s="37"/>
      <c r="L886" s="26"/>
      <c r="M886" s="26"/>
      <c r="N886" s="26"/>
      <c r="O886" s="95"/>
      <c r="P886" s="97"/>
      <c r="Q886" s="197"/>
    </row>
    <row r="887" spans="3:17" x14ac:dyDescent="0.25">
      <c r="C887" s="210"/>
      <c r="D887" s="115"/>
      <c r="E887" s="34"/>
      <c r="F887" s="108"/>
      <c r="H887" s="119"/>
      <c r="I887" s="26"/>
      <c r="J887" s="101"/>
      <c r="K887" s="37"/>
      <c r="L887" s="26"/>
      <c r="M887" s="26"/>
      <c r="N887" s="26"/>
      <c r="O887" s="95"/>
      <c r="P887" s="97"/>
      <c r="Q887" s="197"/>
    </row>
    <row r="888" spans="3:17" x14ac:dyDescent="0.25">
      <c r="C888" s="210"/>
      <c r="D888" s="115"/>
      <c r="E888" s="34"/>
      <c r="F888" s="108"/>
      <c r="H888" s="119"/>
      <c r="I888" s="26"/>
      <c r="J888" s="101"/>
      <c r="K888" s="37"/>
      <c r="L888" s="26"/>
      <c r="M888" s="26"/>
      <c r="N888" s="26"/>
      <c r="O888" s="95"/>
      <c r="P888" s="97"/>
      <c r="Q888" s="197"/>
    </row>
    <row r="889" spans="3:17" x14ac:dyDescent="0.25">
      <c r="C889" s="210"/>
      <c r="D889" s="115"/>
      <c r="E889" s="34"/>
      <c r="F889" s="108"/>
      <c r="H889" s="119"/>
      <c r="I889" s="26"/>
      <c r="J889" s="101"/>
      <c r="K889" s="37"/>
      <c r="L889" s="26"/>
      <c r="M889" s="26"/>
      <c r="N889" s="26"/>
      <c r="O889" s="95"/>
      <c r="P889" s="97"/>
      <c r="Q889" s="197"/>
    </row>
    <row r="890" spans="3:17" x14ac:dyDescent="0.25">
      <c r="C890" s="210"/>
      <c r="D890" s="115"/>
      <c r="E890" s="34"/>
      <c r="F890" s="108"/>
      <c r="H890" s="119"/>
      <c r="I890" s="26"/>
      <c r="J890" s="101"/>
      <c r="K890" s="37"/>
      <c r="L890" s="26"/>
      <c r="M890" s="26"/>
      <c r="N890" s="26"/>
      <c r="O890" s="95"/>
      <c r="P890" s="97"/>
      <c r="Q890" s="197"/>
    </row>
    <row r="891" spans="3:17" x14ac:dyDescent="0.25">
      <c r="C891" s="210"/>
      <c r="D891" s="115"/>
      <c r="E891" s="34"/>
      <c r="F891" s="108"/>
      <c r="H891" s="119"/>
      <c r="I891" s="26"/>
      <c r="J891" s="101"/>
      <c r="K891" s="37"/>
      <c r="L891" s="26"/>
      <c r="M891" s="26"/>
      <c r="N891" s="26"/>
      <c r="O891" s="95"/>
      <c r="P891" s="97"/>
      <c r="Q891" s="197"/>
    </row>
    <row r="892" spans="3:17" x14ac:dyDescent="0.25">
      <c r="C892" s="210"/>
      <c r="D892" s="115"/>
      <c r="E892" s="34"/>
      <c r="F892" s="108"/>
      <c r="H892" s="119"/>
      <c r="I892" s="26"/>
      <c r="J892" s="101"/>
      <c r="K892" s="37"/>
      <c r="L892" s="26"/>
      <c r="M892" s="26"/>
      <c r="N892" s="26"/>
      <c r="O892" s="95"/>
      <c r="P892" s="97"/>
      <c r="Q892" s="197"/>
    </row>
    <row r="893" spans="3:17" x14ac:dyDescent="0.25">
      <c r="C893" s="210"/>
      <c r="D893" s="115"/>
      <c r="E893" s="34"/>
      <c r="F893" s="108"/>
      <c r="H893" s="119"/>
      <c r="I893" s="26"/>
      <c r="J893" s="101"/>
      <c r="K893" s="37"/>
      <c r="L893" s="26"/>
      <c r="M893" s="26"/>
      <c r="N893" s="26"/>
      <c r="O893" s="95"/>
      <c r="P893" s="97"/>
      <c r="Q893" s="197"/>
    </row>
    <row r="894" spans="3:17" x14ac:dyDescent="0.25">
      <c r="C894" s="210"/>
      <c r="D894" s="115"/>
      <c r="E894" s="34"/>
      <c r="F894" s="108"/>
      <c r="H894" s="119"/>
      <c r="I894" s="26"/>
      <c r="J894" s="101"/>
      <c r="K894" s="37"/>
      <c r="L894" s="26"/>
      <c r="M894" s="26"/>
      <c r="N894" s="26"/>
      <c r="O894" s="95"/>
      <c r="P894" s="97"/>
      <c r="Q894" s="197"/>
    </row>
    <row r="895" spans="3:17" x14ac:dyDescent="0.25">
      <c r="C895" s="210"/>
      <c r="D895" s="115"/>
      <c r="E895" s="34"/>
      <c r="F895" s="108"/>
      <c r="H895" s="119"/>
      <c r="I895" s="26"/>
      <c r="J895" s="101"/>
      <c r="K895" s="37"/>
      <c r="L895" s="26"/>
      <c r="M895" s="26"/>
      <c r="N895" s="26"/>
      <c r="O895" s="95"/>
      <c r="P895" s="97"/>
      <c r="Q895" s="197"/>
    </row>
    <row r="896" spans="3:17" x14ac:dyDescent="0.25">
      <c r="C896" s="210"/>
      <c r="D896" s="115"/>
      <c r="E896" s="34"/>
      <c r="F896" s="108"/>
      <c r="H896" s="119"/>
      <c r="I896" s="26"/>
      <c r="J896" s="101"/>
      <c r="K896" s="37"/>
      <c r="L896" s="26"/>
      <c r="M896" s="26"/>
      <c r="N896" s="26"/>
      <c r="O896" s="95"/>
      <c r="P896" s="97"/>
      <c r="Q896" s="197"/>
    </row>
    <row r="897" spans="3:17" x14ac:dyDescent="0.25">
      <c r="C897" s="210"/>
      <c r="D897" s="115"/>
      <c r="E897" s="34"/>
      <c r="F897" s="108"/>
      <c r="H897" s="119"/>
      <c r="I897" s="26"/>
      <c r="J897" s="101"/>
      <c r="K897" s="37"/>
      <c r="L897" s="26"/>
      <c r="M897" s="26"/>
      <c r="N897" s="26"/>
      <c r="O897" s="95"/>
      <c r="P897" s="97"/>
      <c r="Q897" s="197"/>
    </row>
    <row r="898" spans="3:17" x14ac:dyDescent="0.25">
      <c r="C898" s="210"/>
      <c r="D898" s="115"/>
      <c r="E898" s="34"/>
      <c r="F898" s="108"/>
      <c r="H898" s="119"/>
      <c r="I898" s="26"/>
      <c r="J898" s="101"/>
      <c r="K898" s="37"/>
      <c r="L898" s="26"/>
      <c r="M898" s="26"/>
      <c r="N898" s="26"/>
      <c r="O898" s="95"/>
      <c r="P898" s="97"/>
      <c r="Q898" s="197"/>
    </row>
    <row r="899" spans="3:17" x14ac:dyDescent="0.25">
      <c r="C899" s="210"/>
      <c r="D899" s="115"/>
      <c r="E899" s="34"/>
      <c r="F899" s="108"/>
      <c r="H899" s="119"/>
      <c r="I899" s="26"/>
      <c r="J899" s="101"/>
      <c r="K899" s="37"/>
      <c r="L899" s="26"/>
      <c r="M899" s="26"/>
      <c r="N899" s="26"/>
      <c r="O899" s="95"/>
      <c r="P899" s="97"/>
      <c r="Q899" s="197"/>
    </row>
    <row r="900" spans="3:17" x14ac:dyDescent="0.25">
      <c r="C900" s="210"/>
      <c r="D900" s="115"/>
      <c r="E900" s="34"/>
      <c r="F900" s="108"/>
      <c r="H900" s="119"/>
      <c r="I900" s="26"/>
      <c r="J900" s="101"/>
      <c r="K900" s="37"/>
      <c r="L900" s="26"/>
      <c r="M900" s="26"/>
      <c r="N900" s="26"/>
      <c r="O900" s="95"/>
      <c r="P900" s="97"/>
      <c r="Q900" s="197"/>
    </row>
    <row r="901" spans="3:17" ht="57.5" x14ac:dyDescent="0.25">
      <c r="C901" s="215"/>
      <c r="D901" s="133"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901" s="135"/>
      <c r="F901" s="93"/>
      <c r="H901" s="117"/>
      <c r="I901" s="40"/>
      <c r="J901" s="121"/>
      <c r="L901" s="31"/>
      <c r="M901" s="31"/>
      <c r="N901" s="31"/>
      <c r="O901" s="122"/>
      <c r="P901" s="98"/>
      <c r="Q901" s="213"/>
    </row>
    <row r="902" spans="3:17" x14ac:dyDescent="0.25">
      <c r="D902" s="120"/>
    </row>
  </sheetData>
  <conditionalFormatting sqref="E23:E609 E626 E631 E635 E637:E900">
    <cfRule type="expression" dxfId="6" priority="11">
      <formula>VALUE(A23)&gt;2004</formula>
    </cfRule>
  </conditionalFormatting>
  <conditionalFormatting sqref="F22:F901">
    <cfRule type="containsText" dxfId="5" priority="1" operator="containsText" text="ERROR">
      <formula>NOT(ISERROR(SEARCH("ERROR",F22)))</formula>
    </cfRule>
  </conditionalFormatting>
  <conditionalFormatting sqref="J22:J901">
    <cfRule type="cellIs" dxfId="4" priority="2"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C1:R300"/>
  <sheetViews>
    <sheetView showGridLines="0" workbookViewId="0">
      <pane ySplit="21" topLeftCell="A22" activePane="bottomLeft" state="frozen"/>
      <selection activeCell="N21" sqref="N21"/>
      <selection pane="bottomLeft" activeCell="L29" sqref="L29"/>
    </sheetView>
  </sheetViews>
  <sheetFormatPr defaultRowHeight="11.5" outlineLevelRow="1" x14ac:dyDescent="0.25"/>
  <cols>
    <col min="1" max="1" width="6.3984375" customWidth="1"/>
    <col min="2" max="2" width="8" bestFit="1"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12" x14ac:dyDescent="0.25">
      <c r="E1" s="32"/>
    </row>
    <row r="2" spans="3:12" x14ac:dyDescent="0.25">
      <c r="E2" s="32"/>
      <c r="F2" s="32"/>
    </row>
    <row r="3" spans="3:12" ht="20" x14ac:dyDescent="0.4">
      <c r="C3" s="59" t="s">
        <v>356</v>
      </c>
    </row>
    <row r="4" spans="3:12" hidden="1" outlineLevel="1" x14ac:dyDescent="0.25"/>
    <row r="5" spans="3:12" hidden="1" outlineLevel="1" x14ac:dyDescent="0.25"/>
    <row r="6" spans="3:12" ht="12" hidden="1" customHeight="1" outlineLevel="1" x14ac:dyDescent="0.25">
      <c r="C6" s="109"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2" hidden="1" outlineLevel="1" x14ac:dyDescent="0.25">
      <c r="C7" s="132" t="str">
        <f ca="1">"Hyperlink to the '"&amp;MID(CELL("filename",'Asset exclusions'!A1),FIND("]",CELL("filename",'Asset exclusions'!A1))+1,255)&amp;"' worksheet:"</f>
        <v>Hyperlink to the 'Asset exclusions' worksheet:</v>
      </c>
      <c r="E7" s="163" t="s">
        <v>175</v>
      </c>
    </row>
    <row r="8" spans="3:12" hidden="1" outlineLevel="1" x14ac:dyDescent="0.25">
      <c r="C8" s="132"/>
      <c r="E8" s="163"/>
    </row>
    <row r="9" spans="3:12" hidden="1" outlineLevel="1" x14ac:dyDescent="0.25">
      <c r="C9" s="132" t="s">
        <v>176</v>
      </c>
      <c r="E9" s="163"/>
    </row>
    <row r="10" spans="3:12" hidden="1" outlineLevel="1" x14ac:dyDescent="0.25">
      <c r="C10" s="132" t="s">
        <v>177</v>
      </c>
      <c r="E10" s="163"/>
    </row>
    <row r="11" spans="3:12" hidden="1" outlineLevel="1" x14ac:dyDescent="0.25">
      <c r="C11" s="132" t="s">
        <v>178</v>
      </c>
      <c r="E11" s="163"/>
    </row>
    <row r="12" spans="3:12" hidden="1" outlineLevel="1" x14ac:dyDescent="0.25">
      <c r="C12" s="132" t="s">
        <v>179</v>
      </c>
      <c r="E12" s="163"/>
    </row>
    <row r="13" spans="3:12" collapsed="1" x14ac:dyDescent="0.25"/>
    <row r="14" spans="3:12" ht="12" x14ac:dyDescent="0.3">
      <c r="C14" s="6" t="s">
        <v>180</v>
      </c>
      <c r="H14" s="198" t="s">
        <v>181</v>
      </c>
      <c r="J14" s="290"/>
      <c r="K14" s="291"/>
      <c r="L14" s="290"/>
    </row>
    <row r="15" spans="3:12" ht="12" x14ac:dyDescent="0.3">
      <c r="C15" s="65" t="s">
        <v>182</v>
      </c>
      <c r="E15" s="103">
        <f>'General inputs'!$H$18+1</f>
        <v>44378</v>
      </c>
      <c r="H15" s="199" t="s">
        <v>183</v>
      </c>
      <c r="I15" s="200">
        <f ca="1">SUMIF($B$22:$B$61,H15,$P$22:$P$59)/J22</f>
        <v>0</v>
      </c>
      <c r="J15" s="289"/>
      <c r="K15" s="291"/>
      <c r="L15" s="207"/>
    </row>
    <row r="16" spans="3:12" ht="12" x14ac:dyDescent="0.3">
      <c r="C16" s="65"/>
      <c r="H16" s="201" t="s">
        <v>186</v>
      </c>
      <c r="I16" s="202">
        <f ca="1">SUMIF($B$22:$B$61,H16,$P$22:$P$59)/J23</f>
        <v>0</v>
      </c>
      <c r="J16" s="289"/>
      <c r="K16" s="291"/>
      <c r="L16" s="207"/>
    </row>
    <row r="17" spans="3:18" ht="12" x14ac:dyDescent="0.3">
      <c r="H17" s="203" t="s">
        <v>188</v>
      </c>
      <c r="I17" s="204">
        <f ca="1">SUMIF($B$22:$B$61,H17,$P$22:$P$59)/J24</f>
        <v>0</v>
      </c>
      <c r="J17" s="289"/>
      <c r="K17" s="291"/>
      <c r="L17" s="207"/>
    </row>
    <row r="18" spans="3:18" ht="15.5" x14ac:dyDescent="0.35">
      <c r="C18" s="2" t="s">
        <v>357</v>
      </c>
      <c r="H18" s="199" t="s">
        <v>259</v>
      </c>
      <c r="I18">
        <f ca="1">SUMIF($B$22:$B$61,H18,$P$22:$P$59)/J25</f>
        <v>0</v>
      </c>
      <c r="J18" s="289"/>
      <c r="K18" s="291"/>
      <c r="L18" s="291"/>
    </row>
    <row r="20" spans="3:18" x14ac:dyDescent="0.25">
      <c r="C20" s="6" t="s">
        <v>189</v>
      </c>
      <c r="D20" s="254"/>
      <c r="E20" s="254"/>
      <c r="F20" s="254"/>
      <c r="H20" s="6" t="s">
        <v>190</v>
      </c>
      <c r="L20" s="6" t="s">
        <v>191</v>
      </c>
      <c r="M20" s="6"/>
    </row>
    <row r="21" spans="3:18" ht="46" x14ac:dyDescent="0.25">
      <c r="C21" s="24" t="s">
        <v>192</v>
      </c>
      <c r="D21" s="24" t="s">
        <v>193</v>
      </c>
      <c r="E21" s="24" t="s">
        <v>194</v>
      </c>
      <c r="F21" s="24" t="s">
        <v>260</v>
      </c>
      <c r="H21" s="24" t="s">
        <v>196</v>
      </c>
      <c r="I21" s="24" t="s">
        <v>197</v>
      </c>
      <c r="J21" s="24" t="s">
        <v>198</v>
      </c>
      <c r="L21" s="24" t="s">
        <v>199</v>
      </c>
      <c r="M21" s="24" t="s">
        <v>200</v>
      </c>
      <c r="N21" s="24" t="str">
        <f>"MEERA value per unit/measure of length (B) 
("&amp;'General inputs'!$H$42&amp;" as at 1 July "&amp;LEFT('General inputs'!$I$40,4)&amp;")"</f>
        <v>MEERA value per unit/measure of length (B) 
($ as at 1 July 2021)</v>
      </c>
      <c r="O21" s="24" t="str">
        <f>"Total MEERA value (A x B)
("&amp;'General inputs'!$H$42&amp;", $"&amp;'General inputs'!$I$40&amp;")"</f>
        <v>Total MEERA value (A x B)
($, $2021-22)</v>
      </c>
      <c r="P21" s="24" t="str">
        <f>"MEERA value to be recovered via DSP ("&amp;'General inputs'!$H$42&amp;", $"&amp;'General inputs'!$I$40&amp;")"</f>
        <v>MEERA value to be recovered via DSP ($, $2021-22)</v>
      </c>
    </row>
    <row r="22" spans="3:18" ht="29" customHeight="1" x14ac:dyDescent="0.25">
      <c r="C22" s="25"/>
      <c r="D22" s="114"/>
      <c r="E22" s="33"/>
      <c r="F22" s="91" t="str">
        <f>IF(E22="","-",IF(E22&lt;$E$15,"ERROR - date outside of range",IF(MONTH(E22)&gt;=7,YEAR(E22)&amp;"-"&amp;RIGHT(YEAR(E22),2)+1,YEAR(E22)-1&amp;"-"&amp;RIGHT(YEAR(E22),2))))</f>
        <v>-</v>
      </c>
      <c r="H22" s="118"/>
      <c r="I22" s="25"/>
      <c r="J22" s="100">
        <v>1</v>
      </c>
      <c r="K22" s="37"/>
      <c r="L22" s="25"/>
      <c r="M22" s="25"/>
      <c r="N22" s="25"/>
      <c r="O22" s="94" t="str">
        <f>IF(N22="","-",L22*N22)</f>
        <v>-</v>
      </c>
      <c r="P22" s="96" t="str">
        <f>IF(O22="-","-",IF(E22&lt;$E$15,0,O22*J22))</f>
        <v>-</v>
      </c>
    </row>
    <row r="23" spans="3:18" x14ac:dyDescent="0.25">
      <c r="C23" s="26"/>
      <c r="D23" s="115"/>
      <c r="E23" s="34"/>
      <c r="F23" s="92" t="str">
        <f t="shared" ref="F23:F59" si="0">IF(E23="","-",IF(E23&lt;$E$15,"ERROR - date outside of range",IF(MONTH(E23)&gt;=7,YEAR(E23)&amp;"-"&amp;RIGHT(YEAR(E23),2)+1,YEAR(E23)-1&amp;"-"&amp;RIGHT(YEAR(E23),2))))</f>
        <v>-</v>
      </c>
      <c r="H23" s="119"/>
      <c r="I23" s="26"/>
      <c r="J23" s="101">
        <f>J22</f>
        <v>1</v>
      </c>
      <c r="K23" s="37"/>
      <c r="L23" s="26"/>
      <c r="M23" s="26"/>
      <c r="N23" s="26"/>
      <c r="O23" s="95" t="str">
        <f t="shared" ref="O23:O56" si="1">IF(N23="","-",L23*N23)</f>
        <v>-</v>
      </c>
      <c r="P23" s="97" t="str">
        <f t="shared" ref="P23:P56" si="2">IF(O23="-","-",IF(E23&lt;$E$15,0,O23*J23))</f>
        <v>-</v>
      </c>
      <c r="R23" s="102"/>
    </row>
    <row r="24" spans="3:18" x14ac:dyDescent="0.25">
      <c r="C24" s="26"/>
      <c r="D24" s="115"/>
      <c r="E24" s="34"/>
      <c r="F24" s="92" t="str">
        <f t="shared" si="0"/>
        <v>-</v>
      </c>
      <c r="H24" s="116"/>
      <c r="I24" s="26"/>
      <c r="J24" s="101">
        <f t="shared" ref="J24:J46" si="3">J23</f>
        <v>1</v>
      </c>
      <c r="K24" s="37"/>
      <c r="L24" s="26"/>
      <c r="M24" s="26"/>
      <c r="N24" s="26"/>
      <c r="O24" s="95" t="str">
        <f t="shared" si="1"/>
        <v>-</v>
      </c>
      <c r="P24" s="97" t="str">
        <f t="shared" si="2"/>
        <v>-</v>
      </c>
    </row>
    <row r="25" spans="3:18" x14ac:dyDescent="0.25">
      <c r="C25" s="26"/>
      <c r="D25" s="115"/>
      <c r="E25" s="34"/>
      <c r="F25" s="92" t="str">
        <f t="shared" si="0"/>
        <v>-</v>
      </c>
      <c r="H25" s="116"/>
      <c r="I25" s="26"/>
      <c r="J25" s="101">
        <f t="shared" si="3"/>
        <v>1</v>
      </c>
      <c r="K25" s="37"/>
      <c r="L25" s="26"/>
      <c r="M25" s="26"/>
      <c r="N25" s="26"/>
      <c r="O25" s="95" t="str">
        <f t="shared" si="1"/>
        <v>-</v>
      </c>
      <c r="P25" s="97" t="str">
        <f t="shared" si="2"/>
        <v>-</v>
      </c>
    </row>
    <row r="26" spans="3:18" x14ac:dyDescent="0.25">
      <c r="C26" s="26"/>
      <c r="D26" s="115"/>
      <c r="E26" s="34"/>
      <c r="F26" s="92" t="str">
        <f t="shared" si="0"/>
        <v>-</v>
      </c>
      <c r="H26" s="116"/>
      <c r="I26" s="26"/>
      <c r="J26" s="101">
        <f t="shared" si="3"/>
        <v>1</v>
      </c>
      <c r="K26" s="37"/>
      <c r="L26" s="26"/>
      <c r="M26" s="26"/>
      <c r="N26" s="26"/>
      <c r="O26" s="95" t="str">
        <f t="shared" si="1"/>
        <v>-</v>
      </c>
      <c r="P26" s="97" t="str">
        <f t="shared" si="2"/>
        <v>-</v>
      </c>
    </row>
    <row r="27" spans="3:18" x14ac:dyDescent="0.25">
      <c r="C27" s="26"/>
      <c r="D27" s="115"/>
      <c r="E27" s="34"/>
      <c r="F27" s="92" t="str">
        <f t="shared" si="0"/>
        <v>-</v>
      </c>
      <c r="H27" s="116"/>
      <c r="I27" s="26"/>
      <c r="J27" s="101">
        <f t="shared" si="3"/>
        <v>1</v>
      </c>
      <c r="K27" s="37"/>
      <c r="L27" s="26"/>
      <c r="M27" s="26"/>
      <c r="N27" s="26"/>
      <c r="O27" s="95" t="str">
        <f t="shared" si="1"/>
        <v>-</v>
      </c>
      <c r="P27" s="97" t="str">
        <f t="shared" si="2"/>
        <v>-</v>
      </c>
    </row>
    <row r="28" spans="3:18" x14ac:dyDescent="0.25">
      <c r="C28" s="26"/>
      <c r="D28" s="115"/>
      <c r="E28" s="34"/>
      <c r="F28" s="92" t="str">
        <f t="shared" si="0"/>
        <v>-</v>
      </c>
      <c r="H28" s="116"/>
      <c r="I28" s="26"/>
      <c r="J28" s="101">
        <f t="shared" si="3"/>
        <v>1</v>
      </c>
      <c r="K28" s="37"/>
      <c r="L28" s="26"/>
      <c r="M28" s="26"/>
      <c r="N28" s="26"/>
      <c r="O28" s="95" t="str">
        <f t="shared" si="1"/>
        <v>-</v>
      </c>
      <c r="P28" s="97" t="str">
        <f t="shared" si="2"/>
        <v>-</v>
      </c>
    </row>
    <row r="29" spans="3:18" x14ac:dyDescent="0.25">
      <c r="C29" s="26"/>
      <c r="D29" s="115"/>
      <c r="E29" s="34"/>
      <c r="F29" s="92" t="str">
        <f t="shared" si="0"/>
        <v>-</v>
      </c>
      <c r="H29" s="116"/>
      <c r="I29" s="26"/>
      <c r="J29" s="101">
        <f t="shared" si="3"/>
        <v>1</v>
      </c>
      <c r="K29" s="37"/>
      <c r="L29" s="26"/>
      <c r="M29" s="26"/>
      <c r="N29" s="26"/>
      <c r="O29" s="95" t="str">
        <f t="shared" si="1"/>
        <v>-</v>
      </c>
      <c r="P29" s="97" t="str">
        <f t="shared" si="2"/>
        <v>-</v>
      </c>
    </row>
    <row r="30" spans="3:18" x14ac:dyDescent="0.25">
      <c r="C30" s="26"/>
      <c r="D30" s="115"/>
      <c r="E30" s="34"/>
      <c r="F30" s="92" t="str">
        <f t="shared" si="0"/>
        <v>-</v>
      </c>
      <c r="H30" s="116"/>
      <c r="I30" s="26"/>
      <c r="J30" s="101">
        <f t="shared" si="3"/>
        <v>1</v>
      </c>
      <c r="K30" s="37"/>
      <c r="L30" s="26"/>
      <c r="M30" s="26"/>
      <c r="N30" s="26"/>
      <c r="O30" s="95" t="str">
        <f t="shared" si="1"/>
        <v>-</v>
      </c>
      <c r="P30" s="97" t="str">
        <f t="shared" si="2"/>
        <v>-</v>
      </c>
    </row>
    <row r="31" spans="3:18" x14ac:dyDescent="0.25">
      <c r="C31" s="26"/>
      <c r="D31" s="115"/>
      <c r="E31" s="34"/>
      <c r="F31" s="92" t="str">
        <f t="shared" si="0"/>
        <v>-</v>
      </c>
      <c r="H31" s="116"/>
      <c r="I31" s="26"/>
      <c r="J31" s="101">
        <f t="shared" si="3"/>
        <v>1</v>
      </c>
      <c r="K31" s="37"/>
      <c r="L31" s="26"/>
      <c r="M31" s="26"/>
      <c r="N31" s="26"/>
      <c r="O31" s="95" t="str">
        <f t="shared" si="1"/>
        <v>-</v>
      </c>
      <c r="P31" s="97" t="str">
        <f t="shared" si="2"/>
        <v>-</v>
      </c>
    </row>
    <row r="32" spans="3:18" x14ac:dyDescent="0.25">
      <c r="C32" s="26"/>
      <c r="D32" s="115"/>
      <c r="E32" s="34"/>
      <c r="F32" s="92" t="str">
        <f t="shared" si="0"/>
        <v>-</v>
      </c>
      <c r="H32" s="116"/>
      <c r="I32" s="26"/>
      <c r="J32" s="101">
        <f t="shared" si="3"/>
        <v>1</v>
      </c>
      <c r="K32" s="37"/>
      <c r="L32" s="26"/>
      <c r="M32" s="26"/>
      <c r="N32" s="26"/>
      <c r="O32" s="95" t="str">
        <f t="shared" si="1"/>
        <v>-</v>
      </c>
      <c r="P32" s="97" t="str">
        <f t="shared" si="2"/>
        <v>-</v>
      </c>
    </row>
    <row r="33" spans="3:16" x14ac:dyDescent="0.25">
      <c r="C33" s="26"/>
      <c r="D33" s="115"/>
      <c r="E33" s="34"/>
      <c r="F33" s="92" t="str">
        <f t="shared" si="0"/>
        <v>-</v>
      </c>
      <c r="H33" s="116"/>
      <c r="I33" s="26"/>
      <c r="J33" s="101">
        <f t="shared" si="3"/>
        <v>1</v>
      </c>
      <c r="K33" s="37"/>
      <c r="L33" s="26"/>
      <c r="M33" s="26"/>
      <c r="N33" s="26"/>
      <c r="O33" s="95" t="str">
        <f t="shared" si="1"/>
        <v>-</v>
      </c>
      <c r="P33" s="97" t="str">
        <f t="shared" si="2"/>
        <v>-</v>
      </c>
    </row>
    <row r="34" spans="3:16" x14ac:dyDescent="0.25">
      <c r="C34" s="26"/>
      <c r="D34" s="115"/>
      <c r="E34" s="34"/>
      <c r="F34" s="92" t="str">
        <f t="shared" si="0"/>
        <v>-</v>
      </c>
      <c r="H34" s="116"/>
      <c r="I34" s="26"/>
      <c r="J34" s="101">
        <f t="shared" si="3"/>
        <v>1</v>
      </c>
      <c r="K34" s="37"/>
      <c r="L34" s="26"/>
      <c r="M34" s="26"/>
      <c r="N34" s="26"/>
      <c r="O34" s="95" t="str">
        <f t="shared" si="1"/>
        <v>-</v>
      </c>
      <c r="P34" s="97" t="str">
        <f t="shared" si="2"/>
        <v>-</v>
      </c>
    </row>
    <row r="35" spans="3:16" x14ac:dyDescent="0.25">
      <c r="C35" s="26"/>
      <c r="D35" s="115"/>
      <c r="E35" s="34"/>
      <c r="F35" s="92" t="str">
        <f t="shared" si="0"/>
        <v>-</v>
      </c>
      <c r="H35" s="116"/>
      <c r="I35" s="26"/>
      <c r="J35" s="101">
        <f t="shared" si="3"/>
        <v>1</v>
      </c>
      <c r="K35" s="37"/>
      <c r="L35" s="26"/>
      <c r="M35" s="26"/>
      <c r="N35" s="26"/>
      <c r="O35" s="95" t="str">
        <f t="shared" si="1"/>
        <v>-</v>
      </c>
      <c r="P35" s="97" t="str">
        <f t="shared" si="2"/>
        <v>-</v>
      </c>
    </row>
    <row r="36" spans="3:16" x14ac:dyDescent="0.25">
      <c r="C36" s="26"/>
      <c r="D36" s="115"/>
      <c r="E36" s="34"/>
      <c r="F36" s="92" t="str">
        <f t="shared" si="0"/>
        <v>-</v>
      </c>
      <c r="H36" s="116"/>
      <c r="I36" s="26"/>
      <c r="J36" s="101">
        <f t="shared" si="3"/>
        <v>1</v>
      </c>
      <c r="K36" s="37"/>
      <c r="L36" s="26"/>
      <c r="M36" s="26"/>
      <c r="N36" s="26"/>
      <c r="O36" s="95" t="str">
        <f t="shared" si="1"/>
        <v>-</v>
      </c>
      <c r="P36" s="97" t="str">
        <f t="shared" si="2"/>
        <v>-</v>
      </c>
    </row>
    <row r="37" spans="3:16" x14ac:dyDescent="0.25">
      <c r="C37" s="26"/>
      <c r="D37" s="115"/>
      <c r="E37" s="34"/>
      <c r="F37" s="92" t="str">
        <f t="shared" ref="F37:F40" si="4">IF(E37="","-",IF(E37&lt;$E$15,"ERROR - date outside of range",IF(MONTH(E37)&gt;=7,YEAR(E37)&amp;"-"&amp;RIGHT(YEAR(E37),2)+1,YEAR(E37)-1&amp;"-"&amp;RIGHT(YEAR(E37),2))))</f>
        <v>-</v>
      </c>
      <c r="H37" s="116"/>
      <c r="I37" s="26"/>
      <c r="J37" s="101">
        <f t="shared" si="3"/>
        <v>1</v>
      </c>
      <c r="K37" s="37"/>
      <c r="L37" s="26"/>
      <c r="M37" s="26"/>
      <c r="N37" s="26"/>
      <c r="O37" s="95" t="str">
        <f t="shared" ref="O37:O40" si="5">IF(N37="","-",L37*N37)</f>
        <v>-</v>
      </c>
      <c r="P37" s="97" t="str">
        <f t="shared" ref="P37:P40" si="6">IF(O37="-","-",IF(E37&lt;$E$15,0,O37*J37))</f>
        <v>-</v>
      </c>
    </row>
    <row r="38" spans="3:16" x14ac:dyDescent="0.25">
      <c r="C38" s="26"/>
      <c r="D38" s="115"/>
      <c r="E38" s="34"/>
      <c r="F38" s="92" t="str">
        <f t="shared" si="4"/>
        <v>-</v>
      </c>
      <c r="H38" s="116"/>
      <c r="I38" s="26"/>
      <c r="J38" s="101">
        <f t="shared" si="3"/>
        <v>1</v>
      </c>
      <c r="K38" s="37"/>
      <c r="L38" s="26"/>
      <c r="M38" s="26"/>
      <c r="N38" s="26"/>
      <c r="O38" s="95" t="str">
        <f t="shared" si="5"/>
        <v>-</v>
      </c>
      <c r="P38" s="97" t="str">
        <f t="shared" si="6"/>
        <v>-</v>
      </c>
    </row>
    <row r="39" spans="3:16" x14ac:dyDescent="0.25">
      <c r="C39" s="26"/>
      <c r="D39" s="115"/>
      <c r="E39" s="34"/>
      <c r="F39" s="92" t="str">
        <f t="shared" si="4"/>
        <v>-</v>
      </c>
      <c r="H39" s="116"/>
      <c r="I39" s="26"/>
      <c r="J39" s="101">
        <f t="shared" si="3"/>
        <v>1</v>
      </c>
      <c r="K39" s="37"/>
      <c r="L39" s="26"/>
      <c r="M39" s="26"/>
      <c r="N39" s="26"/>
      <c r="O39" s="95" t="str">
        <f t="shared" si="5"/>
        <v>-</v>
      </c>
      <c r="P39" s="97" t="str">
        <f t="shared" si="6"/>
        <v>-</v>
      </c>
    </row>
    <row r="40" spans="3:16" x14ac:dyDescent="0.25">
      <c r="C40" s="26"/>
      <c r="D40" s="115"/>
      <c r="E40" s="34"/>
      <c r="F40" s="92" t="str">
        <f t="shared" si="4"/>
        <v>-</v>
      </c>
      <c r="H40" s="116"/>
      <c r="I40" s="26"/>
      <c r="J40" s="101">
        <f t="shared" si="3"/>
        <v>1</v>
      </c>
      <c r="K40" s="37"/>
      <c r="L40" s="26"/>
      <c r="M40" s="26"/>
      <c r="N40" s="26"/>
      <c r="O40" s="95" t="str">
        <f t="shared" si="5"/>
        <v>-</v>
      </c>
      <c r="P40" s="97" t="str">
        <f t="shared" si="6"/>
        <v>-</v>
      </c>
    </row>
    <row r="41" spans="3:16" x14ac:dyDescent="0.25">
      <c r="C41" s="26"/>
      <c r="D41" s="115"/>
      <c r="E41" s="34"/>
      <c r="F41" s="92" t="str">
        <f t="shared" si="0"/>
        <v>-</v>
      </c>
      <c r="H41" s="116"/>
      <c r="I41" s="26"/>
      <c r="J41" s="101">
        <f t="shared" si="3"/>
        <v>1</v>
      </c>
      <c r="K41" s="37"/>
      <c r="L41" s="26"/>
      <c r="M41" s="26"/>
      <c r="N41" s="26"/>
      <c r="O41" s="95" t="str">
        <f t="shared" si="1"/>
        <v>-</v>
      </c>
      <c r="P41" s="97" t="str">
        <f t="shared" si="2"/>
        <v>-</v>
      </c>
    </row>
    <row r="42" spans="3:16" x14ac:dyDescent="0.25">
      <c r="C42" s="26"/>
      <c r="D42" s="115"/>
      <c r="E42" s="34"/>
      <c r="F42" s="92" t="str">
        <f t="shared" si="0"/>
        <v>-</v>
      </c>
      <c r="H42" s="116"/>
      <c r="I42" s="26"/>
      <c r="J42" s="101">
        <f t="shared" si="3"/>
        <v>1</v>
      </c>
      <c r="K42" s="37"/>
      <c r="L42" s="26"/>
      <c r="M42" s="26"/>
      <c r="N42" s="26"/>
      <c r="O42" s="95" t="str">
        <f t="shared" si="1"/>
        <v>-</v>
      </c>
      <c r="P42" s="97" t="str">
        <f t="shared" si="2"/>
        <v>-</v>
      </c>
    </row>
    <row r="43" spans="3:16" x14ac:dyDescent="0.25">
      <c r="C43" s="26"/>
      <c r="D43" s="115"/>
      <c r="E43" s="34"/>
      <c r="F43" s="92" t="str">
        <f t="shared" si="0"/>
        <v>-</v>
      </c>
      <c r="H43" s="116"/>
      <c r="I43" s="26"/>
      <c r="J43" s="101">
        <f t="shared" si="3"/>
        <v>1</v>
      </c>
      <c r="K43" s="37"/>
      <c r="L43" s="26"/>
      <c r="M43" s="26"/>
      <c r="N43" s="26"/>
      <c r="O43" s="95" t="str">
        <f t="shared" si="1"/>
        <v>-</v>
      </c>
      <c r="P43" s="97" t="str">
        <f t="shared" si="2"/>
        <v>-</v>
      </c>
    </row>
    <row r="44" spans="3:16" x14ac:dyDescent="0.25">
      <c r="C44" s="26"/>
      <c r="D44" s="115"/>
      <c r="E44" s="34"/>
      <c r="F44" s="92" t="str">
        <f t="shared" si="0"/>
        <v>-</v>
      </c>
      <c r="H44" s="116"/>
      <c r="I44" s="26"/>
      <c r="J44" s="101">
        <f t="shared" si="3"/>
        <v>1</v>
      </c>
      <c r="K44" s="37"/>
      <c r="L44" s="26"/>
      <c r="M44" s="26"/>
      <c r="N44" s="26"/>
      <c r="O44" s="95" t="str">
        <f t="shared" si="1"/>
        <v>-</v>
      </c>
      <c r="P44" s="97" t="str">
        <f t="shared" si="2"/>
        <v>-</v>
      </c>
    </row>
    <row r="45" spans="3:16" x14ac:dyDescent="0.25">
      <c r="C45" s="26"/>
      <c r="D45" s="115"/>
      <c r="E45" s="34"/>
      <c r="F45" s="92" t="str">
        <f t="shared" si="0"/>
        <v>-</v>
      </c>
      <c r="H45" s="116"/>
      <c r="I45" s="26"/>
      <c r="J45" s="101">
        <f t="shared" si="3"/>
        <v>1</v>
      </c>
      <c r="K45" s="37"/>
      <c r="L45" s="26"/>
      <c r="M45" s="26"/>
      <c r="N45" s="26"/>
      <c r="O45" s="95" t="str">
        <f t="shared" si="1"/>
        <v>-</v>
      </c>
      <c r="P45" s="97" t="str">
        <f t="shared" si="2"/>
        <v>-</v>
      </c>
    </row>
    <row r="46" spans="3:16" x14ac:dyDescent="0.25">
      <c r="C46" s="26"/>
      <c r="D46" s="115"/>
      <c r="E46" s="34"/>
      <c r="F46" s="92" t="str">
        <f t="shared" si="0"/>
        <v>-</v>
      </c>
      <c r="H46" s="116"/>
      <c r="I46" s="26"/>
      <c r="J46" s="101">
        <f t="shared" si="3"/>
        <v>1</v>
      </c>
      <c r="K46" s="37"/>
      <c r="L46" s="26"/>
      <c r="M46" s="26"/>
      <c r="N46" s="26"/>
      <c r="O46" s="95" t="str">
        <f t="shared" si="1"/>
        <v>-</v>
      </c>
      <c r="P46" s="97" t="str">
        <f t="shared" si="2"/>
        <v>-</v>
      </c>
    </row>
    <row r="47" spans="3:16" x14ac:dyDescent="0.25">
      <c r="C47" s="26"/>
      <c r="D47" s="115"/>
      <c r="E47" s="34"/>
      <c r="F47" s="92" t="str">
        <f t="shared" si="0"/>
        <v>-</v>
      </c>
      <c r="H47" s="116"/>
      <c r="I47" s="26"/>
      <c r="J47" s="101">
        <f>J46</f>
        <v>1</v>
      </c>
      <c r="K47" s="37"/>
      <c r="L47" s="26"/>
      <c r="M47" s="26"/>
      <c r="N47" s="26"/>
      <c r="O47" s="95" t="str">
        <f t="shared" si="1"/>
        <v>-</v>
      </c>
      <c r="P47" s="97" t="str">
        <f t="shared" si="2"/>
        <v>-</v>
      </c>
    </row>
    <row r="48" spans="3:16" x14ac:dyDescent="0.25">
      <c r="C48" s="26"/>
      <c r="D48" s="115"/>
      <c r="E48" s="34"/>
      <c r="F48" s="92" t="str">
        <f t="shared" ref="F48:F51" si="7">IF(E48="","-",IF(E48&lt;$E$15,"ERROR - date outside of range",IF(MONTH(E48)&gt;=7,YEAR(E48)&amp;"-"&amp;RIGHT(YEAR(E48),2)+1,YEAR(E48)-1&amp;"-"&amp;RIGHT(YEAR(E48),2))))</f>
        <v>-</v>
      </c>
      <c r="H48" s="116"/>
      <c r="I48" s="26"/>
      <c r="J48" s="101">
        <f t="shared" ref="J48:J59" si="8">J47</f>
        <v>1</v>
      </c>
      <c r="K48" s="37"/>
      <c r="L48" s="26"/>
      <c r="M48" s="26"/>
      <c r="N48" s="26"/>
      <c r="O48" s="95" t="str">
        <f t="shared" ref="O48:O51" si="9">IF(N48="","-",L48*N48)</f>
        <v>-</v>
      </c>
      <c r="P48" s="97" t="str">
        <f t="shared" ref="P48:P51" si="10">IF(O48="-","-",IF(E48&lt;$E$15,0,O48*J48))</f>
        <v>-</v>
      </c>
    </row>
    <row r="49" spans="3:16" x14ac:dyDescent="0.25">
      <c r="C49" s="26"/>
      <c r="D49" s="115"/>
      <c r="E49" s="34"/>
      <c r="F49" s="92" t="str">
        <f t="shared" si="7"/>
        <v>-</v>
      </c>
      <c r="H49" s="116"/>
      <c r="I49" s="26"/>
      <c r="J49" s="101">
        <f t="shared" si="8"/>
        <v>1</v>
      </c>
      <c r="K49" s="37"/>
      <c r="L49" s="26"/>
      <c r="M49" s="26"/>
      <c r="N49" s="26"/>
      <c r="O49" s="95" t="str">
        <f t="shared" si="9"/>
        <v>-</v>
      </c>
      <c r="P49" s="97" t="str">
        <f t="shared" si="10"/>
        <v>-</v>
      </c>
    </row>
    <row r="50" spans="3:16" x14ac:dyDescent="0.25">
      <c r="C50" s="26"/>
      <c r="D50" s="115"/>
      <c r="E50" s="34"/>
      <c r="F50" s="92" t="str">
        <f t="shared" si="7"/>
        <v>-</v>
      </c>
      <c r="H50" s="116"/>
      <c r="I50" s="26"/>
      <c r="J50" s="101">
        <f t="shared" si="8"/>
        <v>1</v>
      </c>
      <c r="K50" s="37"/>
      <c r="L50" s="26"/>
      <c r="M50" s="26"/>
      <c r="N50" s="26"/>
      <c r="O50" s="95" t="str">
        <f t="shared" si="9"/>
        <v>-</v>
      </c>
      <c r="P50" s="97" t="str">
        <f t="shared" si="10"/>
        <v>-</v>
      </c>
    </row>
    <row r="51" spans="3:16" x14ac:dyDescent="0.25">
      <c r="C51" s="26"/>
      <c r="D51" s="115"/>
      <c r="E51" s="34"/>
      <c r="F51" s="92" t="str">
        <f t="shared" si="7"/>
        <v>-</v>
      </c>
      <c r="H51" s="116"/>
      <c r="I51" s="26"/>
      <c r="J51" s="101">
        <f t="shared" si="8"/>
        <v>1</v>
      </c>
      <c r="K51" s="37"/>
      <c r="L51" s="26"/>
      <c r="M51" s="26"/>
      <c r="N51" s="26"/>
      <c r="O51" s="95" t="str">
        <f t="shared" si="9"/>
        <v>-</v>
      </c>
      <c r="P51" s="97" t="str">
        <f t="shared" si="10"/>
        <v>-</v>
      </c>
    </row>
    <row r="52" spans="3:16" x14ac:dyDescent="0.25">
      <c r="C52" s="26"/>
      <c r="D52" s="115"/>
      <c r="E52" s="34"/>
      <c r="F52" s="92"/>
      <c r="H52" s="116"/>
      <c r="I52" s="26"/>
      <c r="J52" s="101"/>
      <c r="K52" s="37"/>
      <c r="L52" s="26"/>
      <c r="M52" s="26"/>
      <c r="N52" s="26"/>
      <c r="O52" s="95"/>
      <c r="P52" s="97"/>
    </row>
    <row r="53" spans="3:16" x14ac:dyDescent="0.25">
      <c r="C53" s="26"/>
      <c r="D53" s="115"/>
      <c r="E53" s="34"/>
      <c r="F53" s="92" t="str">
        <f t="shared" si="0"/>
        <v>-</v>
      </c>
      <c r="H53" s="116"/>
      <c r="I53" s="26"/>
      <c r="J53" s="101">
        <f>J51</f>
        <v>1</v>
      </c>
      <c r="K53" s="37"/>
      <c r="L53" s="26"/>
      <c r="M53" s="26"/>
      <c r="N53" s="26"/>
      <c r="O53" s="95" t="str">
        <f t="shared" si="1"/>
        <v>-</v>
      </c>
      <c r="P53" s="97" t="str">
        <f t="shared" si="2"/>
        <v>-</v>
      </c>
    </row>
    <row r="54" spans="3:16" x14ac:dyDescent="0.25">
      <c r="C54" s="26"/>
      <c r="D54" s="115"/>
      <c r="E54" s="34"/>
      <c r="F54" s="92" t="str">
        <f t="shared" si="0"/>
        <v>-</v>
      </c>
      <c r="H54" s="116"/>
      <c r="I54" s="26"/>
      <c r="J54" s="101">
        <f t="shared" si="8"/>
        <v>1</v>
      </c>
      <c r="K54" s="37"/>
      <c r="L54" s="26"/>
      <c r="M54" s="26"/>
      <c r="N54" s="26"/>
      <c r="O54" s="95" t="str">
        <f t="shared" si="1"/>
        <v>-</v>
      </c>
      <c r="P54" s="97" t="str">
        <f t="shared" si="2"/>
        <v>-</v>
      </c>
    </row>
    <row r="55" spans="3:16" x14ac:dyDescent="0.25">
      <c r="C55" s="26"/>
      <c r="D55" s="115"/>
      <c r="E55" s="34"/>
      <c r="F55" s="92" t="str">
        <f t="shared" si="0"/>
        <v>-</v>
      </c>
      <c r="H55" s="116"/>
      <c r="I55" s="26"/>
      <c r="J55" s="101">
        <f t="shared" si="8"/>
        <v>1</v>
      </c>
      <c r="K55" s="37"/>
      <c r="L55" s="26"/>
      <c r="M55" s="26"/>
      <c r="N55" s="26"/>
      <c r="O55" s="95" t="str">
        <f t="shared" si="1"/>
        <v>-</v>
      </c>
      <c r="P55" s="97" t="str">
        <f t="shared" si="2"/>
        <v>-</v>
      </c>
    </row>
    <row r="56" spans="3:16" x14ac:dyDescent="0.25">
      <c r="C56" s="26"/>
      <c r="D56" s="115"/>
      <c r="E56" s="34"/>
      <c r="F56" s="92" t="str">
        <f t="shared" si="0"/>
        <v>-</v>
      </c>
      <c r="H56" s="116"/>
      <c r="I56" s="26"/>
      <c r="J56" s="101">
        <f t="shared" si="8"/>
        <v>1</v>
      </c>
      <c r="K56" s="37"/>
      <c r="L56" s="26"/>
      <c r="M56" s="26"/>
      <c r="N56" s="26"/>
      <c r="O56" s="95" t="str">
        <f t="shared" si="1"/>
        <v>-</v>
      </c>
      <c r="P56" s="97" t="str">
        <f t="shared" si="2"/>
        <v>-</v>
      </c>
    </row>
    <row r="57" spans="3:16" x14ac:dyDescent="0.25">
      <c r="C57" s="26"/>
      <c r="D57" s="115"/>
      <c r="E57" s="34"/>
      <c r="F57" s="92"/>
      <c r="H57" s="116"/>
      <c r="I57" s="26"/>
      <c r="J57" s="101">
        <f t="shared" si="8"/>
        <v>1</v>
      </c>
      <c r="K57" s="37"/>
      <c r="L57" s="26"/>
      <c r="M57" s="26"/>
      <c r="N57" s="26"/>
      <c r="O57" s="95"/>
      <c r="P57" s="97"/>
    </row>
    <row r="58" spans="3:16" x14ac:dyDescent="0.25">
      <c r="C58" s="26"/>
      <c r="D58" s="115"/>
      <c r="E58" s="34"/>
      <c r="F58" s="92" t="str">
        <f t="shared" si="0"/>
        <v>-</v>
      </c>
      <c r="H58" s="116"/>
      <c r="I58" s="26"/>
      <c r="J58" s="101">
        <f t="shared" si="8"/>
        <v>1</v>
      </c>
      <c r="K58" s="37"/>
      <c r="L58" s="26"/>
      <c r="M58" s="26"/>
      <c r="N58" s="26"/>
      <c r="O58" s="95" t="str">
        <f t="shared" ref="O58:O59" si="11">IF(N58="","-",L58*N58)</f>
        <v>-</v>
      </c>
      <c r="P58" s="97" t="str">
        <f t="shared" ref="P58:P59" si="12">IF(O58="-","-",IF(E58&lt;$E$15,0,O58*J58))</f>
        <v>-</v>
      </c>
    </row>
    <row r="59" spans="3:16" x14ac:dyDescent="0.25">
      <c r="C59" s="26"/>
      <c r="D59" s="115"/>
      <c r="E59" s="34"/>
      <c r="F59" s="92" t="str">
        <f t="shared" si="0"/>
        <v>-</v>
      </c>
      <c r="H59" s="116"/>
      <c r="I59" s="26"/>
      <c r="J59" s="101">
        <f t="shared" si="8"/>
        <v>1</v>
      </c>
      <c r="K59" s="37"/>
      <c r="L59" s="26"/>
      <c r="M59" s="26"/>
      <c r="N59" s="26"/>
      <c r="O59" s="95" t="str">
        <f t="shared" si="11"/>
        <v>-</v>
      </c>
      <c r="P59" s="97" t="str">
        <f t="shared" si="12"/>
        <v>-</v>
      </c>
    </row>
    <row r="60" spans="3:16" x14ac:dyDescent="0.25">
      <c r="C60" s="26"/>
      <c r="D60" s="115"/>
      <c r="E60" s="34"/>
      <c r="F60" s="92"/>
      <c r="H60" s="116"/>
      <c r="I60" s="26"/>
      <c r="J60" s="101"/>
      <c r="K60" s="37"/>
      <c r="L60" s="26"/>
      <c r="M60" s="26"/>
      <c r="N60" s="26"/>
      <c r="O60" s="95"/>
      <c r="P60" s="97"/>
    </row>
    <row r="61" spans="3:16" x14ac:dyDescent="0.25">
      <c r="C61" s="26"/>
      <c r="D61" s="115"/>
      <c r="E61" s="34"/>
      <c r="F61" s="92"/>
      <c r="H61" s="116"/>
      <c r="I61" s="26"/>
      <c r="J61" s="101"/>
      <c r="K61" s="37"/>
      <c r="L61" s="26"/>
      <c r="M61" s="26"/>
      <c r="N61" s="26"/>
      <c r="O61" s="95"/>
      <c r="P61" s="97"/>
    </row>
    <row r="62" spans="3:16" x14ac:dyDescent="0.25">
      <c r="C62" s="26"/>
      <c r="D62" s="115"/>
      <c r="E62" s="34"/>
      <c r="F62" s="92"/>
      <c r="H62" s="116"/>
      <c r="I62" s="26"/>
      <c r="J62" s="101"/>
      <c r="K62" s="37"/>
      <c r="L62" s="26"/>
      <c r="M62" s="26"/>
      <c r="N62" s="26"/>
      <c r="O62" s="95"/>
      <c r="P62" s="97"/>
    </row>
    <row r="63" spans="3:16" x14ac:dyDescent="0.25">
      <c r="C63" s="26"/>
      <c r="D63" s="115"/>
      <c r="E63" s="34"/>
      <c r="F63" s="92"/>
      <c r="H63" s="116"/>
      <c r="I63" s="26"/>
      <c r="J63" s="101"/>
      <c r="K63" s="37"/>
      <c r="L63" s="26"/>
      <c r="M63" s="26"/>
      <c r="N63" s="26"/>
      <c r="O63" s="95"/>
      <c r="P63" s="97"/>
    </row>
    <row r="64" spans="3:16" x14ac:dyDescent="0.25">
      <c r="C64" s="26"/>
      <c r="D64" s="115"/>
      <c r="E64" s="34"/>
      <c r="F64" s="92"/>
      <c r="H64" s="116"/>
      <c r="I64" s="26"/>
      <c r="J64" s="101"/>
      <c r="K64" s="37"/>
      <c r="L64" s="26"/>
      <c r="M64" s="26"/>
      <c r="N64" s="26"/>
      <c r="O64" s="95"/>
      <c r="P64" s="97"/>
    </row>
    <row r="65" spans="3:16" x14ac:dyDescent="0.25">
      <c r="C65" s="26"/>
      <c r="D65" s="115"/>
      <c r="E65" s="34"/>
      <c r="F65" s="92"/>
      <c r="H65" s="116"/>
      <c r="I65" s="26"/>
      <c r="J65" s="101"/>
      <c r="K65" s="37"/>
      <c r="L65" s="26"/>
      <c r="M65" s="26"/>
      <c r="N65" s="26"/>
      <c r="O65" s="95"/>
      <c r="P65" s="97"/>
    </row>
    <row r="66" spans="3:16" x14ac:dyDescent="0.25">
      <c r="C66" s="26"/>
      <c r="D66" s="115"/>
      <c r="E66" s="34"/>
      <c r="F66" s="92"/>
      <c r="H66" s="116"/>
      <c r="I66" s="26"/>
      <c r="J66" s="101"/>
      <c r="K66" s="37"/>
      <c r="L66" s="26"/>
      <c r="M66" s="26"/>
      <c r="N66" s="26"/>
      <c r="O66" s="95"/>
      <c r="P66" s="97"/>
    </row>
    <row r="67" spans="3:16" x14ac:dyDescent="0.25">
      <c r="C67" s="26"/>
      <c r="D67" s="115"/>
      <c r="E67" s="34"/>
      <c r="F67" s="92"/>
      <c r="H67" s="116"/>
      <c r="I67" s="26"/>
      <c r="J67" s="101"/>
      <c r="K67" s="37"/>
      <c r="L67" s="26"/>
      <c r="M67" s="26"/>
      <c r="N67" s="26"/>
      <c r="O67" s="95"/>
      <c r="P67" s="97"/>
    </row>
    <row r="68" spans="3:16" x14ac:dyDescent="0.25">
      <c r="C68" s="26"/>
      <c r="D68" s="115"/>
      <c r="E68" s="34"/>
      <c r="F68" s="92"/>
      <c r="H68" s="116"/>
      <c r="I68" s="26"/>
      <c r="J68" s="101"/>
      <c r="K68" s="37"/>
      <c r="L68" s="26"/>
      <c r="M68" s="26"/>
      <c r="N68" s="26"/>
      <c r="O68" s="95"/>
      <c r="P68" s="97"/>
    </row>
    <row r="69" spans="3:16" x14ac:dyDescent="0.25">
      <c r="C69" s="26"/>
      <c r="D69" s="115"/>
      <c r="E69" s="34"/>
      <c r="F69" s="92"/>
      <c r="H69" s="116"/>
      <c r="I69" s="26"/>
      <c r="J69" s="101"/>
      <c r="K69" s="37"/>
      <c r="L69" s="26"/>
      <c r="M69" s="26"/>
      <c r="N69" s="26"/>
      <c r="O69" s="95"/>
      <c r="P69" s="97"/>
    </row>
    <row r="70" spans="3:16" x14ac:dyDescent="0.25">
      <c r="C70" s="26"/>
      <c r="D70" s="115"/>
      <c r="E70" s="34"/>
      <c r="F70" s="92"/>
      <c r="H70" s="116"/>
      <c r="I70" s="26"/>
      <c r="J70" s="101"/>
      <c r="K70" s="37"/>
      <c r="L70" s="26"/>
      <c r="M70" s="26"/>
      <c r="N70" s="26"/>
      <c r="O70" s="95"/>
      <c r="P70" s="97"/>
    </row>
    <row r="71" spans="3:16" x14ac:dyDescent="0.25">
      <c r="C71" s="26"/>
      <c r="D71" s="115"/>
      <c r="E71" s="34"/>
      <c r="F71" s="92"/>
      <c r="H71" s="116"/>
      <c r="I71" s="26"/>
      <c r="J71" s="101"/>
      <c r="K71" s="37"/>
      <c r="L71" s="26"/>
      <c r="M71" s="26"/>
      <c r="N71" s="26"/>
      <c r="O71" s="95"/>
      <c r="P71" s="97"/>
    </row>
    <row r="72" spans="3:16" x14ac:dyDescent="0.25">
      <c r="C72" s="26"/>
      <c r="D72" s="115"/>
      <c r="E72" s="34"/>
      <c r="F72" s="92"/>
      <c r="H72" s="116"/>
      <c r="I72" s="26"/>
      <c r="J72" s="101"/>
      <c r="K72" s="37"/>
      <c r="L72" s="26"/>
      <c r="M72" s="26"/>
      <c r="N72" s="26"/>
      <c r="O72" s="95"/>
      <c r="P72" s="97"/>
    </row>
    <row r="73" spans="3:16" x14ac:dyDescent="0.25">
      <c r="C73" s="26"/>
      <c r="D73" s="115"/>
      <c r="E73" s="34"/>
      <c r="F73" s="92"/>
      <c r="H73" s="116"/>
      <c r="I73" s="26"/>
      <c r="J73" s="101"/>
      <c r="K73" s="37"/>
      <c r="L73" s="26"/>
      <c r="M73" s="26"/>
      <c r="N73" s="26"/>
      <c r="O73" s="95"/>
      <c r="P73" s="97"/>
    </row>
    <row r="74" spans="3:16" x14ac:dyDescent="0.25">
      <c r="C74" s="26"/>
      <c r="D74" s="115"/>
      <c r="E74" s="34"/>
      <c r="F74" s="92"/>
      <c r="H74" s="116"/>
      <c r="I74" s="26"/>
      <c r="J74" s="101"/>
      <c r="K74" s="37"/>
      <c r="L74" s="26"/>
      <c r="M74" s="26"/>
      <c r="N74" s="26"/>
      <c r="O74" s="95"/>
      <c r="P74" s="97"/>
    </row>
    <row r="75" spans="3:16" x14ac:dyDescent="0.25">
      <c r="C75" s="26"/>
      <c r="D75" s="115"/>
      <c r="E75" s="34"/>
      <c r="F75" s="92"/>
      <c r="H75" s="116"/>
      <c r="I75" s="26"/>
      <c r="J75" s="101"/>
      <c r="K75" s="37"/>
      <c r="L75" s="26"/>
      <c r="M75" s="26"/>
      <c r="N75" s="26"/>
      <c r="O75" s="95"/>
      <c r="P75" s="97"/>
    </row>
    <row r="76" spans="3:16" x14ac:dyDescent="0.25">
      <c r="C76" s="26"/>
      <c r="D76" s="115"/>
      <c r="E76" s="34"/>
      <c r="F76" s="92"/>
      <c r="H76" s="116"/>
      <c r="I76" s="26"/>
      <c r="J76" s="101"/>
      <c r="K76" s="37"/>
      <c r="L76" s="26"/>
      <c r="M76" s="26"/>
      <c r="N76" s="26"/>
      <c r="O76" s="95"/>
      <c r="P76" s="97"/>
    </row>
    <row r="77" spans="3:16" x14ac:dyDescent="0.25">
      <c r="C77" s="26"/>
      <c r="D77" s="115"/>
      <c r="E77" s="34"/>
      <c r="F77" s="92"/>
      <c r="H77" s="116"/>
      <c r="I77" s="26"/>
      <c r="J77" s="101"/>
      <c r="K77" s="37"/>
      <c r="L77" s="26"/>
      <c r="M77" s="26"/>
      <c r="N77" s="26"/>
      <c r="O77" s="95"/>
      <c r="P77" s="97"/>
    </row>
    <row r="78" spans="3:16" x14ac:dyDescent="0.25">
      <c r="C78" s="26"/>
      <c r="D78" s="115"/>
      <c r="E78" s="34"/>
      <c r="F78" s="92"/>
      <c r="H78" s="116"/>
      <c r="I78" s="26"/>
      <c r="J78" s="101"/>
      <c r="K78" s="37"/>
      <c r="L78" s="26"/>
      <c r="M78" s="26"/>
      <c r="N78" s="26"/>
      <c r="O78" s="95"/>
      <c r="P78" s="97"/>
    </row>
    <row r="79" spans="3:16" x14ac:dyDescent="0.25">
      <c r="C79" s="26"/>
      <c r="D79" s="115"/>
      <c r="E79" s="34"/>
      <c r="F79" s="92"/>
      <c r="H79" s="116"/>
      <c r="I79" s="26"/>
      <c r="J79" s="101"/>
      <c r="K79" s="37"/>
      <c r="L79" s="26"/>
      <c r="M79" s="26"/>
      <c r="N79" s="26"/>
      <c r="O79" s="95"/>
      <c r="P79" s="97"/>
    </row>
    <row r="80" spans="3:16" x14ac:dyDescent="0.25">
      <c r="C80" s="26"/>
      <c r="D80" s="115"/>
      <c r="E80" s="34"/>
      <c r="F80" s="92"/>
      <c r="H80" s="116"/>
      <c r="I80" s="26"/>
      <c r="J80" s="101"/>
      <c r="K80" s="37"/>
      <c r="L80" s="26"/>
      <c r="M80" s="26"/>
      <c r="N80" s="26"/>
      <c r="O80" s="95"/>
      <c r="P80" s="97"/>
    </row>
    <row r="81" spans="3:16" x14ac:dyDescent="0.25">
      <c r="C81" s="26"/>
      <c r="D81" s="115"/>
      <c r="E81" s="34"/>
      <c r="F81" s="92"/>
      <c r="H81" s="116"/>
      <c r="I81" s="26"/>
      <c r="J81" s="101"/>
      <c r="K81" s="37"/>
      <c r="L81" s="26"/>
      <c r="M81" s="26"/>
      <c r="N81" s="26"/>
      <c r="O81" s="95"/>
      <c r="P81" s="97"/>
    </row>
    <row r="82" spans="3:16" x14ac:dyDescent="0.25">
      <c r="C82" s="26"/>
      <c r="D82" s="115"/>
      <c r="E82" s="34"/>
      <c r="F82" s="92"/>
      <c r="H82" s="116"/>
      <c r="I82" s="26"/>
      <c r="J82" s="101"/>
      <c r="K82" s="37"/>
      <c r="L82" s="26"/>
      <c r="M82" s="26"/>
      <c r="N82" s="26"/>
      <c r="O82" s="95"/>
      <c r="P82" s="97"/>
    </row>
    <row r="83" spans="3:16" x14ac:dyDescent="0.25">
      <c r="C83" s="26"/>
      <c r="D83" s="115"/>
      <c r="E83" s="34"/>
      <c r="F83" s="92"/>
      <c r="H83" s="116"/>
      <c r="I83" s="26"/>
      <c r="J83" s="101"/>
      <c r="K83" s="37"/>
      <c r="L83" s="26"/>
      <c r="M83" s="26"/>
      <c r="N83" s="26"/>
      <c r="O83" s="95"/>
      <c r="P83" s="97"/>
    </row>
    <row r="84" spans="3:16" x14ac:dyDescent="0.25">
      <c r="C84" s="26"/>
      <c r="D84" s="115"/>
      <c r="E84" s="34"/>
      <c r="F84" s="92"/>
      <c r="H84" s="116"/>
      <c r="I84" s="26"/>
      <c r="J84" s="101"/>
      <c r="K84" s="37"/>
      <c r="L84" s="26"/>
      <c r="M84" s="26"/>
      <c r="N84" s="26"/>
      <c r="O84" s="95"/>
      <c r="P84" s="97"/>
    </row>
    <row r="85" spans="3:16" x14ac:dyDescent="0.25">
      <c r="C85" s="26"/>
      <c r="D85" s="115"/>
      <c r="E85" s="34"/>
      <c r="F85" s="92"/>
      <c r="H85" s="116"/>
      <c r="I85" s="26"/>
      <c r="J85" s="101"/>
      <c r="K85" s="37"/>
      <c r="L85" s="26"/>
      <c r="M85" s="26"/>
      <c r="N85" s="26"/>
      <c r="O85" s="95"/>
      <c r="P85" s="97"/>
    </row>
    <row r="86" spans="3:16" x14ac:dyDescent="0.25">
      <c r="C86" s="26"/>
      <c r="D86" s="115"/>
      <c r="E86" s="34"/>
      <c r="F86" s="92"/>
      <c r="H86" s="116"/>
      <c r="I86" s="26"/>
      <c r="J86" s="101"/>
      <c r="K86" s="37"/>
      <c r="L86" s="26"/>
      <c r="M86" s="26"/>
      <c r="N86" s="26"/>
      <c r="O86" s="95"/>
      <c r="P86" s="97"/>
    </row>
    <row r="87" spans="3:16" x14ac:dyDescent="0.25">
      <c r="C87" s="26"/>
      <c r="D87" s="115"/>
      <c r="E87" s="34"/>
      <c r="F87" s="92"/>
      <c r="H87" s="116"/>
      <c r="I87" s="26"/>
      <c r="J87" s="101"/>
      <c r="K87" s="37"/>
      <c r="L87" s="26"/>
      <c r="M87" s="26"/>
      <c r="N87" s="26"/>
      <c r="O87" s="95"/>
      <c r="P87" s="97"/>
    </row>
    <row r="88" spans="3:16" x14ac:dyDescent="0.25">
      <c r="C88" s="26"/>
      <c r="D88" s="115"/>
      <c r="E88" s="34"/>
      <c r="F88" s="92"/>
      <c r="H88" s="116"/>
      <c r="I88" s="26"/>
      <c r="J88" s="101"/>
      <c r="K88" s="37"/>
      <c r="L88" s="26"/>
      <c r="M88" s="26"/>
      <c r="N88" s="26"/>
      <c r="O88" s="95"/>
      <c r="P88" s="97"/>
    </row>
    <row r="89" spans="3:16" x14ac:dyDescent="0.25">
      <c r="C89" s="26"/>
      <c r="D89" s="115"/>
      <c r="E89" s="34"/>
      <c r="F89" s="92"/>
      <c r="H89" s="116"/>
      <c r="I89" s="26"/>
      <c r="J89" s="101"/>
      <c r="K89" s="37"/>
      <c r="L89" s="26"/>
      <c r="M89" s="26"/>
      <c r="N89" s="26"/>
      <c r="O89" s="95"/>
      <c r="P89" s="97"/>
    </row>
    <row r="90" spans="3:16" x14ac:dyDescent="0.25">
      <c r="C90" s="26"/>
      <c r="D90" s="115"/>
      <c r="E90" s="34"/>
      <c r="F90" s="92"/>
      <c r="H90" s="116"/>
      <c r="I90" s="26"/>
      <c r="J90" s="101"/>
      <c r="K90" s="37"/>
      <c r="L90" s="26"/>
      <c r="M90" s="26"/>
      <c r="N90" s="26"/>
      <c r="O90" s="95"/>
      <c r="P90" s="97"/>
    </row>
    <row r="91" spans="3:16" x14ac:dyDescent="0.25">
      <c r="C91" s="26"/>
      <c r="D91" s="115"/>
      <c r="E91" s="34"/>
      <c r="F91" s="92"/>
      <c r="H91" s="116"/>
      <c r="I91" s="26"/>
      <c r="J91" s="101"/>
      <c r="K91" s="37"/>
      <c r="L91" s="26"/>
      <c r="M91" s="26"/>
      <c r="N91" s="26"/>
      <c r="O91" s="95"/>
      <c r="P91" s="97"/>
    </row>
    <row r="92" spans="3:16" x14ac:dyDescent="0.25">
      <c r="C92" s="26"/>
      <c r="D92" s="115"/>
      <c r="E92" s="34"/>
      <c r="F92" s="92"/>
      <c r="H92" s="116"/>
      <c r="I92" s="26"/>
      <c r="J92" s="101"/>
      <c r="K92" s="37"/>
      <c r="L92" s="26"/>
      <c r="M92" s="26"/>
      <c r="N92" s="26"/>
      <c r="O92" s="95"/>
      <c r="P92" s="97"/>
    </row>
    <row r="93" spans="3:16" x14ac:dyDescent="0.25">
      <c r="C93" s="26"/>
      <c r="D93" s="115"/>
      <c r="E93" s="34"/>
      <c r="F93" s="92"/>
      <c r="H93" s="116"/>
      <c r="I93" s="26"/>
      <c r="J93" s="101"/>
      <c r="K93" s="37"/>
      <c r="L93" s="26"/>
      <c r="M93" s="26"/>
      <c r="N93" s="26"/>
      <c r="O93" s="95"/>
      <c r="P93" s="97"/>
    </row>
    <row r="94" spans="3:16" x14ac:dyDescent="0.25">
      <c r="C94" s="26"/>
      <c r="D94" s="115"/>
      <c r="E94" s="34"/>
      <c r="F94" s="92"/>
      <c r="H94" s="116"/>
      <c r="I94" s="26"/>
      <c r="J94" s="101"/>
      <c r="K94" s="37"/>
      <c r="L94" s="26"/>
      <c r="M94" s="26"/>
      <c r="N94" s="26"/>
      <c r="O94" s="95"/>
      <c r="P94" s="97"/>
    </row>
    <row r="95" spans="3:16" x14ac:dyDescent="0.25">
      <c r="C95" s="26"/>
      <c r="D95" s="115"/>
      <c r="E95" s="34"/>
      <c r="F95" s="92"/>
      <c r="H95" s="116"/>
      <c r="I95" s="26"/>
      <c r="J95" s="101"/>
      <c r="K95" s="37"/>
      <c r="L95" s="26"/>
      <c r="M95" s="26"/>
      <c r="N95" s="26"/>
      <c r="O95" s="95"/>
      <c r="P95" s="97"/>
    </row>
    <row r="96" spans="3:16" x14ac:dyDescent="0.25">
      <c r="C96" s="26"/>
      <c r="D96" s="115"/>
      <c r="E96" s="34"/>
      <c r="F96" s="92"/>
      <c r="H96" s="116"/>
      <c r="I96" s="26"/>
      <c r="J96" s="101"/>
      <c r="K96" s="37"/>
      <c r="L96" s="26"/>
      <c r="M96" s="26"/>
      <c r="N96" s="26"/>
      <c r="O96" s="95"/>
      <c r="P96" s="97"/>
    </row>
    <row r="97" spans="3:16" x14ac:dyDescent="0.25">
      <c r="C97" s="26"/>
      <c r="D97" s="115"/>
      <c r="E97" s="34"/>
      <c r="F97" s="92"/>
      <c r="H97" s="116"/>
      <c r="I97" s="26"/>
      <c r="J97" s="101"/>
      <c r="K97" s="37"/>
      <c r="L97" s="26"/>
      <c r="M97" s="26"/>
      <c r="N97" s="26"/>
      <c r="O97" s="95"/>
      <c r="P97" s="97"/>
    </row>
    <row r="98" spans="3:16" x14ac:dyDescent="0.25">
      <c r="C98" s="26"/>
      <c r="D98" s="115"/>
      <c r="E98" s="34"/>
      <c r="F98" s="92"/>
      <c r="H98" s="116"/>
      <c r="I98" s="26"/>
      <c r="J98" s="101"/>
      <c r="K98" s="37"/>
      <c r="L98" s="26"/>
      <c r="M98" s="26"/>
      <c r="N98" s="26"/>
      <c r="O98" s="95"/>
      <c r="P98" s="97"/>
    </row>
    <row r="99" spans="3:16" x14ac:dyDescent="0.25">
      <c r="C99" s="26"/>
      <c r="D99" s="115"/>
      <c r="E99" s="34"/>
      <c r="F99" s="92"/>
      <c r="H99" s="116"/>
      <c r="I99" s="26"/>
      <c r="J99" s="101"/>
      <c r="K99" s="37"/>
      <c r="L99" s="26"/>
      <c r="M99" s="26"/>
      <c r="N99" s="26"/>
      <c r="O99" s="95"/>
      <c r="P99" s="97"/>
    </row>
    <row r="100" spans="3:16" x14ac:dyDescent="0.25">
      <c r="C100" s="26"/>
      <c r="D100" s="115"/>
      <c r="E100" s="34"/>
      <c r="F100" s="92"/>
      <c r="H100" s="116"/>
      <c r="I100" s="26"/>
      <c r="J100" s="101"/>
      <c r="K100" s="37"/>
      <c r="L100" s="26"/>
      <c r="M100" s="26"/>
      <c r="N100" s="26"/>
      <c r="O100" s="95"/>
      <c r="P100" s="97"/>
    </row>
    <row r="101" spans="3:16" x14ac:dyDescent="0.25">
      <c r="C101" s="26"/>
      <c r="D101" s="115"/>
      <c r="E101" s="34"/>
      <c r="F101" s="92"/>
      <c r="H101" s="116"/>
      <c r="I101" s="26"/>
      <c r="J101" s="101"/>
      <c r="K101" s="37"/>
      <c r="L101" s="26"/>
      <c r="M101" s="26"/>
      <c r="N101" s="26"/>
      <c r="O101" s="95"/>
      <c r="P101" s="97"/>
    </row>
    <row r="102" spans="3:16" x14ac:dyDescent="0.25">
      <c r="C102" s="26"/>
      <c r="D102" s="115"/>
      <c r="E102" s="34"/>
      <c r="F102" s="92"/>
      <c r="H102" s="116"/>
      <c r="I102" s="26"/>
      <c r="J102" s="101"/>
      <c r="K102" s="37"/>
      <c r="L102" s="26"/>
      <c r="M102" s="26"/>
      <c r="N102" s="26"/>
      <c r="O102" s="95"/>
      <c r="P102" s="97"/>
    </row>
    <row r="103" spans="3:16" x14ac:dyDescent="0.25">
      <c r="C103" s="26"/>
      <c r="D103" s="115"/>
      <c r="E103" s="34"/>
      <c r="F103" s="92"/>
      <c r="H103" s="116"/>
      <c r="I103" s="26"/>
      <c r="J103" s="101"/>
      <c r="K103" s="37"/>
      <c r="L103" s="26"/>
      <c r="M103" s="26"/>
      <c r="N103" s="26"/>
      <c r="O103" s="95"/>
      <c r="P103" s="97"/>
    </row>
    <row r="104" spans="3:16" x14ac:dyDescent="0.25">
      <c r="C104" s="26"/>
      <c r="D104" s="115"/>
      <c r="E104" s="34"/>
      <c r="F104" s="92"/>
      <c r="H104" s="116"/>
      <c r="I104" s="26"/>
      <c r="J104" s="101"/>
      <c r="K104" s="37"/>
      <c r="L104" s="26"/>
      <c r="M104" s="26"/>
      <c r="N104" s="26"/>
      <c r="O104" s="95"/>
      <c r="P104" s="97"/>
    </row>
    <row r="105" spans="3:16" x14ac:dyDescent="0.25">
      <c r="C105" s="26"/>
      <c r="D105" s="115"/>
      <c r="E105" s="34"/>
      <c r="F105" s="92"/>
      <c r="H105" s="116"/>
      <c r="I105" s="26"/>
      <c r="J105" s="101"/>
      <c r="K105" s="37"/>
      <c r="L105" s="26"/>
      <c r="M105" s="26"/>
      <c r="N105" s="26"/>
      <c r="O105" s="95"/>
      <c r="P105" s="97"/>
    </row>
    <row r="106" spans="3:16" x14ac:dyDescent="0.25">
      <c r="C106" s="26"/>
      <c r="D106" s="115"/>
      <c r="E106" s="34"/>
      <c r="F106" s="92"/>
      <c r="H106" s="116"/>
      <c r="I106" s="26"/>
      <c r="J106" s="101"/>
      <c r="K106" s="37"/>
      <c r="L106" s="26"/>
      <c r="M106" s="26"/>
      <c r="N106" s="26"/>
      <c r="O106" s="95"/>
      <c r="P106" s="97"/>
    </row>
    <row r="107" spans="3:16" x14ac:dyDescent="0.25">
      <c r="C107" s="26"/>
      <c r="D107" s="115"/>
      <c r="E107" s="34"/>
      <c r="F107" s="92"/>
      <c r="H107" s="116"/>
      <c r="I107" s="26"/>
      <c r="J107" s="101"/>
      <c r="K107" s="37"/>
      <c r="L107" s="26"/>
      <c r="M107" s="26"/>
      <c r="N107" s="26"/>
      <c r="O107" s="95"/>
      <c r="P107" s="97"/>
    </row>
    <row r="108" spans="3:16" x14ac:dyDescent="0.25">
      <c r="C108" s="26"/>
      <c r="D108" s="115"/>
      <c r="E108" s="34"/>
      <c r="F108" s="92"/>
      <c r="H108" s="116"/>
      <c r="I108" s="26"/>
      <c r="J108" s="101"/>
      <c r="K108" s="37"/>
      <c r="L108" s="26"/>
      <c r="M108" s="26"/>
      <c r="N108" s="26"/>
      <c r="O108" s="95"/>
      <c r="P108" s="97"/>
    </row>
    <row r="109" spans="3:16" x14ac:dyDescent="0.25">
      <c r="C109" s="26"/>
      <c r="D109" s="115"/>
      <c r="E109" s="34"/>
      <c r="F109" s="92"/>
      <c r="H109" s="116"/>
      <c r="I109" s="26"/>
      <c r="J109" s="101"/>
      <c r="K109" s="37"/>
      <c r="L109" s="26"/>
      <c r="M109" s="26"/>
      <c r="N109" s="26"/>
      <c r="O109" s="95"/>
      <c r="P109" s="97"/>
    </row>
    <row r="110" spans="3:16" x14ac:dyDescent="0.25">
      <c r="C110" s="26"/>
      <c r="D110" s="115"/>
      <c r="E110" s="34"/>
      <c r="F110" s="92"/>
      <c r="H110" s="116"/>
      <c r="I110" s="26"/>
      <c r="J110" s="101"/>
      <c r="K110" s="37"/>
      <c r="L110" s="26"/>
      <c r="M110" s="26"/>
      <c r="N110" s="26"/>
      <c r="O110" s="95"/>
      <c r="P110" s="97"/>
    </row>
    <row r="111" spans="3:16" x14ac:dyDescent="0.25">
      <c r="C111" s="26"/>
      <c r="D111" s="115"/>
      <c r="E111" s="34"/>
      <c r="F111" s="92"/>
      <c r="H111" s="116"/>
      <c r="I111" s="26"/>
      <c r="J111" s="101"/>
      <c r="K111" s="37"/>
      <c r="L111" s="26"/>
      <c r="M111" s="26"/>
      <c r="N111" s="26"/>
      <c r="O111" s="95"/>
      <c r="P111" s="97"/>
    </row>
    <row r="112" spans="3:16" x14ac:dyDescent="0.25">
      <c r="C112" s="26"/>
      <c r="D112" s="115"/>
      <c r="E112" s="34"/>
      <c r="F112" s="92"/>
      <c r="H112" s="116"/>
      <c r="I112" s="26"/>
      <c r="J112" s="101"/>
      <c r="K112" s="37"/>
      <c r="L112" s="26"/>
      <c r="M112" s="26"/>
      <c r="N112" s="26"/>
      <c r="O112" s="95"/>
      <c r="P112" s="97"/>
    </row>
    <row r="113" spans="3:16" x14ac:dyDescent="0.25">
      <c r="C113" s="26"/>
      <c r="D113" s="115"/>
      <c r="E113" s="34"/>
      <c r="F113" s="92"/>
      <c r="H113" s="116"/>
      <c r="I113" s="26"/>
      <c r="J113" s="101"/>
      <c r="K113" s="37"/>
      <c r="L113" s="26"/>
      <c r="M113" s="26"/>
      <c r="N113" s="26"/>
      <c r="O113" s="95"/>
      <c r="P113" s="97"/>
    </row>
    <row r="114" spans="3:16" x14ac:dyDescent="0.25">
      <c r="C114" s="26"/>
      <c r="D114" s="115"/>
      <c r="E114" s="34"/>
      <c r="F114" s="92"/>
      <c r="H114" s="116"/>
      <c r="I114" s="26"/>
      <c r="J114" s="101"/>
      <c r="K114" s="37"/>
      <c r="L114" s="26"/>
      <c r="M114" s="26"/>
      <c r="N114" s="26"/>
      <c r="O114" s="95"/>
      <c r="P114" s="97"/>
    </row>
    <row r="115" spans="3:16" x14ac:dyDescent="0.25">
      <c r="C115" s="26"/>
      <c r="D115" s="115"/>
      <c r="E115" s="34"/>
      <c r="F115" s="92"/>
      <c r="H115" s="116"/>
      <c r="I115" s="26"/>
      <c r="J115" s="101"/>
      <c r="K115" s="37"/>
      <c r="L115" s="26"/>
      <c r="M115" s="26"/>
      <c r="N115" s="26"/>
      <c r="O115" s="95"/>
      <c r="P115" s="97"/>
    </row>
    <row r="116" spans="3:16" x14ac:dyDescent="0.25">
      <c r="C116" s="26"/>
      <c r="D116" s="115"/>
      <c r="E116" s="34"/>
      <c r="F116" s="92"/>
      <c r="H116" s="116"/>
      <c r="I116" s="26"/>
      <c r="J116" s="101"/>
      <c r="K116" s="37"/>
      <c r="L116" s="26"/>
      <c r="M116" s="26"/>
      <c r="N116" s="26"/>
      <c r="O116" s="95"/>
      <c r="P116" s="97"/>
    </row>
    <row r="117" spans="3:16" x14ac:dyDescent="0.25">
      <c r="C117" s="26"/>
      <c r="D117" s="115"/>
      <c r="E117" s="34"/>
      <c r="F117" s="92"/>
      <c r="H117" s="116"/>
      <c r="I117" s="26"/>
      <c r="J117" s="101"/>
      <c r="K117" s="37"/>
      <c r="L117" s="26"/>
      <c r="M117" s="26"/>
      <c r="N117" s="26"/>
      <c r="O117" s="95"/>
      <c r="P117" s="97"/>
    </row>
    <row r="118" spans="3:16" x14ac:dyDescent="0.25">
      <c r="C118" s="26"/>
      <c r="D118" s="115"/>
      <c r="E118" s="34"/>
      <c r="F118" s="92"/>
      <c r="H118" s="116"/>
      <c r="I118" s="26"/>
      <c r="J118" s="101"/>
      <c r="K118" s="37"/>
      <c r="L118" s="26"/>
      <c r="M118" s="26"/>
      <c r="N118" s="26"/>
      <c r="O118" s="95"/>
      <c r="P118" s="97"/>
    </row>
    <row r="119" spans="3:16" x14ac:dyDescent="0.25">
      <c r="C119" s="26"/>
      <c r="D119" s="115"/>
      <c r="E119" s="34"/>
      <c r="F119" s="92"/>
      <c r="H119" s="116"/>
      <c r="I119" s="26"/>
      <c r="J119" s="101"/>
      <c r="K119" s="37"/>
      <c r="L119" s="26"/>
      <c r="M119" s="26"/>
      <c r="N119" s="26"/>
      <c r="O119" s="95"/>
      <c r="P119" s="97"/>
    </row>
    <row r="120" spans="3:16" x14ac:dyDescent="0.25">
      <c r="C120" s="26"/>
      <c r="D120" s="115"/>
      <c r="E120" s="34"/>
      <c r="F120" s="92"/>
      <c r="H120" s="116"/>
      <c r="I120" s="26"/>
      <c r="J120" s="101"/>
      <c r="K120" s="37"/>
      <c r="L120" s="26"/>
      <c r="M120" s="26"/>
      <c r="N120" s="26"/>
      <c r="O120" s="95"/>
      <c r="P120" s="97"/>
    </row>
    <row r="121" spans="3:16" x14ac:dyDescent="0.25">
      <c r="C121" s="26"/>
      <c r="D121" s="115"/>
      <c r="E121" s="34"/>
      <c r="F121" s="92"/>
      <c r="H121" s="116"/>
      <c r="I121" s="26"/>
      <c r="J121" s="101"/>
      <c r="K121" s="37"/>
      <c r="L121" s="26"/>
      <c r="M121" s="26"/>
      <c r="N121" s="26"/>
      <c r="O121" s="95"/>
      <c r="P121" s="97"/>
    </row>
    <row r="122" spans="3:16" x14ac:dyDescent="0.25">
      <c r="C122" s="26"/>
      <c r="D122" s="115"/>
      <c r="E122" s="34"/>
      <c r="F122" s="92"/>
      <c r="H122" s="116"/>
      <c r="I122" s="26"/>
      <c r="J122" s="101"/>
      <c r="K122" s="37"/>
      <c r="L122" s="26"/>
      <c r="M122" s="26"/>
      <c r="N122" s="26"/>
      <c r="O122" s="95"/>
      <c r="P122" s="97"/>
    </row>
    <row r="123" spans="3:16" x14ac:dyDescent="0.25">
      <c r="C123" s="26"/>
      <c r="D123" s="115"/>
      <c r="E123" s="34"/>
      <c r="F123" s="92"/>
      <c r="H123" s="116"/>
      <c r="I123" s="26"/>
      <c r="J123" s="101"/>
      <c r="K123" s="37"/>
      <c r="L123" s="26"/>
      <c r="M123" s="26"/>
      <c r="N123" s="26"/>
      <c r="O123" s="95"/>
      <c r="P123" s="97"/>
    </row>
    <row r="124" spans="3:16" x14ac:dyDescent="0.25">
      <c r="C124" s="26"/>
      <c r="D124" s="115"/>
      <c r="E124" s="34"/>
      <c r="F124" s="92"/>
      <c r="H124" s="116"/>
      <c r="I124" s="26"/>
      <c r="J124" s="101"/>
      <c r="K124" s="37"/>
      <c r="L124" s="26"/>
      <c r="M124" s="26"/>
      <c r="N124" s="26"/>
      <c r="O124" s="95"/>
      <c r="P124" s="97"/>
    </row>
    <row r="125" spans="3:16" x14ac:dyDescent="0.25">
      <c r="C125" s="26"/>
      <c r="D125" s="115"/>
      <c r="E125" s="34"/>
      <c r="F125" s="92"/>
      <c r="H125" s="116"/>
      <c r="I125" s="26"/>
      <c r="J125" s="101"/>
      <c r="K125" s="37"/>
      <c r="L125" s="26"/>
      <c r="M125" s="26"/>
      <c r="N125" s="26"/>
      <c r="O125" s="95"/>
      <c r="P125" s="97"/>
    </row>
    <row r="126" spans="3:16" x14ac:dyDescent="0.25">
      <c r="C126" s="26"/>
      <c r="D126" s="115"/>
      <c r="E126" s="34"/>
      <c r="F126" s="92"/>
      <c r="H126" s="116"/>
      <c r="I126" s="26"/>
      <c r="J126" s="101"/>
      <c r="K126" s="37"/>
      <c r="L126" s="26"/>
      <c r="M126" s="26"/>
      <c r="N126" s="26"/>
      <c r="O126" s="95"/>
      <c r="P126" s="97"/>
    </row>
    <row r="127" spans="3:16" x14ac:dyDescent="0.25">
      <c r="C127" s="26"/>
      <c r="D127" s="115"/>
      <c r="E127" s="34"/>
      <c r="F127" s="92"/>
      <c r="H127" s="116"/>
      <c r="I127" s="26"/>
      <c r="J127" s="101"/>
      <c r="K127" s="37"/>
      <c r="L127" s="26"/>
      <c r="M127" s="26"/>
      <c r="N127" s="26"/>
      <c r="O127" s="95"/>
      <c r="P127" s="97"/>
    </row>
    <row r="128" spans="3:16" x14ac:dyDescent="0.25">
      <c r="C128" s="26"/>
      <c r="D128" s="115"/>
      <c r="E128" s="34"/>
      <c r="F128" s="92"/>
      <c r="H128" s="116"/>
      <c r="I128" s="26"/>
      <c r="J128" s="101"/>
      <c r="K128" s="37"/>
      <c r="L128" s="26"/>
      <c r="M128" s="26"/>
      <c r="N128" s="26"/>
      <c r="O128" s="95"/>
      <c r="P128" s="97"/>
    </row>
    <row r="129" spans="3:16" x14ac:dyDescent="0.25">
      <c r="C129" s="26"/>
      <c r="D129" s="115"/>
      <c r="E129" s="34"/>
      <c r="F129" s="92"/>
      <c r="H129" s="116"/>
      <c r="I129" s="26"/>
      <c r="J129" s="101"/>
      <c r="K129" s="37"/>
      <c r="L129" s="26"/>
      <c r="M129" s="26"/>
      <c r="N129" s="26"/>
      <c r="O129" s="95"/>
      <c r="P129" s="97"/>
    </row>
    <row r="130" spans="3:16" x14ac:dyDescent="0.25">
      <c r="C130" s="26"/>
      <c r="D130" s="115"/>
      <c r="E130" s="34"/>
      <c r="F130" s="92"/>
      <c r="H130" s="116"/>
      <c r="I130" s="26"/>
      <c r="J130" s="101"/>
      <c r="K130" s="37"/>
      <c r="L130" s="26"/>
      <c r="M130" s="26"/>
      <c r="N130" s="26"/>
      <c r="O130" s="95"/>
      <c r="P130" s="97"/>
    </row>
    <row r="131" spans="3:16" x14ac:dyDescent="0.25">
      <c r="C131" s="26"/>
      <c r="D131" s="115"/>
      <c r="E131" s="34"/>
      <c r="F131" s="92"/>
      <c r="H131" s="116"/>
      <c r="I131" s="26"/>
      <c r="J131" s="101"/>
      <c r="K131" s="37"/>
      <c r="L131" s="26"/>
      <c r="M131" s="26"/>
      <c r="N131" s="26"/>
      <c r="O131" s="95"/>
      <c r="P131" s="97"/>
    </row>
    <row r="132" spans="3:16" x14ac:dyDescent="0.25">
      <c r="C132" s="26"/>
      <c r="D132" s="115"/>
      <c r="E132" s="34"/>
      <c r="F132" s="92"/>
      <c r="H132" s="116"/>
      <c r="I132" s="26"/>
      <c r="J132" s="101"/>
      <c r="K132" s="37"/>
      <c r="L132" s="26"/>
      <c r="M132" s="26"/>
      <c r="N132" s="26"/>
      <c r="O132" s="95"/>
      <c r="P132" s="97"/>
    </row>
    <row r="133" spans="3:16" x14ac:dyDescent="0.25">
      <c r="C133" s="26"/>
      <c r="D133" s="115"/>
      <c r="E133" s="34"/>
      <c r="F133" s="92"/>
      <c r="H133" s="116"/>
      <c r="I133" s="26"/>
      <c r="J133" s="101"/>
      <c r="K133" s="37"/>
      <c r="L133" s="26"/>
      <c r="M133" s="26"/>
      <c r="N133" s="26"/>
      <c r="O133" s="95"/>
      <c r="P133" s="97"/>
    </row>
    <row r="134" spans="3:16" x14ac:dyDescent="0.25">
      <c r="C134" s="26"/>
      <c r="D134" s="115"/>
      <c r="E134" s="34"/>
      <c r="F134" s="92"/>
      <c r="H134" s="116"/>
      <c r="I134" s="26"/>
      <c r="J134" s="101"/>
      <c r="K134" s="37"/>
      <c r="L134" s="26"/>
      <c r="M134" s="26"/>
      <c r="N134" s="26"/>
      <c r="O134" s="95"/>
      <c r="P134" s="97"/>
    </row>
    <row r="135" spans="3:16" x14ac:dyDescent="0.25">
      <c r="C135" s="26"/>
      <c r="D135" s="115"/>
      <c r="E135" s="34"/>
      <c r="F135" s="92"/>
      <c r="H135" s="116"/>
      <c r="I135" s="26"/>
      <c r="J135" s="101"/>
      <c r="K135" s="37"/>
      <c r="L135" s="26"/>
      <c r="M135" s="26"/>
      <c r="N135" s="26"/>
      <c r="O135" s="95"/>
      <c r="P135" s="97"/>
    </row>
    <row r="136" spans="3:16" x14ac:dyDescent="0.25">
      <c r="C136" s="26"/>
      <c r="D136" s="115"/>
      <c r="E136" s="34"/>
      <c r="F136" s="92"/>
      <c r="H136" s="116"/>
      <c r="I136" s="26"/>
      <c r="J136" s="101"/>
      <c r="K136" s="37"/>
      <c r="L136" s="26"/>
      <c r="M136" s="26"/>
      <c r="N136" s="26"/>
      <c r="O136" s="95"/>
      <c r="P136" s="97"/>
    </row>
    <row r="137" spans="3:16" x14ac:dyDescent="0.25">
      <c r="C137" s="26"/>
      <c r="D137" s="115"/>
      <c r="E137" s="34"/>
      <c r="F137" s="92"/>
      <c r="H137" s="116"/>
      <c r="I137" s="26"/>
      <c r="J137" s="101"/>
      <c r="K137" s="37"/>
      <c r="L137" s="26"/>
      <c r="M137" s="26"/>
      <c r="N137" s="26"/>
      <c r="O137" s="95"/>
      <c r="P137" s="97"/>
    </row>
    <row r="138" spans="3:16" x14ac:dyDescent="0.25">
      <c r="C138" s="26"/>
      <c r="D138" s="115"/>
      <c r="E138" s="34"/>
      <c r="F138" s="92"/>
      <c r="H138" s="116"/>
      <c r="I138" s="26"/>
      <c r="J138" s="101"/>
      <c r="K138" s="37"/>
      <c r="L138" s="26"/>
      <c r="M138" s="26"/>
      <c r="N138" s="26"/>
      <c r="O138" s="95"/>
      <c r="P138" s="97"/>
    </row>
    <row r="139" spans="3:16" x14ac:dyDescent="0.25">
      <c r="C139" s="26"/>
      <c r="D139" s="115"/>
      <c r="E139" s="34"/>
      <c r="F139" s="92"/>
      <c r="H139" s="116"/>
      <c r="I139" s="26"/>
      <c r="J139" s="101"/>
      <c r="K139" s="37"/>
      <c r="L139" s="26"/>
      <c r="M139" s="26"/>
      <c r="N139" s="26"/>
      <c r="O139" s="95"/>
      <c r="P139" s="97"/>
    </row>
    <row r="140" spans="3:16" x14ac:dyDescent="0.25">
      <c r="C140" s="26"/>
      <c r="D140" s="115"/>
      <c r="E140" s="34"/>
      <c r="F140" s="92"/>
      <c r="H140" s="116"/>
      <c r="I140" s="26"/>
      <c r="J140" s="101"/>
      <c r="K140" s="37"/>
      <c r="L140" s="26"/>
      <c r="M140" s="26"/>
      <c r="N140" s="26"/>
      <c r="O140" s="95"/>
      <c r="P140" s="97"/>
    </row>
    <row r="141" spans="3:16" x14ac:dyDescent="0.25">
      <c r="C141" s="26"/>
      <c r="D141" s="115"/>
      <c r="E141" s="34"/>
      <c r="F141" s="92"/>
      <c r="H141" s="116"/>
      <c r="I141" s="26"/>
      <c r="J141" s="101"/>
      <c r="K141" s="37"/>
      <c r="L141" s="26"/>
      <c r="M141" s="26"/>
      <c r="N141" s="26"/>
      <c r="O141" s="95"/>
      <c r="P141" s="97"/>
    </row>
    <row r="142" spans="3:16" x14ac:dyDescent="0.25">
      <c r="C142" s="26"/>
      <c r="D142" s="115"/>
      <c r="E142" s="34"/>
      <c r="F142" s="92"/>
      <c r="H142" s="116"/>
      <c r="I142" s="26"/>
      <c r="J142" s="101"/>
      <c r="K142" s="37"/>
      <c r="L142" s="26"/>
      <c r="M142" s="26"/>
      <c r="N142" s="26"/>
      <c r="O142" s="95"/>
      <c r="P142" s="97"/>
    </row>
    <row r="143" spans="3:16" x14ac:dyDescent="0.25">
      <c r="C143" s="26"/>
      <c r="D143" s="115"/>
      <c r="E143" s="34"/>
      <c r="F143" s="92"/>
      <c r="H143" s="116"/>
      <c r="I143" s="26"/>
      <c r="J143" s="101"/>
      <c r="K143" s="37"/>
      <c r="L143" s="26"/>
      <c r="M143" s="26"/>
      <c r="N143" s="26"/>
      <c r="O143" s="95"/>
      <c r="P143" s="97"/>
    </row>
    <row r="144" spans="3:16" x14ac:dyDescent="0.25">
      <c r="C144" s="26"/>
      <c r="D144" s="115"/>
      <c r="E144" s="34"/>
      <c r="F144" s="92"/>
      <c r="H144" s="116"/>
      <c r="I144" s="26"/>
      <c r="J144" s="101"/>
      <c r="K144" s="37"/>
      <c r="L144" s="26"/>
      <c r="M144" s="26"/>
      <c r="N144" s="26"/>
      <c r="O144" s="95"/>
      <c r="P144" s="97"/>
    </row>
    <row r="145" spans="3:16" x14ac:dyDescent="0.25">
      <c r="C145" s="26"/>
      <c r="D145" s="115"/>
      <c r="E145" s="34"/>
      <c r="F145" s="92"/>
      <c r="H145" s="116"/>
      <c r="I145" s="26"/>
      <c r="J145" s="101"/>
      <c r="K145" s="37"/>
      <c r="L145" s="26"/>
      <c r="M145" s="26"/>
      <c r="N145" s="26"/>
      <c r="O145" s="95"/>
      <c r="P145" s="97"/>
    </row>
    <row r="146" spans="3:16" x14ac:dyDescent="0.25">
      <c r="C146" s="26"/>
      <c r="D146" s="115"/>
      <c r="E146" s="34"/>
      <c r="F146" s="92"/>
      <c r="H146" s="116"/>
      <c r="I146" s="26"/>
      <c r="J146" s="101"/>
      <c r="K146" s="37"/>
      <c r="L146" s="26"/>
      <c r="M146" s="26"/>
      <c r="N146" s="26"/>
      <c r="O146" s="95"/>
      <c r="P146" s="97"/>
    </row>
    <row r="147" spans="3:16" x14ac:dyDescent="0.25">
      <c r="C147" s="26"/>
      <c r="D147" s="115"/>
      <c r="E147" s="34"/>
      <c r="F147" s="92"/>
      <c r="H147" s="116"/>
      <c r="I147" s="26"/>
      <c r="J147" s="101"/>
      <c r="K147" s="37"/>
      <c r="L147" s="26"/>
      <c r="M147" s="26"/>
      <c r="N147" s="26"/>
      <c r="O147" s="95"/>
      <c r="P147" s="97"/>
    </row>
    <row r="148" spans="3:16" x14ac:dyDescent="0.25">
      <c r="C148" s="26"/>
      <c r="D148" s="115"/>
      <c r="E148" s="34"/>
      <c r="F148" s="92"/>
      <c r="H148" s="116"/>
      <c r="I148" s="26"/>
      <c r="J148" s="101"/>
      <c r="K148" s="37"/>
      <c r="L148" s="26"/>
      <c r="M148" s="26"/>
      <c r="N148" s="26"/>
      <c r="O148" s="95"/>
      <c r="P148" s="97"/>
    </row>
    <row r="149" spans="3:16" x14ac:dyDescent="0.25">
      <c r="C149" s="26"/>
      <c r="D149" s="115"/>
      <c r="E149" s="34"/>
      <c r="F149" s="92"/>
      <c r="H149" s="116"/>
      <c r="I149" s="26"/>
      <c r="J149" s="101"/>
      <c r="K149" s="37"/>
      <c r="L149" s="26"/>
      <c r="M149" s="26"/>
      <c r="N149" s="26"/>
      <c r="O149" s="95"/>
      <c r="P149" s="97"/>
    </row>
    <row r="150" spans="3:16" x14ac:dyDescent="0.25">
      <c r="C150" s="26"/>
      <c r="D150" s="115"/>
      <c r="E150" s="34"/>
      <c r="F150" s="92"/>
      <c r="H150" s="116"/>
      <c r="I150" s="26"/>
      <c r="J150" s="101"/>
      <c r="K150" s="37"/>
      <c r="L150" s="26"/>
      <c r="M150" s="26"/>
      <c r="N150" s="26"/>
      <c r="O150" s="95"/>
      <c r="P150" s="97"/>
    </row>
    <row r="151" spans="3:16" x14ac:dyDescent="0.25">
      <c r="C151" s="26"/>
      <c r="D151" s="115"/>
      <c r="E151" s="34"/>
      <c r="F151" s="92"/>
      <c r="H151" s="116"/>
      <c r="I151" s="26"/>
      <c r="J151" s="101"/>
      <c r="K151" s="37"/>
      <c r="L151" s="26"/>
      <c r="M151" s="26"/>
      <c r="N151" s="26"/>
      <c r="O151" s="95"/>
      <c r="P151" s="97"/>
    </row>
    <row r="152" spans="3:16" x14ac:dyDescent="0.25">
      <c r="C152" s="26"/>
      <c r="D152" s="115"/>
      <c r="E152" s="34"/>
      <c r="F152" s="92"/>
      <c r="H152" s="116"/>
      <c r="I152" s="26"/>
      <c r="J152" s="101"/>
      <c r="K152" s="37"/>
      <c r="L152" s="26"/>
      <c r="M152" s="26"/>
      <c r="N152" s="26"/>
      <c r="O152" s="95"/>
      <c r="P152" s="97"/>
    </row>
    <row r="153" spans="3:16" x14ac:dyDescent="0.25">
      <c r="C153" s="26"/>
      <c r="D153" s="115"/>
      <c r="E153" s="34"/>
      <c r="F153" s="92"/>
      <c r="H153" s="116"/>
      <c r="I153" s="26"/>
      <c r="J153" s="101"/>
      <c r="K153" s="37"/>
      <c r="L153" s="26"/>
      <c r="M153" s="26"/>
      <c r="N153" s="26"/>
      <c r="O153" s="95"/>
      <c r="P153" s="97"/>
    </row>
    <row r="154" spans="3:16" x14ac:dyDescent="0.25">
      <c r="C154" s="26"/>
      <c r="D154" s="115"/>
      <c r="E154" s="34"/>
      <c r="F154" s="92"/>
      <c r="H154" s="116"/>
      <c r="I154" s="26"/>
      <c r="J154" s="101"/>
      <c r="K154" s="37"/>
      <c r="L154" s="26"/>
      <c r="M154" s="26"/>
      <c r="N154" s="26"/>
      <c r="O154" s="95"/>
      <c r="P154" s="97"/>
    </row>
    <row r="155" spans="3:16" x14ac:dyDescent="0.25">
      <c r="C155" s="26"/>
      <c r="D155" s="115"/>
      <c r="E155" s="34"/>
      <c r="F155" s="92"/>
      <c r="H155" s="116"/>
      <c r="I155" s="26"/>
      <c r="J155" s="101"/>
      <c r="K155" s="37"/>
      <c r="L155" s="26"/>
      <c r="M155" s="26"/>
      <c r="N155" s="26"/>
      <c r="O155" s="95"/>
      <c r="P155" s="97"/>
    </row>
    <row r="156" spans="3:16" x14ac:dyDescent="0.25">
      <c r="C156" s="26"/>
      <c r="D156" s="115"/>
      <c r="E156" s="34"/>
      <c r="F156" s="92"/>
      <c r="H156" s="116"/>
      <c r="I156" s="26"/>
      <c r="J156" s="101"/>
      <c r="K156" s="37"/>
      <c r="L156" s="26"/>
      <c r="M156" s="26"/>
      <c r="N156" s="26"/>
      <c r="O156" s="95"/>
      <c r="P156" s="97"/>
    </row>
    <row r="157" spans="3:16" x14ac:dyDescent="0.25">
      <c r="C157" s="26"/>
      <c r="D157" s="115"/>
      <c r="E157" s="34"/>
      <c r="F157" s="92"/>
      <c r="H157" s="116"/>
      <c r="I157" s="26"/>
      <c r="J157" s="101"/>
      <c r="K157" s="37"/>
      <c r="L157" s="26"/>
      <c r="M157" s="26"/>
      <c r="N157" s="26"/>
      <c r="O157" s="95"/>
      <c r="P157" s="97"/>
    </row>
    <row r="158" spans="3:16" x14ac:dyDescent="0.25">
      <c r="C158" s="26"/>
      <c r="D158" s="115"/>
      <c r="E158" s="34"/>
      <c r="F158" s="92"/>
      <c r="H158" s="116"/>
      <c r="I158" s="26"/>
      <c r="J158" s="101"/>
      <c r="K158" s="37"/>
      <c r="L158" s="26"/>
      <c r="M158" s="26"/>
      <c r="N158" s="26"/>
      <c r="O158" s="95"/>
      <c r="P158" s="97"/>
    </row>
    <row r="159" spans="3:16" x14ac:dyDescent="0.25">
      <c r="C159" s="26"/>
      <c r="D159" s="115"/>
      <c r="E159" s="34"/>
      <c r="F159" s="92"/>
      <c r="H159" s="116"/>
      <c r="I159" s="26"/>
      <c r="J159" s="101"/>
      <c r="K159" s="37"/>
      <c r="L159" s="26"/>
      <c r="M159" s="26"/>
      <c r="N159" s="26"/>
      <c r="O159" s="95"/>
      <c r="P159" s="97"/>
    </row>
    <row r="160" spans="3:16" x14ac:dyDescent="0.25">
      <c r="C160" s="26"/>
      <c r="D160" s="115"/>
      <c r="E160" s="34"/>
      <c r="F160" s="92"/>
      <c r="H160" s="116"/>
      <c r="I160" s="26"/>
      <c r="J160" s="101"/>
      <c r="K160" s="37"/>
      <c r="L160" s="26"/>
      <c r="M160" s="26"/>
      <c r="N160" s="26"/>
      <c r="O160" s="95"/>
      <c r="P160" s="97"/>
    </row>
    <row r="161" spans="3:16" x14ac:dyDescent="0.25">
      <c r="C161" s="26"/>
      <c r="D161" s="115"/>
      <c r="E161" s="34"/>
      <c r="F161" s="92"/>
      <c r="H161" s="116"/>
      <c r="I161" s="26"/>
      <c r="J161" s="101"/>
      <c r="K161" s="37"/>
      <c r="L161" s="26"/>
      <c r="M161" s="26"/>
      <c r="N161" s="26"/>
      <c r="O161" s="95"/>
      <c r="P161" s="97"/>
    </row>
    <row r="162" spans="3:16" x14ac:dyDescent="0.25">
      <c r="C162" s="26"/>
      <c r="D162" s="115"/>
      <c r="E162" s="34"/>
      <c r="F162" s="92"/>
      <c r="H162" s="116"/>
      <c r="I162" s="26"/>
      <c r="J162" s="101"/>
      <c r="K162" s="37"/>
      <c r="L162" s="26"/>
      <c r="M162" s="26"/>
      <c r="N162" s="26"/>
      <c r="O162" s="95"/>
      <c r="P162" s="97"/>
    </row>
    <row r="163" spans="3:16" x14ac:dyDescent="0.25">
      <c r="C163" s="26"/>
      <c r="D163" s="115"/>
      <c r="E163" s="34"/>
      <c r="F163" s="92"/>
      <c r="H163" s="116"/>
      <c r="I163" s="26"/>
      <c r="J163" s="101"/>
      <c r="K163" s="37"/>
      <c r="L163" s="26"/>
      <c r="M163" s="26"/>
      <c r="N163" s="26"/>
      <c r="O163" s="95"/>
      <c r="P163" s="97"/>
    </row>
    <row r="164" spans="3:16" x14ac:dyDescent="0.25">
      <c r="C164" s="26"/>
      <c r="D164" s="115"/>
      <c r="E164" s="34"/>
      <c r="F164" s="92"/>
      <c r="H164" s="116"/>
      <c r="I164" s="26"/>
      <c r="J164" s="101"/>
      <c r="K164" s="37"/>
      <c r="L164" s="26"/>
      <c r="M164" s="26"/>
      <c r="N164" s="26"/>
      <c r="O164" s="95"/>
      <c r="P164" s="97"/>
    </row>
    <row r="165" spans="3:16" x14ac:dyDescent="0.25">
      <c r="C165" s="26"/>
      <c r="D165" s="115"/>
      <c r="E165" s="34"/>
      <c r="F165" s="92"/>
      <c r="H165" s="116"/>
      <c r="I165" s="26"/>
      <c r="J165" s="101"/>
      <c r="K165" s="37"/>
      <c r="L165" s="26"/>
      <c r="M165" s="26"/>
      <c r="N165" s="26"/>
      <c r="O165" s="95"/>
      <c r="P165" s="97"/>
    </row>
    <row r="166" spans="3:16" x14ac:dyDescent="0.25">
      <c r="C166" s="26"/>
      <c r="D166" s="115"/>
      <c r="E166" s="34"/>
      <c r="F166" s="92"/>
      <c r="H166" s="116"/>
      <c r="I166" s="26"/>
      <c r="J166" s="101"/>
      <c r="K166" s="37"/>
      <c r="L166" s="26"/>
      <c r="M166" s="26"/>
      <c r="N166" s="26"/>
      <c r="O166" s="95"/>
      <c r="P166" s="97"/>
    </row>
    <row r="167" spans="3:16" x14ac:dyDescent="0.25">
      <c r="C167" s="26"/>
      <c r="D167" s="115"/>
      <c r="E167" s="34"/>
      <c r="F167" s="92"/>
      <c r="H167" s="116"/>
      <c r="I167" s="26"/>
      <c r="J167" s="101"/>
      <c r="K167" s="37"/>
      <c r="L167" s="26"/>
      <c r="M167" s="26"/>
      <c r="N167" s="26"/>
      <c r="O167" s="95"/>
      <c r="P167" s="97"/>
    </row>
    <row r="168" spans="3:16" x14ac:dyDescent="0.25">
      <c r="C168" s="26"/>
      <c r="D168" s="115"/>
      <c r="E168" s="34"/>
      <c r="F168" s="92"/>
      <c r="H168" s="116"/>
      <c r="I168" s="26"/>
      <c r="J168" s="101"/>
      <c r="K168" s="37"/>
      <c r="L168" s="26"/>
      <c r="M168" s="26"/>
      <c r="N168" s="26"/>
      <c r="O168" s="95"/>
      <c r="P168" s="97"/>
    </row>
    <row r="169" spans="3:16" x14ac:dyDescent="0.25">
      <c r="C169" s="26"/>
      <c r="D169" s="115"/>
      <c r="E169" s="34"/>
      <c r="F169" s="92"/>
      <c r="H169" s="116"/>
      <c r="I169" s="26"/>
      <c r="J169" s="101"/>
      <c r="K169" s="37"/>
      <c r="L169" s="26"/>
      <c r="M169" s="26"/>
      <c r="N169" s="26"/>
      <c r="O169" s="95"/>
      <c r="P169" s="97"/>
    </row>
    <row r="170" spans="3:16" x14ac:dyDescent="0.25">
      <c r="C170" s="26"/>
      <c r="D170" s="115"/>
      <c r="E170" s="34"/>
      <c r="F170" s="92"/>
      <c r="H170" s="116"/>
      <c r="I170" s="26"/>
      <c r="J170" s="101"/>
      <c r="K170" s="37"/>
      <c r="L170" s="26"/>
      <c r="M170" s="26"/>
      <c r="N170" s="26"/>
      <c r="O170" s="95"/>
      <c r="P170" s="97"/>
    </row>
    <row r="171" spans="3:16" x14ac:dyDescent="0.25">
      <c r="C171" s="26"/>
      <c r="D171" s="115"/>
      <c r="E171" s="34"/>
      <c r="F171" s="92"/>
      <c r="H171" s="116"/>
      <c r="I171" s="26"/>
      <c r="J171" s="101"/>
      <c r="K171" s="37"/>
      <c r="L171" s="26"/>
      <c r="M171" s="26"/>
      <c r="N171" s="26"/>
      <c r="O171" s="95"/>
      <c r="P171" s="97"/>
    </row>
    <row r="172" spans="3:16" x14ac:dyDescent="0.25">
      <c r="C172" s="26"/>
      <c r="D172" s="115"/>
      <c r="E172" s="34"/>
      <c r="F172" s="92"/>
      <c r="H172" s="116"/>
      <c r="I172" s="26"/>
      <c r="J172" s="101"/>
      <c r="K172" s="37"/>
      <c r="L172" s="26"/>
      <c r="M172" s="26"/>
      <c r="N172" s="26"/>
      <c r="O172" s="95"/>
      <c r="P172" s="97"/>
    </row>
    <row r="173" spans="3:16" x14ac:dyDescent="0.25">
      <c r="C173" s="26"/>
      <c r="D173" s="115"/>
      <c r="E173" s="34"/>
      <c r="F173" s="92"/>
      <c r="H173" s="116"/>
      <c r="I173" s="26"/>
      <c r="J173" s="101"/>
      <c r="K173" s="37"/>
      <c r="L173" s="26"/>
      <c r="M173" s="26"/>
      <c r="N173" s="26"/>
      <c r="O173" s="95"/>
      <c r="P173" s="97"/>
    </row>
    <row r="174" spans="3:16" x14ac:dyDescent="0.25">
      <c r="C174" s="26"/>
      <c r="D174" s="115"/>
      <c r="E174" s="34"/>
      <c r="F174" s="92"/>
      <c r="H174" s="116"/>
      <c r="I174" s="26"/>
      <c r="J174" s="101"/>
      <c r="K174" s="37"/>
      <c r="L174" s="26"/>
      <c r="M174" s="26"/>
      <c r="N174" s="26"/>
      <c r="O174" s="95"/>
      <c r="P174" s="97"/>
    </row>
    <row r="175" spans="3:16" x14ac:dyDescent="0.25">
      <c r="C175" s="26"/>
      <c r="D175" s="115"/>
      <c r="E175" s="34"/>
      <c r="F175" s="92"/>
      <c r="H175" s="116"/>
      <c r="I175" s="26"/>
      <c r="J175" s="101"/>
      <c r="K175" s="37"/>
      <c r="L175" s="26"/>
      <c r="M175" s="26"/>
      <c r="N175" s="26"/>
      <c r="O175" s="95"/>
      <c r="P175" s="97"/>
    </row>
    <row r="176" spans="3:16" x14ac:dyDescent="0.25">
      <c r="C176" s="26"/>
      <c r="D176" s="115"/>
      <c r="E176" s="34"/>
      <c r="F176" s="92"/>
      <c r="H176" s="116"/>
      <c r="I176" s="26"/>
      <c r="J176" s="101"/>
      <c r="K176" s="37"/>
      <c r="L176" s="26"/>
      <c r="M176" s="26"/>
      <c r="N176" s="26"/>
      <c r="O176" s="95"/>
      <c r="P176" s="97"/>
    </row>
    <row r="177" spans="3:16" x14ac:dyDescent="0.25">
      <c r="C177" s="26"/>
      <c r="D177" s="115"/>
      <c r="E177" s="34"/>
      <c r="F177" s="92"/>
      <c r="H177" s="116"/>
      <c r="I177" s="26"/>
      <c r="J177" s="101"/>
      <c r="K177" s="37"/>
      <c r="L177" s="26"/>
      <c r="M177" s="26"/>
      <c r="N177" s="26"/>
      <c r="O177" s="95"/>
      <c r="P177" s="97"/>
    </row>
    <row r="178" spans="3:16" x14ac:dyDescent="0.25">
      <c r="C178" s="26"/>
      <c r="D178" s="115"/>
      <c r="E178" s="34"/>
      <c r="F178" s="92"/>
      <c r="H178" s="116"/>
      <c r="I178" s="26"/>
      <c r="J178" s="101"/>
      <c r="K178" s="37"/>
      <c r="L178" s="26"/>
      <c r="M178" s="26"/>
      <c r="N178" s="26"/>
      <c r="O178" s="95"/>
      <c r="P178" s="97"/>
    </row>
    <row r="179" spans="3:16" x14ac:dyDescent="0.25">
      <c r="C179" s="26"/>
      <c r="D179" s="115"/>
      <c r="E179" s="34"/>
      <c r="F179" s="92"/>
      <c r="H179" s="116"/>
      <c r="I179" s="26"/>
      <c r="J179" s="101"/>
      <c r="K179" s="37"/>
      <c r="L179" s="26"/>
      <c r="M179" s="26"/>
      <c r="N179" s="26"/>
      <c r="O179" s="95"/>
      <c r="P179" s="97"/>
    </row>
    <row r="180" spans="3:16" x14ac:dyDescent="0.25">
      <c r="C180" s="26"/>
      <c r="D180" s="115"/>
      <c r="E180" s="34"/>
      <c r="F180" s="92"/>
      <c r="H180" s="116"/>
      <c r="I180" s="26"/>
      <c r="J180" s="101"/>
      <c r="K180" s="37"/>
      <c r="L180" s="26"/>
      <c r="M180" s="26"/>
      <c r="N180" s="26"/>
      <c r="O180" s="95"/>
      <c r="P180" s="97"/>
    </row>
    <row r="181" spans="3:16" x14ac:dyDescent="0.25">
      <c r="C181" s="26"/>
      <c r="D181" s="115"/>
      <c r="E181" s="34"/>
      <c r="F181" s="92"/>
      <c r="H181" s="116"/>
      <c r="I181" s="26"/>
      <c r="J181" s="101"/>
      <c r="K181" s="37"/>
      <c r="L181" s="26"/>
      <c r="M181" s="26"/>
      <c r="N181" s="26"/>
      <c r="O181" s="95"/>
      <c r="P181" s="97"/>
    </row>
    <row r="182" spans="3:16" x14ac:dyDescent="0.25">
      <c r="C182" s="26"/>
      <c r="D182" s="115"/>
      <c r="E182" s="34"/>
      <c r="F182" s="92"/>
      <c r="H182" s="116"/>
      <c r="I182" s="26"/>
      <c r="J182" s="101"/>
      <c r="K182" s="37"/>
      <c r="L182" s="26"/>
      <c r="M182" s="26"/>
      <c r="N182" s="26"/>
      <c r="O182" s="95"/>
      <c r="P182" s="97"/>
    </row>
    <row r="183" spans="3:16" x14ac:dyDescent="0.25">
      <c r="C183" s="26"/>
      <c r="D183" s="115"/>
      <c r="E183" s="34"/>
      <c r="F183" s="92"/>
      <c r="H183" s="116"/>
      <c r="I183" s="26"/>
      <c r="J183" s="101"/>
      <c r="K183" s="37"/>
      <c r="L183" s="26"/>
      <c r="M183" s="26"/>
      <c r="N183" s="26"/>
      <c r="O183" s="95"/>
      <c r="P183" s="97"/>
    </row>
    <row r="184" spans="3:16" x14ac:dyDescent="0.25">
      <c r="C184" s="26"/>
      <c r="D184" s="115"/>
      <c r="E184" s="34"/>
      <c r="F184" s="92"/>
      <c r="H184" s="116"/>
      <c r="I184" s="26"/>
      <c r="J184" s="101"/>
      <c r="K184" s="37"/>
      <c r="L184" s="26"/>
      <c r="M184" s="26"/>
      <c r="N184" s="26"/>
      <c r="O184" s="95"/>
      <c r="P184" s="97"/>
    </row>
    <row r="185" spans="3:16" x14ac:dyDescent="0.25">
      <c r="C185" s="26"/>
      <c r="D185" s="115"/>
      <c r="E185" s="34"/>
      <c r="F185" s="92"/>
      <c r="H185" s="116"/>
      <c r="I185" s="26"/>
      <c r="J185" s="101"/>
      <c r="K185" s="37"/>
      <c r="L185" s="26"/>
      <c r="M185" s="26"/>
      <c r="N185" s="26"/>
      <c r="O185" s="95"/>
      <c r="P185" s="97"/>
    </row>
    <row r="186" spans="3:16" x14ac:dyDescent="0.25">
      <c r="C186" s="26"/>
      <c r="D186" s="115"/>
      <c r="E186" s="34"/>
      <c r="F186" s="92"/>
      <c r="H186" s="116"/>
      <c r="I186" s="26"/>
      <c r="J186" s="101"/>
      <c r="K186" s="37"/>
      <c r="L186" s="26"/>
      <c r="M186" s="26"/>
      <c r="N186" s="26"/>
      <c r="O186" s="95"/>
      <c r="P186" s="97"/>
    </row>
    <row r="187" spans="3:16" x14ac:dyDescent="0.25">
      <c r="C187" s="26"/>
      <c r="D187" s="115"/>
      <c r="E187" s="34"/>
      <c r="F187" s="92"/>
      <c r="H187" s="116"/>
      <c r="I187" s="26"/>
      <c r="J187" s="101"/>
      <c r="K187" s="37"/>
      <c r="L187" s="26"/>
      <c r="M187" s="26"/>
      <c r="N187" s="26"/>
      <c r="O187" s="95"/>
      <c r="P187" s="97"/>
    </row>
    <row r="188" spans="3:16" x14ac:dyDescent="0.25">
      <c r="C188" s="26"/>
      <c r="D188" s="115"/>
      <c r="E188" s="34"/>
      <c r="F188" s="92"/>
      <c r="H188" s="116"/>
      <c r="I188" s="26"/>
      <c r="J188" s="101"/>
      <c r="K188" s="37"/>
      <c r="L188" s="26"/>
      <c r="M188" s="26"/>
      <c r="N188" s="26"/>
      <c r="O188" s="95"/>
      <c r="P188" s="97"/>
    </row>
    <row r="189" spans="3:16" x14ac:dyDescent="0.25">
      <c r="C189" s="26"/>
      <c r="D189" s="115"/>
      <c r="E189" s="34"/>
      <c r="F189" s="92"/>
      <c r="H189" s="116"/>
      <c r="I189" s="26"/>
      <c r="J189" s="101"/>
      <c r="K189" s="37"/>
      <c r="L189" s="26"/>
      <c r="M189" s="26"/>
      <c r="N189" s="26"/>
      <c r="O189" s="95"/>
      <c r="P189" s="97"/>
    </row>
    <row r="190" spans="3:16" x14ac:dyDescent="0.25">
      <c r="C190" s="26"/>
      <c r="D190" s="115"/>
      <c r="E190" s="34"/>
      <c r="F190" s="92"/>
      <c r="H190" s="116"/>
      <c r="I190" s="26"/>
      <c r="J190" s="101"/>
      <c r="K190" s="37"/>
      <c r="L190" s="26"/>
      <c r="M190" s="26"/>
      <c r="N190" s="26"/>
      <c r="O190" s="95"/>
      <c r="P190" s="97"/>
    </row>
    <row r="191" spans="3:16" x14ac:dyDescent="0.25">
      <c r="C191" s="26"/>
      <c r="D191" s="115"/>
      <c r="E191" s="34"/>
      <c r="F191" s="92"/>
      <c r="H191" s="116"/>
      <c r="I191" s="26"/>
      <c r="J191" s="101"/>
      <c r="K191" s="37"/>
      <c r="L191" s="26"/>
      <c r="M191" s="26"/>
      <c r="N191" s="26"/>
      <c r="O191" s="95"/>
      <c r="P191" s="97"/>
    </row>
    <row r="192" spans="3:16" x14ac:dyDescent="0.25">
      <c r="C192" s="26"/>
      <c r="D192" s="115"/>
      <c r="E192" s="34"/>
      <c r="F192" s="92"/>
      <c r="H192" s="116"/>
      <c r="I192" s="26"/>
      <c r="J192" s="101"/>
      <c r="K192" s="37"/>
      <c r="L192" s="26"/>
      <c r="M192" s="26"/>
      <c r="N192" s="26"/>
      <c r="O192" s="95"/>
      <c r="P192" s="97"/>
    </row>
    <row r="193" spans="3:16" x14ac:dyDescent="0.25">
      <c r="C193" s="26"/>
      <c r="D193" s="115"/>
      <c r="E193" s="34"/>
      <c r="F193" s="92"/>
      <c r="H193" s="116"/>
      <c r="I193" s="26"/>
      <c r="J193" s="101"/>
      <c r="K193" s="37"/>
      <c r="L193" s="26"/>
      <c r="M193" s="26"/>
      <c r="N193" s="26"/>
      <c r="O193" s="95"/>
      <c r="P193" s="97"/>
    </row>
    <row r="194" spans="3:16" x14ac:dyDescent="0.25">
      <c r="C194" s="26"/>
      <c r="D194" s="115"/>
      <c r="E194" s="34"/>
      <c r="F194" s="92"/>
      <c r="H194" s="116"/>
      <c r="I194" s="26"/>
      <c r="J194" s="101"/>
      <c r="K194" s="37"/>
      <c r="L194" s="26"/>
      <c r="M194" s="26"/>
      <c r="N194" s="26"/>
      <c r="O194" s="95"/>
      <c r="P194" s="97"/>
    </row>
    <row r="195" spans="3:16" x14ac:dyDescent="0.25">
      <c r="C195" s="26"/>
      <c r="D195" s="115"/>
      <c r="E195" s="34"/>
      <c r="F195" s="92"/>
      <c r="H195" s="116"/>
      <c r="I195" s="26"/>
      <c r="J195" s="101"/>
      <c r="K195" s="37"/>
      <c r="L195" s="26"/>
      <c r="M195" s="26"/>
      <c r="N195" s="26"/>
      <c r="O195" s="95"/>
      <c r="P195" s="97"/>
    </row>
    <row r="196" spans="3:16" x14ac:dyDescent="0.25">
      <c r="C196" s="26"/>
      <c r="D196" s="115"/>
      <c r="E196" s="34"/>
      <c r="F196" s="92"/>
      <c r="H196" s="116"/>
      <c r="I196" s="26"/>
      <c r="J196" s="101"/>
      <c r="K196" s="37"/>
      <c r="L196" s="26"/>
      <c r="M196" s="26"/>
      <c r="N196" s="26"/>
      <c r="O196" s="95"/>
      <c r="P196" s="97"/>
    </row>
    <row r="197" spans="3:16" x14ac:dyDescent="0.25">
      <c r="C197" s="26"/>
      <c r="D197" s="115"/>
      <c r="E197" s="34"/>
      <c r="F197" s="92"/>
      <c r="H197" s="116"/>
      <c r="I197" s="26"/>
      <c r="J197" s="101"/>
      <c r="K197" s="37"/>
      <c r="L197" s="26"/>
      <c r="M197" s="26"/>
      <c r="N197" s="26"/>
      <c r="O197" s="95"/>
      <c r="P197" s="97"/>
    </row>
    <row r="198" spans="3:16" x14ac:dyDescent="0.25">
      <c r="C198" s="26"/>
      <c r="D198" s="115"/>
      <c r="E198" s="34"/>
      <c r="F198" s="92"/>
      <c r="H198" s="116"/>
      <c r="I198" s="26"/>
      <c r="J198" s="101"/>
      <c r="K198" s="37"/>
      <c r="L198" s="26"/>
      <c r="M198" s="26"/>
      <c r="N198" s="26"/>
      <c r="O198" s="95"/>
      <c r="P198" s="97"/>
    </row>
    <row r="199" spans="3:16" x14ac:dyDescent="0.25">
      <c r="C199" s="26"/>
      <c r="D199" s="115"/>
      <c r="E199" s="34"/>
      <c r="F199" s="92"/>
      <c r="H199" s="116"/>
      <c r="I199" s="26"/>
      <c r="J199" s="101"/>
      <c r="K199" s="37"/>
      <c r="L199" s="26"/>
      <c r="M199" s="26"/>
      <c r="N199" s="26"/>
      <c r="O199" s="95"/>
      <c r="P199" s="97"/>
    </row>
    <row r="200" spans="3:16" x14ac:dyDescent="0.25">
      <c r="C200" s="26"/>
      <c r="D200" s="115"/>
      <c r="E200" s="34"/>
      <c r="F200" s="92"/>
      <c r="H200" s="116"/>
      <c r="I200" s="26"/>
      <c r="J200" s="101"/>
      <c r="K200" s="37"/>
      <c r="L200" s="26"/>
      <c r="M200" s="26"/>
      <c r="N200" s="26"/>
      <c r="O200" s="95"/>
      <c r="P200" s="97"/>
    </row>
    <row r="201" spans="3:16" x14ac:dyDescent="0.25">
      <c r="C201" s="26"/>
      <c r="D201" s="115"/>
      <c r="E201" s="34"/>
      <c r="F201" s="92"/>
      <c r="H201" s="116"/>
      <c r="I201" s="26"/>
      <c r="J201" s="101"/>
      <c r="K201" s="37"/>
      <c r="L201" s="26"/>
      <c r="M201" s="26"/>
      <c r="N201" s="26"/>
      <c r="O201" s="95"/>
      <c r="P201" s="97"/>
    </row>
    <row r="202" spans="3:16" x14ac:dyDescent="0.25">
      <c r="C202" s="26"/>
      <c r="D202" s="115"/>
      <c r="E202" s="34"/>
      <c r="F202" s="92"/>
      <c r="H202" s="116"/>
      <c r="I202" s="26"/>
      <c r="J202" s="101"/>
      <c r="K202" s="37"/>
      <c r="L202" s="26"/>
      <c r="M202" s="26"/>
      <c r="N202" s="26"/>
      <c r="O202" s="95"/>
      <c r="P202" s="97"/>
    </row>
    <row r="203" spans="3:16" x14ac:dyDescent="0.25">
      <c r="C203" s="26"/>
      <c r="D203" s="115"/>
      <c r="E203" s="34"/>
      <c r="F203" s="92"/>
      <c r="H203" s="116"/>
      <c r="I203" s="26"/>
      <c r="J203" s="101"/>
      <c r="K203" s="37"/>
      <c r="L203" s="26"/>
      <c r="M203" s="26"/>
      <c r="N203" s="26"/>
      <c r="O203" s="95"/>
      <c r="P203" s="97"/>
    </row>
    <row r="204" spans="3:16" x14ac:dyDescent="0.25">
      <c r="C204" s="26"/>
      <c r="D204" s="115"/>
      <c r="E204" s="34"/>
      <c r="F204" s="92"/>
      <c r="H204" s="116"/>
      <c r="I204" s="26"/>
      <c r="J204" s="101"/>
      <c r="K204" s="37"/>
      <c r="L204" s="26"/>
      <c r="M204" s="26"/>
      <c r="N204" s="26"/>
      <c r="O204" s="95"/>
      <c r="P204" s="97"/>
    </row>
    <row r="205" spans="3:16" x14ac:dyDescent="0.25">
      <c r="C205" s="26"/>
      <c r="D205" s="115"/>
      <c r="E205" s="34"/>
      <c r="F205" s="92"/>
      <c r="H205" s="116"/>
      <c r="I205" s="26"/>
      <c r="J205" s="101"/>
      <c r="K205" s="37"/>
      <c r="L205" s="26"/>
      <c r="M205" s="26"/>
      <c r="N205" s="26"/>
      <c r="O205" s="95"/>
      <c r="P205" s="97"/>
    </row>
    <row r="206" spans="3:16" x14ac:dyDescent="0.25">
      <c r="C206" s="26"/>
      <c r="D206" s="115"/>
      <c r="E206" s="34"/>
      <c r="F206" s="92"/>
      <c r="H206" s="116"/>
      <c r="I206" s="26"/>
      <c r="J206" s="101"/>
      <c r="K206" s="37"/>
      <c r="L206" s="26"/>
      <c r="M206" s="26"/>
      <c r="N206" s="26"/>
      <c r="O206" s="95"/>
      <c r="P206" s="97"/>
    </row>
    <row r="207" spans="3:16" x14ac:dyDescent="0.25">
      <c r="C207" s="26"/>
      <c r="D207" s="115"/>
      <c r="E207" s="34"/>
      <c r="F207" s="92"/>
      <c r="H207" s="116"/>
      <c r="I207" s="26"/>
      <c r="J207" s="101"/>
      <c r="K207" s="37"/>
      <c r="L207" s="26"/>
      <c r="M207" s="26"/>
      <c r="N207" s="26"/>
      <c r="O207" s="95"/>
      <c r="P207" s="97"/>
    </row>
    <row r="208" spans="3:16" x14ac:dyDescent="0.25">
      <c r="C208" s="26"/>
      <c r="D208" s="115"/>
      <c r="E208" s="34"/>
      <c r="F208" s="92"/>
      <c r="H208" s="116"/>
      <c r="I208" s="26"/>
      <c r="J208" s="101"/>
      <c r="K208" s="37"/>
      <c r="L208" s="26"/>
      <c r="M208" s="26"/>
      <c r="N208" s="26"/>
      <c r="O208" s="95"/>
      <c r="P208" s="97"/>
    </row>
    <row r="209" spans="3:16" x14ac:dyDescent="0.25">
      <c r="C209" s="26"/>
      <c r="D209" s="115"/>
      <c r="E209" s="34"/>
      <c r="F209" s="92"/>
      <c r="H209" s="116"/>
      <c r="I209" s="26"/>
      <c r="J209" s="101"/>
      <c r="K209" s="37"/>
      <c r="L209" s="26"/>
      <c r="M209" s="26"/>
      <c r="N209" s="26"/>
      <c r="O209" s="95"/>
      <c r="P209" s="97"/>
    </row>
    <row r="210" spans="3:16" x14ac:dyDescent="0.25">
      <c r="C210" s="26"/>
      <c r="D210" s="115"/>
      <c r="E210" s="34"/>
      <c r="F210" s="92"/>
      <c r="H210" s="116"/>
      <c r="I210" s="26"/>
      <c r="J210" s="101"/>
      <c r="K210" s="37"/>
      <c r="L210" s="26"/>
      <c r="M210" s="26"/>
      <c r="N210" s="26"/>
      <c r="O210" s="95"/>
      <c r="P210" s="97"/>
    </row>
    <row r="211" spans="3:16" x14ac:dyDescent="0.25">
      <c r="C211" s="26"/>
      <c r="D211" s="115"/>
      <c r="E211" s="34"/>
      <c r="F211" s="92"/>
      <c r="H211" s="116"/>
      <c r="I211" s="26"/>
      <c r="J211" s="101"/>
      <c r="K211" s="37"/>
      <c r="L211" s="26"/>
      <c r="M211" s="26"/>
      <c r="N211" s="26"/>
      <c r="O211" s="95"/>
      <c r="P211" s="97"/>
    </row>
    <row r="212" spans="3:16" x14ac:dyDescent="0.25">
      <c r="C212" s="26"/>
      <c r="D212" s="115"/>
      <c r="E212" s="34"/>
      <c r="F212" s="92"/>
      <c r="H212" s="116"/>
      <c r="I212" s="26"/>
      <c r="J212" s="101"/>
      <c r="K212" s="37"/>
      <c r="L212" s="26"/>
      <c r="M212" s="26"/>
      <c r="N212" s="26"/>
      <c r="O212" s="95"/>
      <c r="P212" s="97"/>
    </row>
    <row r="213" spans="3:16" x14ac:dyDescent="0.25">
      <c r="C213" s="26"/>
      <c r="D213" s="115"/>
      <c r="E213" s="34"/>
      <c r="F213" s="92"/>
      <c r="H213" s="116"/>
      <c r="I213" s="26"/>
      <c r="J213" s="101"/>
      <c r="K213" s="37"/>
      <c r="L213" s="26"/>
      <c r="M213" s="26"/>
      <c r="N213" s="26"/>
      <c r="O213" s="95"/>
      <c r="P213" s="97"/>
    </row>
    <row r="214" spans="3:16" x14ac:dyDescent="0.25">
      <c r="C214" s="26"/>
      <c r="D214" s="115"/>
      <c r="E214" s="34"/>
      <c r="F214" s="92"/>
      <c r="H214" s="116"/>
      <c r="I214" s="26"/>
      <c r="J214" s="101"/>
      <c r="K214" s="37"/>
      <c r="L214" s="26"/>
      <c r="M214" s="26"/>
      <c r="N214" s="26"/>
      <c r="O214" s="95"/>
      <c r="P214" s="97"/>
    </row>
    <row r="215" spans="3:16" x14ac:dyDescent="0.25">
      <c r="C215" s="26"/>
      <c r="D215" s="115"/>
      <c r="E215" s="34"/>
      <c r="F215" s="92"/>
      <c r="H215" s="116"/>
      <c r="I215" s="26"/>
      <c r="J215" s="101"/>
      <c r="K215" s="37"/>
      <c r="L215" s="26"/>
      <c r="M215" s="26"/>
      <c r="N215" s="26"/>
      <c r="O215" s="95"/>
      <c r="P215" s="97"/>
    </row>
    <row r="216" spans="3:16" x14ac:dyDescent="0.25">
      <c r="C216" s="26"/>
      <c r="D216" s="115"/>
      <c r="E216" s="34"/>
      <c r="F216" s="92"/>
      <c r="H216" s="116"/>
      <c r="I216" s="26"/>
      <c r="J216" s="101"/>
      <c r="K216" s="37"/>
      <c r="L216" s="26"/>
      <c r="M216" s="26"/>
      <c r="N216" s="26"/>
      <c r="O216" s="95"/>
      <c r="P216" s="97"/>
    </row>
    <row r="217" spans="3:16" x14ac:dyDescent="0.25">
      <c r="C217" s="26"/>
      <c r="D217" s="115"/>
      <c r="E217" s="34"/>
      <c r="F217" s="92"/>
      <c r="H217" s="116"/>
      <c r="I217" s="26"/>
      <c r="J217" s="101"/>
      <c r="K217" s="37"/>
      <c r="L217" s="26"/>
      <c r="M217" s="26"/>
      <c r="N217" s="26"/>
      <c r="O217" s="95"/>
      <c r="P217" s="97"/>
    </row>
    <row r="218" spans="3:16" x14ac:dyDescent="0.25">
      <c r="C218" s="26"/>
      <c r="D218" s="115"/>
      <c r="E218" s="34"/>
      <c r="F218" s="92"/>
      <c r="H218" s="116"/>
      <c r="I218" s="26"/>
      <c r="J218" s="101"/>
      <c r="K218" s="37"/>
      <c r="L218" s="26"/>
      <c r="M218" s="26"/>
      <c r="N218" s="26"/>
      <c r="O218" s="95"/>
      <c r="P218" s="97"/>
    </row>
    <row r="219" spans="3:16" x14ac:dyDescent="0.25">
      <c r="C219" s="26"/>
      <c r="D219" s="115"/>
      <c r="E219" s="34"/>
      <c r="F219" s="92"/>
      <c r="H219" s="116"/>
      <c r="I219" s="26"/>
      <c r="J219" s="101"/>
      <c r="K219" s="37"/>
      <c r="L219" s="26"/>
      <c r="M219" s="26"/>
      <c r="N219" s="26"/>
      <c r="O219" s="95"/>
      <c r="P219" s="97"/>
    </row>
    <row r="220" spans="3:16" x14ac:dyDescent="0.25">
      <c r="C220" s="26"/>
      <c r="D220" s="115"/>
      <c r="E220" s="34"/>
      <c r="F220" s="92"/>
      <c r="H220" s="116"/>
      <c r="I220" s="26"/>
      <c r="J220" s="101"/>
      <c r="K220" s="37"/>
      <c r="L220" s="26"/>
      <c r="M220" s="26"/>
      <c r="N220" s="26"/>
      <c r="O220" s="95"/>
      <c r="P220" s="97"/>
    </row>
    <row r="221" spans="3:16" x14ac:dyDescent="0.25">
      <c r="C221" s="26"/>
      <c r="D221" s="115"/>
      <c r="E221" s="34"/>
      <c r="F221" s="92"/>
      <c r="H221" s="116"/>
      <c r="I221" s="26"/>
      <c r="J221" s="101"/>
      <c r="K221" s="37"/>
      <c r="L221" s="26"/>
      <c r="M221" s="26"/>
      <c r="N221" s="26"/>
      <c r="O221" s="95"/>
      <c r="P221" s="97"/>
    </row>
    <row r="222" spans="3:16" x14ac:dyDescent="0.25">
      <c r="C222" s="26"/>
      <c r="D222" s="115"/>
      <c r="E222" s="34"/>
      <c r="F222" s="92"/>
      <c r="H222" s="116"/>
      <c r="I222" s="26"/>
      <c r="J222" s="101"/>
      <c r="K222" s="37"/>
      <c r="L222" s="26"/>
      <c r="M222" s="26"/>
      <c r="N222" s="26"/>
      <c r="O222" s="95"/>
      <c r="P222" s="97"/>
    </row>
    <row r="223" spans="3:16" x14ac:dyDescent="0.25">
      <c r="C223" s="26"/>
      <c r="D223" s="115"/>
      <c r="E223" s="34"/>
      <c r="F223" s="92"/>
      <c r="H223" s="116"/>
      <c r="I223" s="26"/>
      <c r="J223" s="101"/>
      <c r="K223" s="37"/>
      <c r="L223" s="26"/>
      <c r="M223" s="26"/>
      <c r="N223" s="26"/>
      <c r="O223" s="95"/>
      <c r="P223" s="97"/>
    </row>
    <row r="224" spans="3:16" x14ac:dyDescent="0.25">
      <c r="C224" s="26"/>
      <c r="D224" s="115"/>
      <c r="E224" s="34"/>
      <c r="F224" s="92"/>
      <c r="H224" s="116"/>
      <c r="I224" s="26"/>
      <c r="J224" s="101"/>
      <c r="K224" s="37"/>
      <c r="L224" s="26"/>
      <c r="M224" s="26"/>
      <c r="N224" s="26"/>
      <c r="O224" s="95"/>
      <c r="P224" s="97"/>
    </row>
    <row r="225" spans="3:16" x14ac:dyDescent="0.25">
      <c r="C225" s="26"/>
      <c r="D225" s="115"/>
      <c r="E225" s="34"/>
      <c r="F225" s="92"/>
      <c r="H225" s="116"/>
      <c r="I225" s="26"/>
      <c r="J225" s="101"/>
      <c r="K225" s="37"/>
      <c r="L225" s="26"/>
      <c r="M225" s="26"/>
      <c r="N225" s="26"/>
      <c r="O225" s="95"/>
      <c r="P225" s="97"/>
    </row>
    <row r="226" spans="3:16" x14ac:dyDescent="0.25">
      <c r="C226" s="26"/>
      <c r="D226" s="115"/>
      <c r="E226" s="34"/>
      <c r="F226" s="92"/>
      <c r="H226" s="116"/>
      <c r="I226" s="26"/>
      <c r="J226" s="101"/>
      <c r="K226" s="37"/>
      <c r="L226" s="26"/>
      <c r="M226" s="26"/>
      <c r="N226" s="26"/>
      <c r="O226" s="95"/>
      <c r="P226" s="97"/>
    </row>
    <row r="227" spans="3:16" x14ac:dyDescent="0.25">
      <c r="C227" s="26"/>
      <c r="D227" s="115"/>
      <c r="E227" s="34"/>
      <c r="F227" s="92"/>
      <c r="H227" s="116"/>
      <c r="I227" s="26"/>
      <c r="J227" s="101"/>
      <c r="K227" s="37"/>
      <c r="L227" s="26"/>
      <c r="M227" s="26"/>
      <c r="N227" s="26"/>
      <c r="O227" s="95"/>
      <c r="P227" s="97"/>
    </row>
    <row r="228" spans="3:16" x14ac:dyDescent="0.25">
      <c r="C228" s="26"/>
      <c r="D228" s="115"/>
      <c r="E228" s="34"/>
      <c r="F228" s="92"/>
      <c r="H228" s="116"/>
      <c r="I228" s="26"/>
      <c r="J228" s="101"/>
      <c r="K228" s="37"/>
      <c r="L228" s="26"/>
      <c r="M228" s="26"/>
      <c r="N228" s="26"/>
      <c r="O228" s="95"/>
      <c r="P228" s="97"/>
    </row>
    <row r="229" spans="3:16" x14ac:dyDescent="0.25">
      <c r="C229" s="26"/>
      <c r="D229" s="115"/>
      <c r="E229" s="34"/>
      <c r="F229" s="92"/>
      <c r="H229" s="116"/>
      <c r="I229" s="26"/>
      <c r="J229" s="101"/>
      <c r="K229" s="37"/>
      <c r="L229" s="26"/>
      <c r="M229" s="26"/>
      <c r="N229" s="26"/>
      <c r="O229" s="95"/>
      <c r="P229" s="97"/>
    </row>
    <row r="230" spans="3:16" x14ac:dyDescent="0.25">
      <c r="C230" s="26"/>
      <c r="D230" s="115"/>
      <c r="E230" s="34"/>
      <c r="F230" s="92"/>
      <c r="H230" s="116"/>
      <c r="I230" s="26"/>
      <c r="J230" s="101"/>
      <c r="K230" s="37"/>
      <c r="L230" s="26"/>
      <c r="M230" s="26"/>
      <c r="N230" s="26"/>
      <c r="O230" s="95"/>
      <c r="P230" s="97"/>
    </row>
    <row r="231" spans="3:16" x14ac:dyDescent="0.25">
      <c r="C231" s="26"/>
      <c r="D231" s="115"/>
      <c r="E231" s="34"/>
      <c r="F231" s="92"/>
      <c r="H231" s="116"/>
      <c r="I231" s="26"/>
      <c r="J231" s="101"/>
      <c r="K231" s="37"/>
      <c r="L231" s="26"/>
      <c r="M231" s="26"/>
      <c r="N231" s="26"/>
      <c r="O231" s="95"/>
      <c r="P231" s="97"/>
    </row>
    <row r="232" spans="3:16" x14ac:dyDescent="0.25">
      <c r="C232" s="26"/>
      <c r="D232" s="115"/>
      <c r="E232" s="34"/>
      <c r="F232" s="92"/>
      <c r="H232" s="116"/>
      <c r="I232" s="26"/>
      <c r="J232" s="101"/>
      <c r="K232" s="37"/>
      <c r="L232" s="26"/>
      <c r="M232" s="26"/>
      <c r="N232" s="26"/>
      <c r="O232" s="95"/>
      <c r="P232" s="97"/>
    </row>
    <row r="233" spans="3:16" x14ac:dyDescent="0.25">
      <c r="C233" s="26"/>
      <c r="D233" s="115"/>
      <c r="E233" s="34"/>
      <c r="F233" s="92"/>
      <c r="H233" s="116"/>
      <c r="I233" s="26"/>
      <c r="J233" s="101"/>
      <c r="K233" s="37"/>
      <c r="L233" s="26"/>
      <c r="M233" s="26"/>
      <c r="N233" s="26"/>
      <c r="O233" s="95"/>
      <c r="P233" s="97"/>
    </row>
    <row r="234" spans="3:16" x14ac:dyDescent="0.25">
      <c r="C234" s="26"/>
      <c r="D234" s="115"/>
      <c r="E234" s="34"/>
      <c r="F234" s="92"/>
      <c r="H234" s="116"/>
      <c r="I234" s="26"/>
      <c r="J234" s="101"/>
      <c r="K234" s="37"/>
      <c r="L234" s="26"/>
      <c r="M234" s="26"/>
      <c r="N234" s="26"/>
      <c r="O234" s="95"/>
      <c r="P234" s="97"/>
    </row>
    <row r="235" spans="3:16" x14ac:dyDescent="0.25">
      <c r="C235" s="26"/>
      <c r="D235" s="115"/>
      <c r="E235" s="34"/>
      <c r="F235" s="92"/>
      <c r="H235" s="116"/>
      <c r="I235" s="26"/>
      <c r="J235" s="101"/>
      <c r="K235" s="37"/>
      <c r="L235" s="26"/>
      <c r="M235" s="26"/>
      <c r="N235" s="26"/>
      <c r="O235" s="95"/>
      <c r="P235" s="97"/>
    </row>
    <row r="236" spans="3:16" x14ac:dyDescent="0.25">
      <c r="C236" s="26"/>
      <c r="D236" s="115"/>
      <c r="E236" s="34"/>
      <c r="F236" s="92"/>
      <c r="H236" s="116"/>
      <c r="I236" s="26"/>
      <c r="J236" s="101"/>
      <c r="K236" s="37"/>
      <c r="L236" s="26"/>
      <c r="M236" s="26"/>
      <c r="N236" s="26"/>
      <c r="O236" s="95"/>
      <c r="P236" s="97"/>
    </row>
    <row r="237" spans="3:16" x14ac:dyDescent="0.25">
      <c r="C237" s="26"/>
      <c r="D237" s="115"/>
      <c r="E237" s="34"/>
      <c r="F237" s="92"/>
      <c r="H237" s="116"/>
      <c r="I237" s="26"/>
      <c r="J237" s="101"/>
      <c r="K237" s="37"/>
      <c r="L237" s="26"/>
      <c r="M237" s="26"/>
      <c r="N237" s="26"/>
      <c r="O237" s="95"/>
      <c r="P237" s="97"/>
    </row>
    <row r="238" spans="3:16" x14ac:dyDescent="0.25">
      <c r="C238" s="26"/>
      <c r="D238" s="115"/>
      <c r="E238" s="34"/>
      <c r="F238" s="92"/>
      <c r="H238" s="116"/>
      <c r="I238" s="26"/>
      <c r="J238" s="101"/>
      <c r="K238" s="37"/>
      <c r="L238" s="26"/>
      <c r="M238" s="26"/>
      <c r="N238" s="26"/>
      <c r="O238" s="95"/>
      <c r="P238" s="97"/>
    </row>
    <row r="239" spans="3:16" x14ac:dyDescent="0.25">
      <c r="C239" s="26"/>
      <c r="D239" s="115"/>
      <c r="E239" s="34"/>
      <c r="F239" s="92"/>
      <c r="H239" s="116"/>
      <c r="I239" s="26"/>
      <c r="J239" s="101"/>
      <c r="K239" s="37"/>
      <c r="L239" s="26"/>
      <c r="M239" s="26"/>
      <c r="N239" s="26"/>
      <c r="O239" s="95"/>
      <c r="P239" s="97"/>
    </row>
    <row r="240" spans="3:16" x14ac:dyDescent="0.25">
      <c r="C240" s="26"/>
      <c r="D240" s="115"/>
      <c r="E240" s="34"/>
      <c r="F240" s="92"/>
      <c r="H240" s="116"/>
      <c r="I240" s="26"/>
      <c r="J240" s="101"/>
      <c r="K240" s="37"/>
      <c r="L240" s="26"/>
      <c r="M240" s="26"/>
      <c r="N240" s="26"/>
      <c r="O240" s="95"/>
      <c r="P240" s="97"/>
    </row>
    <row r="241" spans="3:16" x14ac:dyDescent="0.25">
      <c r="C241" s="26"/>
      <c r="D241" s="115"/>
      <c r="E241" s="34"/>
      <c r="F241" s="92"/>
      <c r="H241" s="116"/>
      <c r="I241" s="26"/>
      <c r="J241" s="101"/>
      <c r="K241" s="37"/>
      <c r="L241" s="26"/>
      <c r="M241" s="26"/>
      <c r="N241" s="26"/>
      <c r="O241" s="95"/>
      <c r="P241" s="97"/>
    </row>
    <row r="242" spans="3:16" x14ac:dyDescent="0.25">
      <c r="C242" s="26"/>
      <c r="D242" s="115"/>
      <c r="E242" s="34"/>
      <c r="F242" s="92"/>
      <c r="H242" s="116"/>
      <c r="I242" s="26"/>
      <c r="J242" s="101"/>
      <c r="K242" s="37"/>
      <c r="L242" s="26"/>
      <c r="M242" s="26"/>
      <c r="N242" s="26"/>
      <c r="O242" s="95"/>
      <c r="P242" s="97"/>
    </row>
    <row r="243" spans="3:16" x14ac:dyDescent="0.25">
      <c r="C243" s="26"/>
      <c r="D243" s="115"/>
      <c r="E243" s="34"/>
      <c r="F243" s="92"/>
      <c r="H243" s="116"/>
      <c r="I243" s="26"/>
      <c r="J243" s="101"/>
      <c r="K243" s="37"/>
      <c r="L243" s="26"/>
      <c r="M243" s="26"/>
      <c r="N243" s="26"/>
      <c r="O243" s="95"/>
      <c r="P243" s="97"/>
    </row>
    <row r="244" spans="3:16" x14ac:dyDescent="0.25">
      <c r="C244" s="26"/>
      <c r="D244" s="115"/>
      <c r="E244" s="34"/>
      <c r="F244" s="92"/>
      <c r="H244" s="116"/>
      <c r="I244" s="26"/>
      <c r="J244" s="101"/>
      <c r="K244" s="37"/>
      <c r="L244" s="26"/>
      <c r="M244" s="26"/>
      <c r="N244" s="26"/>
      <c r="O244" s="95"/>
      <c r="P244" s="97"/>
    </row>
    <row r="245" spans="3:16" x14ac:dyDescent="0.25">
      <c r="C245" s="26"/>
      <c r="D245" s="115"/>
      <c r="E245" s="34"/>
      <c r="F245" s="92"/>
      <c r="H245" s="116"/>
      <c r="I245" s="26"/>
      <c r="J245" s="101"/>
      <c r="K245" s="37"/>
      <c r="L245" s="26"/>
      <c r="M245" s="26"/>
      <c r="N245" s="26"/>
      <c r="O245" s="95"/>
      <c r="P245" s="97"/>
    </row>
    <row r="246" spans="3:16" x14ac:dyDescent="0.25">
      <c r="C246" s="26"/>
      <c r="D246" s="115"/>
      <c r="E246" s="34"/>
      <c r="F246" s="92"/>
      <c r="H246" s="116"/>
      <c r="I246" s="26"/>
      <c r="J246" s="101"/>
      <c r="K246" s="37"/>
      <c r="L246" s="26"/>
      <c r="M246" s="26"/>
      <c r="N246" s="26"/>
      <c r="O246" s="95"/>
      <c r="P246" s="97"/>
    </row>
    <row r="247" spans="3:16" x14ac:dyDescent="0.25">
      <c r="C247" s="26"/>
      <c r="D247" s="115"/>
      <c r="E247" s="34"/>
      <c r="F247" s="92"/>
      <c r="H247" s="116"/>
      <c r="I247" s="26"/>
      <c r="J247" s="101"/>
      <c r="K247" s="37"/>
      <c r="L247" s="26"/>
      <c r="M247" s="26"/>
      <c r="N247" s="26"/>
      <c r="O247" s="95"/>
      <c r="P247" s="97"/>
    </row>
    <row r="248" spans="3:16" x14ac:dyDescent="0.25">
      <c r="C248" s="26"/>
      <c r="D248" s="115"/>
      <c r="E248" s="34"/>
      <c r="F248" s="92"/>
      <c r="H248" s="116"/>
      <c r="I248" s="26"/>
      <c r="J248" s="101"/>
      <c r="K248" s="37"/>
      <c r="L248" s="26"/>
      <c r="M248" s="26"/>
      <c r="N248" s="26"/>
      <c r="O248" s="95"/>
      <c r="P248" s="97"/>
    </row>
    <row r="249" spans="3:16" x14ac:dyDescent="0.25">
      <c r="C249" s="26"/>
      <c r="D249" s="115"/>
      <c r="E249" s="34"/>
      <c r="F249" s="92"/>
      <c r="H249" s="116"/>
      <c r="I249" s="26"/>
      <c r="J249" s="101"/>
      <c r="K249" s="37"/>
      <c r="L249" s="26"/>
      <c r="M249" s="26"/>
      <c r="N249" s="26"/>
      <c r="O249" s="95"/>
      <c r="P249" s="97"/>
    </row>
    <row r="250" spans="3:16" x14ac:dyDescent="0.25">
      <c r="C250" s="26"/>
      <c r="D250" s="115"/>
      <c r="E250" s="34"/>
      <c r="F250" s="92"/>
      <c r="H250" s="116"/>
      <c r="I250" s="26"/>
      <c r="J250" s="101"/>
      <c r="K250" s="37"/>
      <c r="L250" s="26"/>
      <c r="M250" s="26"/>
      <c r="N250" s="26"/>
      <c r="O250" s="95"/>
      <c r="P250" s="97"/>
    </row>
    <row r="251" spans="3:16" x14ac:dyDescent="0.25">
      <c r="C251" s="26"/>
      <c r="D251" s="115"/>
      <c r="E251" s="34"/>
      <c r="F251" s="92"/>
      <c r="H251" s="116"/>
      <c r="I251" s="26"/>
      <c r="J251" s="101"/>
      <c r="K251" s="37"/>
      <c r="L251" s="26"/>
      <c r="M251" s="26"/>
      <c r="N251" s="26"/>
      <c r="O251" s="95"/>
      <c r="P251" s="97"/>
    </row>
    <row r="252" spans="3:16" x14ac:dyDescent="0.25">
      <c r="C252" s="26"/>
      <c r="D252" s="115"/>
      <c r="E252" s="34"/>
      <c r="F252" s="92"/>
      <c r="H252" s="116"/>
      <c r="I252" s="26"/>
      <c r="J252" s="101"/>
      <c r="K252" s="37"/>
      <c r="L252" s="26"/>
      <c r="M252" s="26"/>
      <c r="N252" s="26"/>
      <c r="O252" s="95"/>
      <c r="P252" s="97"/>
    </row>
    <row r="253" spans="3:16" x14ac:dyDescent="0.25">
      <c r="C253" s="26"/>
      <c r="D253" s="115"/>
      <c r="E253" s="34"/>
      <c r="F253" s="92"/>
      <c r="H253" s="116"/>
      <c r="I253" s="26"/>
      <c r="J253" s="101"/>
      <c r="K253" s="37"/>
      <c r="L253" s="26"/>
      <c r="M253" s="26"/>
      <c r="N253" s="26"/>
      <c r="O253" s="95"/>
      <c r="P253" s="97"/>
    </row>
    <row r="254" spans="3:16" x14ac:dyDescent="0.25">
      <c r="C254" s="26"/>
      <c r="D254" s="115"/>
      <c r="E254" s="34"/>
      <c r="F254" s="92"/>
      <c r="H254" s="116"/>
      <c r="I254" s="26"/>
      <c r="J254" s="101"/>
      <c r="K254" s="37"/>
      <c r="L254" s="26"/>
      <c r="M254" s="26"/>
      <c r="N254" s="26"/>
      <c r="O254" s="95"/>
      <c r="P254" s="97"/>
    </row>
    <row r="255" spans="3:16" x14ac:dyDescent="0.25">
      <c r="C255" s="26"/>
      <c r="D255" s="115"/>
      <c r="E255" s="34"/>
      <c r="F255" s="92"/>
      <c r="H255" s="116"/>
      <c r="I255" s="26"/>
      <c r="J255" s="101"/>
      <c r="K255" s="37"/>
      <c r="L255" s="26"/>
      <c r="M255" s="26"/>
      <c r="N255" s="26"/>
      <c r="O255" s="95"/>
      <c r="P255" s="97"/>
    </row>
    <row r="256" spans="3:16" x14ac:dyDescent="0.25">
      <c r="C256" s="26"/>
      <c r="D256" s="115"/>
      <c r="E256" s="34"/>
      <c r="F256" s="92"/>
      <c r="H256" s="116"/>
      <c r="I256" s="26"/>
      <c r="J256" s="101"/>
      <c r="K256" s="37"/>
      <c r="L256" s="26"/>
      <c r="M256" s="26"/>
      <c r="N256" s="26"/>
      <c r="O256" s="95"/>
      <c r="P256" s="97"/>
    </row>
    <row r="257" spans="3:16" x14ac:dyDescent="0.25">
      <c r="C257" s="26"/>
      <c r="D257" s="115"/>
      <c r="E257" s="34"/>
      <c r="F257" s="92"/>
      <c r="H257" s="116"/>
      <c r="I257" s="26"/>
      <c r="J257" s="101"/>
      <c r="K257" s="37"/>
      <c r="L257" s="26"/>
      <c r="M257" s="26"/>
      <c r="N257" s="26"/>
      <c r="O257" s="95"/>
      <c r="P257" s="97"/>
    </row>
    <row r="258" spans="3:16" x14ac:dyDescent="0.25">
      <c r="C258" s="26"/>
      <c r="D258" s="115"/>
      <c r="E258" s="34"/>
      <c r="F258" s="92"/>
      <c r="H258" s="116"/>
      <c r="I258" s="26"/>
      <c r="J258" s="101"/>
      <c r="K258" s="37"/>
      <c r="L258" s="26"/>
      <c r="M258" s="26"/>
      <c r="N258" s="26"/>
      <c r="O258" s="95"/>
      <c r="P258" s="97"/>
    </row>
    <row r="259" spans="3:16" x14ac:dyDescent="0.25">
      <c r="C259" s="26"/>
      <c r="D259" s="115"/>
      <c r="E259" s="34"/>
      <c r="F259" s="92"/>
      <c r="H259" s="116"/>
      <c r="I259" s="26"/>
      <c r="J259" s="101"/>
      <c r="K259" s="37"/>
      <c r="L259" s="26"/>
      <c r="M259" s="26"/>
      <c r="N259" s="26"/>
      <c r="O259" s="95"/>
      <c r="P259" s="97"/>
    </row>
    <row r="260" spans="3:16" x14ac:dyDescent="0.25">
      <c r="C260" s="26"/>
      <c r="D260" s="115"/>
      <c r="E260" s="34"/>
      <c r="F260" s="92"/>
      <c r="H260" s="116"/>
      <c r="I260" s="26"/>
      <c r="J260" s="101"/>
      <c r="K260" s="37"/>
      <c r="L260" s="26"/>
      <c r="M260" s="26"/>
      <c r="N260" s="26"/>
      <c r="O260" s="95"/>
      <c r="P260" s="97"/>
    </row>
    <row r="261" spans="3:16" x14ac:dyDescent="0.25">
      <c r="C261" s="26"/>
      <c r="D261" s="115"/>
      <c r="E261" s="34"/>
      <c r="F261" s="92"/>
      <c r="H261" s="116"/>
      <c r="I261" s="26"/>
      <c r="J261" s="101"/>
      <c r="K261" s="37"/>
      <c r="L261" s="26"/>
      <c r="M261" s="26"/>
      <c r="N261" s="26"/>
      <c r="O261" s="95"/>
      <c r="P261" s="97"/>
    </row>
    <row r="262" spans="3:16" x14ac:dyDescent="0.25">
      <c r="C262" s="26"/>
      <c r="D262" s="115"/>
      <c r="E262" s="34"/>
      <c r="F262" s="92"/>
      <c r="H262" s="116"/>
      <c r="I262" s="26"/>
      <c r="J262" s="101"/>
      <c r="K262" s="37"/>
      <c r="L262" s="26"/>
      <c r="M262" s="26"/>
      <c r="N262" s="26"/>
      <c r="O262" s="95"/>
      <c r="P262" s="97"/>
    </row>
    <row r="263" spans="3:16" x14ac:dyDescent="0.25">
      <c r="C263" s="26"/>
      <c r="D263" s="115"/>
      <c r="E263" s="34"/>
      <c r="F263" s="92"/>
      <c r="H263" s="116"/>
      <c r="I263" s="26"/>
      <c r="J263" s="101"/>
      <c r="K263" s="37"/>
      <c r="L263" s="26"/>
      <c r="M263" s="26"/>
      <c r="N263" s="26"/>
      <c r="O263" s="95"/>
      <c r="P263" s="97"/>
    </row>
    <row r="264" spans="3:16" x14ac:dyDescent="0.25">
      <c r="C264" s="26"/>
      <c r="D264" s="115"/>
      <c r="E264" s="34"/>
      <c r="F264" s="92"/>
      <c r="H264" s="116"/>
      <c r="I264" s="26"/>
      <c r="J264" s="101"/>
      <c r="K264" s="37"/>
      <c r="L264" s="26"/>
      <c r="M264" s="26"/>
      <c r="N264" s="26"/>
      <c r="O264" s="95"/>
      <c r="P264" s="97"/>
    </row>
    <row r="265" spans="3:16" x14ac:dyDescent="0.25">
      <c r="C265" s="26"/>
      <c r="D265" s="115"/>
      <c r="E265" s="34"/>
      <c r="F265" s="92"/>
      <c r="H265" s="116"/>
      <c r="I265" s="26"/>
      <c r="J265" s="101"/>
      <c r="K265" s="37"/>
      <c r="L265" s="26"/>
      <c r="M265" s="26"/>
      <c r="N265" s="26"/>
      <c r="O265" s="95"/>
      <c r="P265" s="97"/>
    </row>
    <row r="266" spans="3:16" x14ac:dyDescent="0.25">
      <c r="C266" s="26"/>
      <c r="D266" s="115"/>
      <c r="E266" s="34"/>
      <c r="F266" s="92"/>
      <c r="H266" s="116"/>
      <c r="I266" s="26"/>
      <c r="J266" s="101"/>
      <c r="K266" s="37"/>
      <c r="L266" s="26"/>
      <c r="M266" s="26"/>
      <c r="N266" s="26"/>
      <c r="O266" s="95"/>
      <c r="P266" s="97"/>
    </row>
    <row r="267" spans="3:16" x14ac:dyDescent="0.25">
      <c r="C267" s="26"/>
      <c r="D267" s="115"/>
      <c r="E267" s="34"/>
      <c r="F267" s="92"/>
      <c r="H267" s="116"/>
      <c r="I267" s="26"/>
      <c r="J267" s="101"/>
      <c r="K267" s="37"/>
      <c r="L267" s="26"/>
      <c r="M267" s="26"/>
      <c r="N267" s="26"/>
      <c r="O267" s="95"/>
      <c r="P267" s="97"/>
    </row>
    <row r="268" spans="3:16" x14ac:dyDescent="0.25">
      <c r="C268" s="26"/>
      <c r="D268" s="115"/>
      <c r="E268" s="34"/>
      <c r="F268" s="92"/>
      <c r="H268" s="116"/>
      <c r="I268" s="26"/>
      <c r="J268" s="101"/>
      <c r="K268" s="37"/>
      <c r="L268" s="26"/>
      <c r="M268" s="26"/>
      <c r="N268" s="26"/>
      <c r="O268" s="95"/>
      <c r="P268" s="97"/>
    </row>
    <row r="269" spans="3:16" x14ac:dyDescent="0.25">
      <c r="C269" s="26"/>
      <c r="D269" s="115"/>
      <c r="E269" s="34"/>
      <c r="F269" s="92"/>
      <c r="H269" s="116"/>
      <c r="I269" s="26"/>
      <c r="J269" s="101"/>
      <c r="K269" s="37"/>
      <c r="L269" s="26"/>
      <c r="M269" s="26"/>
      <c r="N269" s="26"/>
      <c r="O269" s="95"/>
      <c r="P269" s="97"/>
    </row>
    <row r="270" spans="3:16" x14ac:dyDescent="0.25">
      <c r="C270" s="26"/>
      <c r="D270" s="115"/>
      <c r="E270" s="34"/>
      <c r="F270" s="92"/>
      <c r="H270" s="116"/>
      <c r="I270" s="26"/>
      <c r="J270" s="101"/>
      <c r="K270" s="37"/>
      <c r="L270" s="26"/>
      <c r="M270" s="26"/>
      <c r="N270" s="26"/>
      <c r="O270" s="95"/>
      <c r="P270" s="97"/>
    </row>
    <row r="271" spans="3:16" x14ac:dyDescent="0.25">
      <c r="C271" s="26"/>
      <c r="D271" s="115"/>
      <c r="E271" s="34"/>
      <c r="F271" s="92"/>
      <c r="H271" s="116"/>
      <c r="I271" s="26"/>
      <c r="J271" s="101"/>
      <c r="K271" s="37"/>
      <c r="L271" s="26"/>
      <c r="M271" s="26"/>
      <c r="N271" s="26"/>
      <c r="O271" s="95"/>
      <c r="P271" s="97"/>
    </row>
    <row r="272" spans="3:16" x14ac:dyDescent="0.25">
      <c r="C272" s="26"/>
      <c r="D272" s="115"/>
      <c r="E272" s="34"/>
      <c r="F272" s="92"/>
      <c r="H272" s="116"/>
      <c r="I272" s="26"/>
      <c r="J272" s="101"/>
      <c r="K272" s="37"/>
      <c r="L272" s="26"/>
      <c r="M272" s="26"/>
      <c r="N272" s="26"/>
      <c r="O272" s="95"/>
      <c r="P272" s="97"/>
    </row>
    <row r="273" spans="3:16" x14ac:dyDescent="0.25">
      <c r="C273" s="26"/>
      <c r="D273" s="115"/>
      <c r="E273" s="34"/>
      <c r="F273" s="92"/>
      <c r="H273" s="116"/>
      <c r="I273" s="26"/>
      <c r="J273" s="101"/>
      <c r="K273" s="37"/>
      <c r="L273" s="26"/>
      <c r="M273" s="26"/>
      <c r="N273" s="26"/>
      <c r="O273" s="95"/>
      <c r="P273" s="97"/>
    </row>
    <row r="274" spans="3:16" x14ac:dyDescent="0.25">
      <c r="C274" s="26"/>
      <c r="D274" s="115"/>
      <c r="E274" s="34"/>
      <c r="F274" s="92"/>
      <c r="H274" s="116"/>
      <c r="I274" s="26"/>
      <c r="J274" s="101"/>
      <c r="K274" s="37"/>
      <c r="L274" s="26"/>
      <c r="M274" s="26"/>
      <c r="N274" s="26"/>
      <c r="O274" s="95"/>
      <c r="P274" s="97"/>
    </row>
    <row r="275" spans="3:16" x14ac:dyDescent="0.25">
      <c r="C275" s="26"/>
      <c r="D275" s="115"/>
      <c r="E275" s="34"/>
      <c r="F275" s="92"/>
      <c r="H275" s="116"/>
      <c r="I275" s="26"/>
      <c r="J275" s="101"/>
      <c r="K275" s="37"/>
      <c r="L275" s="26"/>
      <c r="M275" s="26"/>
      <c r="N275" s="26"/>
      <c r="O275" s="95"/>
      <c r="P275" s="97"/>
    </row>
    <row r="276" spans="3:16" x14ac:dyDescent="0.25">
      <c r="C276" s="26"/>
      <c r="D276" s="115"/>
      <c r="E276" s="34"/>
      <c r="F276" s="92"/>
      <c r="H276" s="116"/>
      <c r="I276" s="26"/>
      <c r="J276" s="101"/>
      <c r="K276" s="37"/>
      <c r="L276" s="26"/>
      <c r="M276" s="26"/>
      <c r="N276" s="26"/>
      <c r="O276" s="95"/>
      <c r="P276" s="97"/>
    </row>
    <row r="277" spans="3:16" x14ac:dyDescent="0.25">
      <c r="C277" s="26"/>
      <c r="D277" s="115"/>
      <c r="E277" s="34"/>
      <c r="F277" s="92"/>
      <c r="H277" s="116"/>
      <c r="I277" s="26"/>
      <c r="J277" s="101"/>
      <c r="K277" s="37"/>
      <c r="L277" s="26"/>
      <c r="M277" s="26"/>
      <c r="N277" s="26"/>
      <c r="O277" s="95"/>
      <c r="P277" s="97"/>
    </row>
    <row r="278" spans="3:16" x14ac:dyDescent="0.25">
      <c r="C278" s="26"/>
      <c r="D278" s="115"/>
      <c r="E278" s="34"/>
      <c r="F278" s="92"/>
      <c r="H278" s="116"/>
      <c r="I278" s="26"/>
      <c r="J278" s="101"/>
      <c r="K278" s="37"/>
      <c r="L278" s="26"/>
      <c r="M278" s="26"/>
      <c r="N278" s="26"/>
      <c r="O278" s="95"/>
      <c r="P278" s="97"/>
    </row>
    <row r="279" spans="3:16" x14ac:dyDescent="0.25">
      <c r="C279" s="26"/>
      <c r="D279" s="115"/>
      <c r="E279" s="34"/>
      <c r="F279" s="92"/>
      <c r="H279" s="116"/>
      <c r="I279" s="26"/>
      <c r="J279" s="101"/>
      <c r="K279" s="37"/>
      <c r="L279" s="26"/>
      <c r="M279" s="26"/>
      <c r="N279" s="26"/>
      <c r="O279" s="95"/>
      <c r="P279" s="97"/>
    </row>
    <row r="280" spans="3:16" x14ac:dyDescent="0.25">
      <c r="C280" s="26"/>
      <c r="D280" s="115"/>
      <c r="E280" s="34"/>
      <c r="F280" s="92"/>
      <c r="H280" s="116"/>
      <c r="I280" s="26"/>
      <c r="J280" s="101"/>
      <c r="K280" s="37"/>
      <c r="L280" s="26"/>
      <c r="M280" s="26"/>
      <c r="N280" s="26"/>
      <c r="O280" s="95"/>
      <c r="P280" s="97"/>
    </row>
    <row r="281" spans="3:16" x14ac:dyDescent="0.25">
      <c r="C281" s="26"/>
      <c r="D281" s="115"/>
      <c r="E281" s="34"/>
      <c r="F281" s="92"/>
      <c r="H281" s="116"/>
      <c r="I281" s="26"/>
      <c r="J281" s="101"/>
      <c r="K281" s="37"/>
      <c r="L281" s="26"/>
      <c r="M281" s="26"/>
      <c r="N281" s="26"/>
      <c r="O281" s="95"/>
      <c r="P281" s="97"/>
    </row>
    <row r="282" spans="3:16" x14ac:dyDescent="0.25">
      <c r="C282" s="26"/>
      <c r="D282" s="115"/>
      <c r="E282" s="34"/>
      <c r="F282" s="92"/>
      <c r="H282" s="116"/>
      <c r="I282" s="26"/>
      <c r="J282" s="101"/>
      <c r="K282" s="37"/>
      <c r="L282" s="26"/>
      <c r="M282" s="26"/>
      <c r="N282" s="26"/>
      <c r="O282" s="95"/>
      <c r="P282" s="97"/>
    </row>
    <row r="283" spans="3:16" x14ac:dyDescent="0.25">
      <c r="C283" s="26"/>
      <c r="D283" s="115"/>
      <c r="E283" s="34"/>
      <c r="F283" s="92"/>
      <c r="H283" s="116"/>
      <c r="I283" s="26"/>
      <c r="J283" s="101"/>
      <c r="K283" s="37"/>
      <c r="L283" s="26"/>
      <c r="M283" s="26"/>
      <c r="N283" s="26"/>
      <c r="O283" s="95"/>
      <c r="P283" s="97"/>
    </row>
    <row r="284" spans="3:16" x14ac:dyDescent="0.25">
      <c r="C284" s="26"/>
      <c r="D284" s="115"/>
      <c r="E284" s="34"/>
      <c r="F284" s="92"/>
      <c r="H284" s="116"/>
      <c r="I284" s="26"/>
      <c r="J284" s="101"/>
      <c r="K284" s="37"/>
      <c r="L284" s="26"/>
      <c r="M284" s="26"/>
      <c r="N284" s="26"/>
      <c r="O284" s="95"/>
      <c r="P284" s="97"/>
    </row>
    <row r="285" spans="3:16" x14ac:dyDescent="0.25">
      <c r="C285" s="26"/>
      <c r="D285" s="115"/>
      <c r="E285" s="34"/>
      <c r="F285" s="92"/>
      <c r="H285" s="116"/>
      <c r="I285" s="26"/>
      <c r="J285" s="101"/>
      <c r="K285" s="37"/>
      <c r="L285" s="26"/>
      <c r="M285" s="26"/>
      <c r="N285" s="26"/>
      <c r="O285" s="95"/>
      <c r="P285" s="97"/>
    </row>
    <row r="286" spans="3:16" x14ac:dyDescent="0.25">
      <c r="C286" s="26"/>
      <c r="D286" s="115"/>
      <c r="E286" s="34"/>
      <c r="F286" s="92"/>
      <c r="H286" s="116"/>
      <c r="I286" s="26"/>
      <c r="J286" s="101"/>
      <c r="K286" s="37"/>
      <c r="L286" s="26"/>
      <c r="M286" s="26"/>
      <c r="N286" s="26"/>
      <c r="O286" s="95"/>
      <c r="P286" s="97"/>
    </row>
    <row r="287" spans="3:16" x14ac:dyDescent="0.25">
      <c r="C287" s="26"/>
      <c r="D287" s="115"/>
      <c r="E287" s="34"/>
      <c r="F287" s="92"/>
      <c r="H287" s="116"/>
      <c r="I287" s="26"/>
      <c r="J287" s="101"/>
      <c r="K287" s="37"/>
      <c r="L287" s="26"/>
      <c r="M287" s="26"/>
      <c r="N287" s="26"/>
      <c r="O287" s="95"/>
      <c r="P287" s="97"/>
    </row>
    <row r="288" spans="3:16" x14ac:dyDescent="0.25">
      <c r="C288" s="26"/>
      <c r="D288" s="115"/>
      <c r="E288" s="34"/>
      <c r="F288" s="92"/>
      <c r="H288" s="116"/>
      <c r="I288" s="26"/>
      <c r="J288" s="101"/>
      <c r="K288" s="37"/>
      <c r="L288" s="26"/>
      <c r="M288" s="26"/>
      <c r="N288" s="26"/>
      <c r="O288" s="95"/>
      <c r="P288" s="97"/>
    </row>
    <row r="289" spans="3:16" x14ac:dyDescent="0.25">
      <c r="C289" s="26"/>
      <c r="D289" s="115"/>
      <c r="E289" s="34"/>
      <c r="F289" s="92"/>
      <c r="H289" s="116"/>
      <c r="I289" s="26"/>
      <c r="J289" s="101"/>
      <c r="K289" s="37"/>
      <c r="L289" s="26"/>
      <c r="M289" s="26"/>
      <c r="N289" s="26"/>
      <c r="O289" s="95"/>
      <c r="P289" s="97"/>
    </row>
    <row r="290" spans="3:16" x14ac:dyDescent="0.25">
      <c r="C290" s="26"/>
      <c r="D290" s="115"/>
      <c r="E290" s="34"/>
      <c r="F290" s="92"/>
      <c r="H290" s="116"/>
      <c r="I290" s="26"/>
      <c r="J290" s="101"/>
      <c r="K290" s="37"/>
      <c r="L290" s="26"/>
      <c r="M290" s="26"/>
      <c r="N290" s="26"/>
      <c r="O290" s="95"/>
      <c r="P290" s="97"/>
    </row>
    <row r="291" spans="3:16" x14ac:dyDescent="0.25">
      <c r="C291" s="26"/>
      <c r="D291" s="115"/>
      <c r="E291" s="34"/>
      <c r="F291" s="92"/>
      <c r="H291" s="116"/>
      <c r="I291" s="26"/>
      <c r="J291" s="101"/>
      <c r="K291" s="37"/>
      <c r="L291" s="26"/>
      <c r="M291" s="26"/>
      <c r="N291" s="26"/>
      <c r="O291" s="95"/>
      <c r="P291" s="97"/>
    </row>
    <row r="292" spans="3:16" x14ac:dyDescent="0.25">
      <c r="C292" s="26"/>
      <c r="D292" s="115"/>
      <c r="E292" s="34"/>
      <c r="F292" s="92"/>
      <c r="H292" s="116"/>
      <c r="I292" s="26"/>
      <c r="J292" s="101"/>
      <c r="K292" s="37"/>
      <c r="L292" s="26"/>
      <c r="M292" s="26"/>
      <c r="N292" s="26"/>
      <c r="O292" s="95"/>
      <c r="P292" s="97"/>
    </row>
    <row r="293" spans="3:16" x14ac:dyDescent="0.25">
      <c r="C293" s="26"/>
      <c r="D293" s="115"/>
      <c r="E293" s="34"/>
      <c r="F293" s="92"/>
      <c r="H293" s="116"/>
      <c r="I293" s="26"/>
      <c r="J293" s="101"/>
      <c r="K293" s="37"/>
      <c r="L293" s="26"/>
      <c r="M293" s="26"/>
      <c r="N293" s="26"/>
      <c r="O293" s="95"/>
      <c r="P293" s="97"/>
    </row>
    <row r="294" spans="3:16" x14ac:dyDescent="0.25">
      <c r="C294" s="26"/>
      <c r="D294" s="115"/>
      <c r="E294" s="34"/>
      <c r="F294" s="92"/>
      <c r="H294" s="116"/>
      <c r="I294" s="26"/>
      <c r="J294" s="101"/>
      <c r="K294" s="37"/>
      <c r="L294" s="26"/>
      <c r="M294" s="26"/>
      <c r="N294" s="26"/>
      <c r="O294" s="95"/>
      <c r="P294" s="97"/>
    </row>
    <row r="295" spans="3:16" x14ac:dyDescent="0.25">
      <c r="C295" s="26"/>
      <c r="D295" s="115"/>
      <c r="E295" s="34"/>
      <c r="F295" s="92"/>
      <c r="H295" s="116"/>
      <c r="I295" s="26"/>
      <c r="J295" s="101"/>
      <c r="K295" s="37"/>
      <c r="L295" s="26"/>
      <c r="M295" s="26"/>
      <c r="N295" s="26"/>
      <c r="O295" s="95"/>
      <c r="P295" s="97"/>
    </row>
    <row r="296" spans="3:16" x14ac:dyDescent="0.25">
      <c r="C296" s="26"/>
      <c r="D296" s="115"/>
      <c r="E296" s="34"/>
      <c r="F296" s="92"/>
      <c r="H296" s="116"/>
      <c r="I296" s="26"/>
      <c r="J296" s="101"/>
      <c r="K296" s="37"/>
      <c r="L296" s="26"/>
      <c r="M296" s="26"/>
      <c r="N296" s="26"/>
      <c r="O296" s="95"/>
      <c r="P296" s="97"/>
    </row>
    <row r="297" spans="3:16" x14ac:dyDescent="0.25">
      <c r="C297" s="26"/>
      <c r="D297" s="115"/>
      <c r="E297" s="34"/>
      <c r="F297" s="92"/>
      <c r="H297" s="116"/>
      <c r="I297" s="26"/>
      <c r="J297" s="101"/>
      <c r="K297" s="37"/>
      <c r="L297" s="26"/>
      <c r="M297" s="26"/>
      <c r="N297" s="26"/>
      <c r="O297" s="95"/>
      <c r="P297" s="97"/>
    </row>
    <row r="298" spans="3:16" x14ac:dyDescent="0.25">
      <c r="C298" s="26"/>
      <c r="D298" s="115"/>
      <c r="E298" s="34"/>
      <c r="F298" s="92"/>
      <c r="H298" s="116"/>
      <c r="I298" s="26"/>
      <c r="J298" s="101"/>
      <c r="K298" s="37"/>
      <c r="L298" s="26"/>
      <c r="M298" s="26"/>
      <c r="N298" s="26"/>
      <c r="O298" s="95"/>
      <c r="P298" s="97"/>
    </row>
    <row r="299" spans="3:16" x14ac:dyDescent="0.25">
      <c r="C299" s="26"/>
      <c r="D299" s="115"/>
      <c r="E299" s="34"/>
      <c r="F299" s="92" t="str">
        <f t="shared" ref="F299" si="13">IF(E299="","-",IF(E299&lt;$E$15,"ERROR - date outside of range",IF(MONTH(E299)&gt;=7,YEAR(E299)&amp;"-"&amp;RIGHT(YEAR(E299),2)+1,YEAR(E299)-1&amp;"-"&amp;RIGHT(YEAR(E299),2))))</f>
        <v>-</v>
      </c>
      <c r="H299" s="116"/>
      <c r="I299" s="26"/>
      <c r="J299" s="101" t="str">
        <f>IFERROR(MIN('MP Calculations'!$E$29/I299,1),"-")</f>
        <v>-</v>
      </c>
      <c r="K299" s="37"/>
      <c r="L299" s="26"/>
      <c r="M299" s="26"/>
      <c r="N299" s="26"/>
      <c r="O299" s="95" t="str">
        <f t="shared" ref="O299:O300" si="14">IF(N299="","-",L299*N299)</f>
        <v>-</v>
      </c>
      <c r="P299" s="97" t="str">
        <f t="shared" ref="P299" si="15">IF(O299="-","-",IF(E299&lt;$E$15,0,O299*J299))</f>
        <v>-</v>
      </c>
    </row>
    <row r="300" spans="3:16" ht="57.5" x14ac:dyDescent="0.25">
      <c r="C300" s="30"/>
      <c r="D300" s="133"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300" s="134"/>
      <c r="F300" s="93" t="str">
        <f t="shared" ref="F300" si="16">IF(E300="","-",IF(E300&lt;$E$15,"ERROR - date outside of range",IF(MONTH(E300)&gt;=7,YEAR(E300)&amp;"-"&amp;RIGHT(YEAR(E300),2)+1,YEAR(E300)-1&amp;"-"&amp;RIGHT(YEAR(E300),2))))</f>
        <v>-</v>
      </c>
      <c r="H300" s="117"/>
      <c r="I300" s="31"/>
      <c r="J300" s="121" t="str">
        <f>IFERROR(MIN('MP Calculations'!$E$29/I300,1),"-")</f>
        <v>-</v>
      </c>
      <c r="L300" s="31"/>
      <c r="M300" s="31"/>
      <c r="N300" s="31"/>
      <c r="O300" s="122" t="str">
        <f t="shared" si="14"/>
        <v>-</v>
      </c>
      <c r="P300" s="98" t="str">
        <f t="shared" ref="P300" si="17">IF(O300="-","-",IF(E300&lt;$E$15,0,O300*J300))</f>
        <v>-</v>
      </c>
    </row>
  </sheetData>
  <conditionalFormatting sqref="F22:F300">
    <cfRule type="containsText" dxfId="3" priority="1" operator="containsText" text="ERROR">
      <formula>NOT(ISERROR(SEARCH("ERROR",F22)))</formula>
    </cfRule>
  </conditionalFormatting>
  <conditionalFormatting sqref="J22:J300">
    <cfRule type="cellIs" dxfId="2" priority="3" operator="equal">
      <formula>1</formula>
    </cfRule>
  </conditionalFormatting>
  <hyperlinks>
    <hyperlink ref="E7" location="'Asset exclusions'!A1" display="'Asset exclusions'!A1" xr:uid="{00000000-0004-0000-0700-000000000000}"/>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BC103"/>
  <sheetViews>
    <sheetView showGridLines="0" zoomScale="70" zoomScaleNormal="70" workbookViewId="0">
      <selection activeCell="AO9" sqref="AO9"/>
    </sheetView>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1.59765625" customWidth="1"/>
    <col min="8" max="8" width="2.69921875" customWidth="1"/>
    <col min="9" max="9" width="15.69921875" customWidth="1"/>
    <col min="10" max="10" width="11.59765625" customWidth="1"/>
    <col min="11" max="11" width="2.69921875" customWidth="1"/>
    <col min="12" max="12" width="15.69921875" customWidth="1"/>
    <col min="13" max="13" width="11.59765625"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9765625" hidden="1" customWidth="1" outlineLevel="1"/>
    <col min="37" max="37" width="23.59765625" hidden="1" customWidth="1" outlineLevel="1"/>
    <col min="38" max="39" width="9" hidden="1" customWidth="1" outlineLevel="1"/>
    <col min="40" max="40" width="9" collapsed="1"/>
    <col min="41" max="41" width="28.19921875" bestFit="1" customWidth="1"/>
    <col min="42" max="42" width="14.09765625" customWidth="1"/>
    <col min="44" max="45" width="9" style="292"/>
    <col min="46" max="46" width="11" style="292" customWidth="1"/>
    <col min="47" max="47" width="10.09765625" style="292" customWidth="1"/>
    <col min="48" max="48" width="9" style="292"/>
    <col min="49" max="49" width="11.8984375" style="292" customWidth="1"/>
    <col min="50" max="50" width="9.8984375" style="292" customWidth="1"/>
    <col min="51" max="51" width="9" style="292"/>
    <col min="52" max="52" width="12.3984375" style="292" customWidth="1"/>
    <col min="53" max="55" width="9" style="292"/>
  </cols>
  <sheetData>
    <row r="3" spans="3:55" ht="20" x14ac:dyDescent="0.4">
      <c r="C3" s="59" t="s">
        <v>358</v>
      </c>
    </row>
    <row r="6" spans="3:55" x14ac:dyDescent="0.25">
      <c r="C6" s="6" t="s">
        <v>359</v>
      </c>
      <c r="F6" s="253">
        <f>'General inputs'!H36</f>
        <v>152.38999999999999</v>
      </c>
      <c r="G6" s="174" t="str">
        <f ca="1">"Input entered at "&amp;ADDRESS(ROW('General inputs'!$H$36),COLUMN('General inputs'!$H$36))&amp;" on the '"&amp;MID(CELL("filename",'General inputs'!$A$1),FIND("]",CELL("filename",'General inputs'!$A$1))+1,255)&amp;"' worksheet. "</f>
        <v xml:space="preserve">Input entered at $H$36 on the 'General inputs' worksheet. </v>
      </c>
      <c r="AO6" s="292"/>
      <c r="AP6" s="292"/>
      <c r="AQ6" s="292"/>
    </row>
    <row r="7" spans="3:55" x14ac:dyDescent="0.25">
      <c r="AO7" s="292"/>
      <c r="AP7" s="292"/>
      <c r="AQ7" s="292"/>
    </row>
    <row r="8" spans="3:55" x14ac:dyDescent="0.25">
      <c r="F8" s="47" t="s">
        <v>360</v>
      </c>
      <c r="G8" s="47"/>
      <c r="H8" s="48"/>
      <c r="I8" s="47" t="s">
        <v>361</v>
      </c>
      <c r="J8" s="47"/>
      <c r="K8" s="48"/>
      <c r="L8" s="302" t="s">
        <v>362</v>
      </c>
      <c r="M8" s="303"/>
      <c r="N8" s="48"/>
      <c r="O8" s="302" t="s">
        <v>363</v>
      </c>
      <c r="P8" s="303"/>
      <c r="Q8" s="48"/>
      <c r="R8" s="302" t="s">
        <v>364</v>
      </c>
      <c r="S8" s="303"/>
      <c r="T8" s="48"/>
      <c r="U8" s="302" t="s">
        <v>365</v>
      </c>
      <c r="V8" s="303"/>
      <c r="W8" s="48"/>
      <c r="X8" s="302" t="s">
        <v>366</v>
      </c>
      <c r="Y8" s="303"/>
      <c r="Z8" s="48"/>
      <c r="AA8" s="302" t="s">
        <v>367</v>
      </c>
      <c r="AB8" s="303"/>
      <c r="AC8" s="48"/>
      <c r="AD8" s="302" t="s">
        <v>368</v>
      </c>
      <c r="AE8" s="303"/>
      <c r="AF8" s="48"/>
      <c r="AG8" s="302" t="s">
        <v>369</v>
      </c>
      <c r="AH8" s="303"/>
      <c r="AO8" s="292"/>
      <c r="AP8" s="292"/>
      <c r="AQ8" s="292"/>
    </row>
    <row r="9" spans="3:55" x14ac:dyDescent="0.25">
      <c r="C9" s="6" t="s">
        <v>370</v>
      </c>
      <c r="F9" s="24" t="s">
        <v>371</v>
      </c>
      <c r="G9" s="252">
        <f>F6</f>
        <v>152.38999999999999</v>
      </c>
      <c r="H9" s="37"/>
      <c r="I9" s="24" t="s">
        <v>371</v>
      </c>
      <c r="J9" s="252">
        <v>91.09</v>
      </c>
      <c r="K9" s="37"/>
      <c r="L9" s="62" t="s">
        <v>372</v>
      </c>
      <c r="M9" s="63" t="s">
        <v>373</v>
      </c>
      <c r="N9" s="37"/>
      <c r="O9" s="62" t="s">
        <v>374</v>
      </c>
      <c r="P9" s="63">
        <v>5000</v>
      </c>
      <c r="Q9" s="37"/>
      <c r="R9" s="62" t="s">
        <v>372</v>
      </c>
      <c r="S9" s="63">
        <v>20000</v>
      </c>
      <c r="T9" s="37"/>
      <c r="U9" s="62" t="s">
        <v>374</v>
      </c>
      <c r="V9" s="63">
        <v>5000</v>
      </c>
      <c r="W9" s="37"/>
      <c r="X9" s="62" t="s">
        <v>372</v>
      </c>
      <c r="Y9" s="63">
        <v>20000</v>
      </c>
      <c r="Z9" s="37"/>
      <c r="AA9" s="62" t="s">
        <v>374</v>
      </c>
      <c r="AB9" s="63">
        <v>5000</v>
      </c>
      <c r="AC9" s="37"/>
      <c r="AD9" s="62" t="s">
        <v>372</v>
      </c>
      <c r="AE9" s="63">
        <v>20000</v>
      </c>
      <c r="AF9" s="37"/>
      <c r="AG9" s="62" t="s">
        <v>374</v>
      </c>
      <c r="AH9" s="63">
        <v>5000</v>
      </c>
      <c r="AO9" s="292"/>
      <c r="AP9" s="292"/>
      <c r="AQ9" s="292"/>
    </row>
    <row r="10" spans="3:55" x14ac:dyDescent="0.25">
      <c r="AO10" s="292"/>
      <c r="AP10" s="292"/>
      <c r="AQ10" s="292"/>
    </row>
    <row r="11" spans="3:55" ht="34.5" x14ac:dyDescent="0.25">
      <c r="D11" s="173" t="s">
        <v>375</v>
      </c>
      <c r="E11" s="35"/>
      <c r="F11" s="173" t="s">
        <v>376</v>
      </c>
      <c r="G11" s="37" t="s">
        <v>93</v>
      </c>
      <c r="H11" s="37"/>
      <c r="I11" s="35" t="s">
        <v>377</v>
      </c>
      <c r="J11" s="37" t="s">
        <v>93</v>
      </c>
      <c r="K11" s="37"/>
      <c r="L11" s="35" t="s">
        <v>378</v>
      </c>
      <c r="M11" s="37" t="s">
        <v>93</v>
      </c>
      <c r="N11" s="37"/>
      <c r="O11" s="35" t="str">
        <f>"Annual take-up of "&amp;INDEX($AK$12:$AK$19,MATCH(O9,$AJ$12:$AJ$20,0))&amp;" for "&amp;O8</f>
        <v>Annual take-up of properties for Commercial</v>
      </c>
      <c r="P11" s="37" t="s">
        <v>93</v>
      </c>
      <c r="Q11" s="37"/>
      <c r="R11" s="35" t="str">
        <f>"Annual take-up of "&amp;INDEX($AK$12:$AK$19,MATCH(R9,$AJ$12:$AJ$20,0))&amp;" for "&amp;R8</f>
        <v>Annual take-up of hectares for Light industrial</v>
      </c>
      <c r="S11" s="37" t="s">
        <v>93</v>
      </c>
      <c r="T11" s="37"/>
      <c r="U11" s="35" t="str">
        <f>"Annual take-up of "&amp;INDEX($AK$12:$AK$19,MATCH(U9,$AJ$12:$AJ$20,0))&amp;" for "&amp;U8</f>
        <v>Annual take-up of properties for Non-res 4</v>
      </c>
      <c r="V11" s="37" t="s">
        <v>93</v>
      </c>
      <c r="W11" s="37"/>
      <c r="X11" s="35" t="str">
        <f>"Annual take-up of "&amp;INDEX($AK$12:$AK$19,MATCH(X9,$AJ$12:$AJ$20,0))&amp;" for "&amp;X8</f>
        <v>Annual take-up of hectares for Non-res 5</v>
      </c>
      <c r="Y11" s="37" t="s">
        <v>93</v>
      </c>
      <c r="Z11" s="37"/>
      <c r="AA11" s="35" t="str">
        <f>"Annual take-up of "&amp;INDEX($AK$12:$AK$19,MATCH(AA9,$AJ$12:$AJ$20,0))&amp;" for "&amp;AA8</f>
        <v>Annual take-up of properties for Non-res 6</v>
      </c>
      <c r="AB11" s="37" t="s">
        <v>93</v>
      </c>
      <c r="AC11" s="37"/>
      <c r="AD11" s="35" t="str">
        <f>"Annual take-up of "&amp;INDEX($AK$12:$AK$19,MATCH(AD9,$AJ$12:$AJ$20,0))&amp;" for "&amp;AD8</f>
        <v>Annual take-up of hectares for Non-res 7</v>
      </c>
      <c r="AE11" s="37" t="s">
        <v>93</v>
      </c>
      <c r="AF11" s="37"/>
      <c r="AG11" s="35" t="str">
        <f>"Annual take-up of "&amp;INDEX($AK$12:$AK$19,MATCH(AG9,$AJ$12:$AJ$20,0))&amp;" for "&amp;AG8</f>
        <v>Annual take-up of properties for Non-res 8</v>
      </c>
      <c r="AH11" s="37" t="s">
        <v>93</v>
      </c>
      <c r="AJ11" s="104" t="s">
        <v>379</v>
      </c>
      <c r="AK11" s="28"/>
      <c r="AM11" s="136"/>
      <c r="AN11" s="28"/>
      <c r="AO11" s="193" t="str">
        <f>"Total ET in "&amp;'General inputs'!H7</f>
        <v>Total ET in Illawarra Drinking Water</v>
      </c>
      <c r="AR11" s="293"/>
      <c r="AS11" s="293"/>
      <c r="AT11" s="293"/>
      <c r="AU11" s="293"/>
      <c r="AV11" s="293"/>
      <c r="AW11" s="293"/>
      <c r="AX11" s="293"/>
      <c r="AY11" s="293"/>
      <c r="AZ11" s="293"/>
      <c r="BB11" s="294"/>
      <c r="BC11" s="295"/>
    </row>
    <row r="12" spans="3:55" ht="12" customHeight="1" x14ac:dyDescent="0.25">
      <c r="C12" s="28" t="str">
        <f>'MP Calculations'!D39</f>
        <v>1995-96</v>
      </c>
      <c r="D12" s="221">
        <f>IF(LEFT($C12,4)*1&lt;LEFT('General inputs'!$I$16,4)+'General inputs'!$H$38,SUM(G12,J12,M12,P12,S12,V12,Y12,AB12,AE12,AH12),"")</f>
        <v>566.65333591288481</v>
      </c>
      <c r="E12" s="222"/>
      <c r="F12" s="219"/>
      <c r="G12" s="221">
        <v>304</v>
      </c>
      <c r="H12" s="222"/>
      <c r="I12" s="219"/>
      <c r="J12" s="221">
        <v>262.65333591288487</v>
      </c>
      <c r="K12" s="222"/>
      <c r="L12" s="224"/>
      <c r="M12" s="221">
        <v>0</v>
      </c>
      <c r="O12" s="49"/>
      <c r="P12" s="44">
        <f t="shared" ref="P12:P43" si="0">O12*$P$9/$F$6</f>
        <v>0</v>
      </c>
      <c r="R12" s="49"/>
      <c r="S12" s="44">
        <f t="shared" ref="S12:S43" si="1">R12*$S$9/$F$6</f>
        <v>0</v>
      </c>
      <c r="U12" s="49"/>
      <c r="V12" s="44">
        <f t="shared" ref="V12:V43" si="2">U12*$V$9/$F$6</f>
        <v>0</v>
      </c>
      <c r="X12" s="49"/>
      <c r="Y12" s="44">
        <f t="shared" ref="Y12:Y43" si="3">X12*$Y$9/$F$6</f>
        <v>0</v>
      </c>
      <c r="AA12" s="49"/>
      <c r="AB12" s="44">
        <f t="shared" ref="AB12:AB43" si="4">AA12*$AB$9/$F$6</f>
        <v>0</v>
      </c>
      <c r="AD12" s="49"/>
      <c r="AE12" s="44">
        <f t="shared" ref="AE12:AE43" si="5">AD12*$AE$9/$F$6</f>
        <v>0</v>
      </c>
      <c r="AG12" s="49"/>
      <c r="AH12" s="44">
        <f t="shared" ref="AH12:AH43" si="6">AG12*$AH$9/$F$6</f>
        <v>0</v>
      </c>
      <c r="AI12" s="105">
        <v>1</v>
      </c>
      <c r="AJ12" s="64" t="s">
        <v>374</v>
      </c>
      <c r="AK12" s="64" t="s">
        <v>380</v>
      </c>
      <c r="AO12" t="s">
        <v>381</v>
      </c>
      <c r="AP12" s="194">
        <v>0</v>
      </c>
      <c r="AR12" s="296"/>
      <c r="AS12" s="296"/>
      <c r="AT12" s="296"/>
      <c r="AU12" s="296"/>
      <c r="AV12" s="296"/>
      <c r="AW12" s="296"/>
      <c r="AX12" s="296"/>
      <c r="AY12" s="296"/>
      <c r="AZ12" s="296"/>
      <c r="BB12" s="297"/>
      <c r="BC12" s="297"/>
    </row>
    <row r="13" spans="3:55" x14ac:dyDescent="0.25">
      <c r="C13" s="28" t="str">
        <f>'MP Calculations'!D40</f>
        <v>1996-97</v>
      </c>
      <c r="D13" s="223">
        <f>IF(LEFT($C13,4)*1&lt;LEFT('General inputs'!$I$16,4)+'General inputs'!$H$38,SUM(G13,J13,M13,P13,S13,V13,Y13,AB13,AE13,AH13),"")</f>
        <v>865.15748162069531</v>
      </c>
      <c r="E13" s="222"/>
      <c r="F13" s="220"/>
      <c r="G13" s="223">
        <v>534</v>
      </c>
      <c r="H13" s="222"/>
      <c r="I13" s="220"/>
      <c r="J13" s="223">
        <v>331.15748162069536</v>
      </c>
      <c r="K13" s="222"/>
      <c r="L13" s="263"/>
      <c r="M13" s="223">
        <v>0</v>
      </c>
      <c r="O13" s="39"/>
      <c r="P13" s="45">
        <f t="shared" si="0"/>
        <v>0</v>
      </c>
      <c r="R13" s="39"/>
      <c r="S13" s="45">
        <f t="shared" si="1"/>
        <v>0</v>
      </c>
      <c r="U13" s="39"/>
      <c r="V13" s="45">
        <f t="shared" si="2"/>
        <v>0</v>
      </c>
      <c r="X13" s="39"/>
      <c r="Y13" s="45">
        <f t="shared" si="3"/>
        <v>0</v>
      </c>
      <c r="AA13" s="39"/>
      <c r="AB13" s="45">
        <f t="shared" si="4"/>
        <v>0</v>
      </c>
      <c r="AD13" s="39"/>
      <c r="AE13" s="45">
        <f t="shared" si="5"/>
        <v>0</v>
      </c>
      <c r="AG13" s="39"/>
      <c r="AH13" s="45">
        <f t="shared" si="6"/>
        <v>0</v>
      </c>
      <c r="AI13">
        <f>AI12+1</f>
        <v>2</v>
      </c>
      <c r="AJ13" s="27" t="s">
        <v>372</v>
      </c>
      <c r="AK13" s="27" t="s">
        <v>382</v>
      </c>
      <c r="AO13" t="s">
        <v>383</v>
      </c>
      <c r="AP13" s="194">
        <v>253795.83840030982</v>
      </c>
      <c r="AR13" s="296"/>
      <c r="AS13" s="296"/>
      <c r="AT13" s="296"/>
      <c r="AU13" s="296"/>
      <c r="AV13" s="296"/>
      <c r="AW13" s="296"/>
      <c r="AX13" s="296"/>
      <c r="AY13" s="296"/>
      <c r="AZ13" s="296"/>
      <c r="BB13" s="297"/>
      <c r="BC13" s="297"/>
    </row>
    <row r="14" spans="3:55" x14ac:dyDescent="0.25">
      <c r="C14" s="28" t="str">
        <f>'MP Calculations'!D41</f>
        <v>1997-98</v>
      </c>
      <c r="D14" s="223">
        <f>IF(LEFT($C14,4)*1&lt;LEFT('General inputs'!$I$16,4)+'General inputs'!$H$38,SUM(G14,J14,M14,P14,S14,V14,Y14,AB14,AE14,AH14),"")</f>
        <v>1613.8905533139259</v>
      </c>
      <c r="E14" s="222"/>
      <c r="F14" s="220"/>
      <c r="G14" s="223">
        <v>521</v>
      </c>
      <c r="H14" s="222"/>
      <c r="I14" s="220"/>
      <c r="J14" s="223">
        <v>317.52158531866672</v>
      </c>
      <c r="K14" s="222"/>
      <c r="L14" s="263"/>
      <c r="M14" s="223">
        <v>775.36896799525925</v>
      </c>
      <c r="O14" s="39"/>
      <c r="P14" s="45">
        <f t="shared" si="0"/>
        <v>0</v>
      </c>
      <c r="R14" s="39"/>
      <c r="S14" s="45">
        <f t="shared" si="1"/>
        <v>0</v>
      </c>
      <c r="U14" s="39"/>
      <c r="V14" s="45">
        <f t="shared" si="2"/>
        <v>0</v>
      </c>
      <c r="X14" s="39"/>
      <c r="Y14" s="45">
        <f t="shared" si="3"/>
        <v>0</v>
      </c>
      <c r="AA14" s="39"/>
      <c r="AB14" s="45">
        <f t="shared" si="4"/>
        <v>0</v>
      </c>
      <c r="AD14" s="39"/>
      <c r="AE14" s="45">
        <f t="shared" si="5"/>
        <v>0</v>
      </c>
      <c r="AG14" s="39"/>
      <c r="AH14" s="45">
        <f t="shared" si="6"/>
        <v>0</v>
      </c>
      <c r="AI14">
        <f t="shared" ref="AI14:AI18" si="7">AI13+1</f>
        <v>3</v>
      </c>
      <c r="AJ14" s="27"/>
      <c r="AK14" s="27"/>
      <c r="AO14" t="s">
        <v>384</v>
      </c>
      <c r="AP14" s="195">
        <f>SUM(AP13,D12:D102)</f>
        <v>318074.30258236121</v>
      </c>
      <c r="AR14" s="296"/>
      <c r="AS14" s="296"/>
      <c r="AT14" s="296"/>
      <c r="AU14" s="296"/>
      <c r="AV14" s="296"/>
      <c r="AW14" s="296"/>
      <c r="AX14" s="296"/>
      <c r="AY14" s="296"/>
      <c r="AZ14" s="296"/>
      <c r="BB14" s="297"/>
      <c r="BC14" s="297"/>
    </row>
    <row r="15" spans="3:55" x14ac:dyDescent="0.25">
      <c r="C15" s="28" t="str">
        <f>'MP Calculations'!D42</f>
        <v>1998-99</v>
      </c>
      <c r="D15" s="223">
        <f>IF(LEFT($C15,4)*1&lt;LEFT('General inputs'!$I$16,4)+'General inputs'!$H$38,SUM(G15,J15,M15,P15,S15,V15,Y15,AB15,AE15,AH15),"")</f>
        <v>774.28837543529926</v>
      </c>
      <c r="E15" s="222"/>
      <c r="F15" s="220"/>
      <c r="G15" s="223">
        <v>473</v>
      </c>
      <c r="H15" s="222"/>
      <c r="I15" s="220"/>
      <c r="J15" s="223">
        <v>301.28837543529932</v>
      </c>
      <c r="K15" s="222"/>
      <c r="L15" s="263"/>
      <c r="M15" s="223">
        <v>0</v>
      </c>
      <c r="O15" s="39"/>
      <c r="P15" s="45">
        <f t="shared" si="0"/>
        <v>0</v>
      </c>
      <c r="R15" s="39"/>
      <c r="S15" s="45">
        <f t="shared" si="1"/>
        <v>0</v>
      </c>
      <c r="U15" s="39"/>
      <c r="V15" s="45">
        <f t="shared" si="2"/>
        <v>0</v>
      </c>
      <c r="X15" s="39"/>
      <c r="Y15" s="45">
        <f t="shared" si="3"/>
        <v>0</v>
      </c>
      <c r="AA15" s="39"/>
      <c r="AB15" s="45">
        <f t="shared" si="4"/>
        <v>0</v>
      </c>
      <c r="AD15" s="39"/>
      <c r="AE15" s="45">
        <f t="shared" si="5"/>
        <v>0</v>
      </c>
      <c r="AG15" s="39"/>
      <c r="AH15" s="45">
        <f t="shared" si="6"/>
        <v>0</v>
      </c>
      <c r="AI15">
        <f t="shared" si="7"/>
        <v>4</v>
      </c>
      <c r="AJ15" s="27"/>
      <c r="AK15" s="27"/>
      <c r="AL15" s="137" t="str">
        <f>"Provide plural notation for the units of measure entered at "&amp;ADDRESS(ROW($AJ$12),COLUMN($AJ$12))&amp;" to "&amp;ADDRESS(ROW($AJ$18),COLUMN($AJ$18))&amp;"."</f>
        <v>Provide plural notation for the units of measure entered at $AJ$12 to $AJ$18.</v>
      </c>
      <c r="AR15" s="296"/>
      <c r="AS15" s="296"/>
      <c r="AT15" s="296"/>
      <c r="AU15" s="296"/>
      <c r="AV15" s="296"/>
      <c r="AW15" s="296"/>
      <c r="AX15" s="296"/>
      <c r="AY15" s="296"/>
      <c r="AZ15" s="296"/>
      <c r="BB15" s="297"/>
      <c r="BC15" s="297"/>
    </row>
    <row r="16" spans="3:55" x14ac:dyDescent="0.25">
      <c r="C16" s="28" t="str">
        <f>'MP Calculations'!D43</f>
        <v>1999-00</v>
      </c>
      <c r="D16" s="223">
        <f>IF(LEFT($C16,4)*1&lt;LEFT('General inputs'!$I$16,4)+'General inputs'!$H$38,SUM(G16,J16,M16,P16,S16,V16,Y16,AB16,AE16,AH16),"")</f>
        <v>5512.7703830634218</v>
      </c>
      <c r="E16" s="222"/>
      <c r="F16" s="220"/>
      <c r="G16" s="223">
        <v>535</v>
      </c>
      <c r="H16" s="222"/>
      <c r="I16" s="220"/>
      <c r="J16" s="223">
        <v>423.36211375822228</v>
      </c>
      <c r="K16" s="222"/>
      <c r="L16" s="263"/>
      <c r="M16" s="223">
        <v>4554.4082693051996</v>
      </c>
      <c r="O16" s="39"/>
      <c r="P16" s="45">
        <f t="shared" si="0"/>
        <v>0</v>
      </c>
      <c r="R16" s="39"/>
      <c r="S16" s="45">
        <f t="shared" si="1"/>
        <v>0</v>
      </c>
      <c r="U16" s="39"/>
      <c r="V16" s="45">
        <f t="shared" si="2"/>
        <v>0</v>
      </c>
      <c r="X16" s="39"/>
      <c r="Y16" s="45">
        <f t="shared" si="3"/>
        <v>0</v>
      </c>
      <c r="AA16" s="39"/>
      <c r="AB16" s="45">
        <f t="shared" si="4"/>
        <v>0</v>
      </c>
      <c r="AD16" s="39"/>
      <c r="AE16" s="45">
        <f t="shared" si="5"/>
        <v>0</v>
      </c>
      <c r="AG16" s="39"/>
      <c r="AH16" s="45">
        <f t="shared" si="6"/>
        <v>0</v>
      </c>
      <c r="AI16">
        <f t="shared" si="7"/>
        <v>5</v>
      </c>
      <c r="AJ16" s="142"/>
      <c r="AK16" s="142"/>
      <c r="AL16" s="137" t="s">
        <v>385</v>
      </c>
      <c r="AR16" s="296"/>
      <c r="AS16" s="296"/>
      <c r="AT16" s="296"/>
      <c r="AU16" s="296"/>
      <c r="AV16" s="296"/>
      <c r="AW16" s="296"/>
      <c r="AX16" s="296"/>
      <c r="AY16" s="296"/>
      <c r="AZ16" s="296"/>
      <c r="BB16" s="297"/>
      <c r="BC16" s="297"/>
    </row>
    <row r="17" spans="3:55" x14ac:dyDescent="0.25">
      <c r="C17" s="28" t="str">
        <f>'MP Calculations'!D44</f>
        <v>2000-01</v>
      </c>
      <c r="D17" s="223">
        <f>IF(LEFT($C17,4)*1&lt;LEFT('General inputs'!$I$16,4)+'General inputs'!$H$38,SUM(G17,J17,M17,P17,S17,V17,Y17,AB17,AE17,AH17),"")</f>
        <v>3577.4727212426278</v>
      </c>
      <c r="E17" s="222"/>
      <c r="F17" s="220"/>
      <c r="G17" s="223">
        <v>598</v>
      </c>
      <c r="H17" s="222"/>
      <c r="I17" s="220"/>
      <c r="J17" s="223">
        <v>391.54502238682215</v>
      </c>
      <c r="K17" s="222"/>
      <c r="L17" s="263"/>
      <c r="M17" s="223">
        <v>2587.9276988558054</v>
      </c>
      <c r="O17" s="39"/>
      <c r="P17" s="45">
        <f t="shared" si="0"/>
        <v>0</v>
      </c>
      <c r="R17" s="39"/>
      <c r="S17" s="45">
        <f t="shared" si="1"/>
        <v>0</v>
      </c>
      <c r="U17" s="39"/>
      <c r="V17" s="45">
        <f t="shared" si="2"/>
        <v>0</v>
      </c>
      <c r="X17" s="39"/>
      <c r="Y17" s="45">
        <f t="shared" si="3"/>
        <v>0</v>
      </c>
      <c r="AA17" s="39"/>
      <c r="AB17" s="45">
        <f t="shared" si="4"/>
        <v>0</v>
      </c>
      <c r="AD17" s="39"/>
      <c r="AE17" s="45">
        <f t="shared" si="5"/>
        <v>0</v>
      </c>
      <c r="AG17" s="39"/>
      <c r="AH17" s="45">
        <f t="shared" si="6"/>
        <v>0</v>
      </c>
      <c r="AI17">
        <f t="shared" si="7"/>
        <v>6</v>
      </c>
      <c r="AJ17" s="27"/>
      <c r="AK17" s="27"/>
      <c r="AO17" s="193" t="s">
        <v>386</v>
      </c>
      <c r="AR17" s="296"/>
      <c r="AS17" s="296"/>
      <c r="AT17" s="296"/>
      <c r="AU17" s="296"/>
      <c r="AV17" s="296"/>
      <c r="AW17" s="296"/>
      <c r="AX17" s="296"/>
      <c r="AY17" s="296"/>
      <c r="AZ17" s="296"/>
      <c r="BB17" s="297"/>
      <c r="BC17" s="297"/>
    </row>
    <row r="18" spans="3:55" x14ac:dyDescent="0.25">
      <c r="C18" s="28" t="str">
        <f>'MP Calculations'!D45</f>
        <v>2001-02</v>
      </c>
      <c r="D18" s="223">
        <f>IF(LEFT($C18,4)*1&lt;LEFT('General inputs'!$I$16,4)+'General inputs'!$H$38,SUM(G18,J18,M18,P18,S18,V18,Y18,AB18,AE18,AH18),"")</f>
        <v>1034.8068100160301</v>
      </c>
      <c r="E18" s="222"/>
      <c r="F18" s="220"/>
      <c r="G18" s="223">
        <v>703</v>
      </c>
      <c r="H18" s="222"/>
      <c r="I18" s="220"/>
      <c r="J18" s="223">
        <v>331.80681001603006</v>
      </c>
      <c r="K18" s="222"/>
      <c r="L18" s="263"/>
      <c r="M18" s="223">
        <v>0</v>
      </c>
      <c r="O18" s="39"/>
      <c r="P18" s="45">
        <f t="shared" si="0"/>
        <v>0</v>
      </c>
      <c r="R18" s="39"/>
      <c r="S18" s="45">
        <f t="shared" si="1"/>
        <v>0</v>
      </c>
      <c r="U18" s="39"/>
      <c r="V18" s="45">
        <f t="shared" si="2"/>
        <v>0</v>
      </c>
      <c r="X18" s="39"/>
      <c r="Y18" s="45">
        <f t="shared" si="3"/>
        <v>0</v>
      </c>
      <c r="AA18" s="39"/>
      <c r="AB18" s="45">
        <f t="shared" si="4"/>
        <v>0</v>
      </c>
      <c r="AD18" s="39"/>
      <c r="AE18" s="45">
        <f t="shared" si="5"/>
        <v>0</v>
      </c>
      <c r="AG18" s="39"/>
      <c r="AH18" s="45">
        <f t="shared" si="6"/>
        <v>0</v>
      </c>
      <c r="AI18">
        <f t="shared" si="7"/>
        <v>7</v>
      </c>
      <c r="AJ18" s="27"/>
      <c r="AK18" s="27"/>
      <c r="AO18" t="s">
        <v>387</v>
      </c>
      <c r="AP18" s="195">
        <f>AP13-AP12</f>
        <v>253795.83840030982</v>
      </c>
      <c r="AR18" s="296"/>
      <c r="AS18" s="296"/>
      <c r="AT18" s="296"/>
      <c r="AU18" s="296"/>
      <c r="AV18" s="296"/>
      <c r="AW18" s="296"/>
      <c r="AX18" s="296"/>
      <c r="AY18" s="296"/>
      <c r="AZ18" s="296"/>
      <c r="BB18" s="297"/>
      <c r="BC18" s="297"/>
    </row>
    <row r="19" spans="3:55" x14ac:dyDescent="0.25">
      <c r="C19" s="28" t="str">
        <f>'MP Calculations'!D46</f>
        <v>2002-03</v>
      </c>
      <c r="D19" s="223">
        <f>IF(LEFT($C19,4)*1&lt;LEFT('General inputs'!$I$16,4)+'General inputs'!$H$38,SUM(G19,J19,M19,P19,S19,V19,Y19,AB19,AE19,AH19),"")</f>
        <v>2011.0339948040462</v>
      </c>
      <c r="E19" s="222"/>
      <c r="F19" s="220"/>
      <c r="G19" s="223">
        <v>523</v>
      </c>
      <c r="H19" s="222"/>
      <c r="I19" s="220"/>
      <c r="J19" s="223">
        <v>395.44099275883036</v>
      </c>
      <c r="K19" s="222"/>
      <c r="L19" s="263"/>
      <c r="M19" s="223">
        <v>1092.5930020452158</v>
      </c>
      <c r="O19" s="39"/>
      <c r="P19" s="45">
        <f t="shared" si="0"/>
        <v>0</v>
      </c>
      <c r="R19" s="39"/>
      <c r="S19" s="45">
        <f t="shared" si="1"/>
        <v>0</v>
      </c>
      <c r="U19" s="39"/>
      <c r="V19" s="45">
        <f t="shared" si="2"/>
        <v>0</v>
      </c>
      <c r="X19" s="39"/>
      <c r="Y19" s="45">
        <f t="shared" si="3"/>
        <v>0</v>
      </c>
      <c r="AA19" s="39"/>
      <c r="AB19" s="45">
        <f t="shared" si="4"/>
        <v>0</v>
      </c>
      <c r="AD19" s="39"/>
      <c r="AE19" s="45">
        <f t="shared" si="5"/>
        <v>0</v>
      </c>
      <c r="AG19" s="39"/>
      <c r="AH19" s="45">
        <f t="shared" si="6"/>
        <v>0</v>
      </c>
      <c r="AJ19" s="106" t="str">
        <f>"add alternatives at "&amp;ADDRESS(ROW(AJ18),COLUMN(AJ18))&amp;":"&amp;ADDRESS(ROW(AJ23),COLUMN(AJ23))</f>
        <v>add alternatives at $AJ$18:$AJ$23</v>
      </c>
      <c r="AK19" s="31"/>
      <c r="AO19" t="s">
        <v>388</v>
      </c>
      <c r="AP19" s="195">
        <f>SUM(D12:D38)</f>
        <v>49480.380962965311</v>
      </c>
      <c r="AR19" s="296"/>
      <c r="AS19" s="296"/>
      <c r="AT19" s="296"/>
      <c r="AU19" s="296"/>
      <c r="AV19" s="296"/>
      <c r="AW19" s="296"/>
      <c r="AX19" s="296"/>
      <c r="AY19" s="296"/>
      <c r="AZ19" s="296"/>
      <c r="BB19" s="297"/>
      <c r="BC19" s="297"/>
    </row>
    <row r="20" spans="3:55" x14ac:dyDescent="0.25">
      <c r="C20" s="28" t="str">
        <f>'MP Calculations'!D47</f>
        <v>2003-04</v>
      </c>
      <c r="D20" s="223">
        <f>IF(LEFT($C20,4)*1&lt;LEFT('General inputs'!$I$16,4)+'General inputs'!$H$38,SUM(G20,J20,M20,P20,S20,V20,Y20,AB20,AE20,AH20),"")</f>
        <v>6265.1367530816633</v>
      </c>
      <c r="E20" s="222"/>
      <c r="F20" s="220"/>
      <c r="G20" s="223">
        <v>373</v>
      </c>
      <c r="H20" s="222"/>
      <c r="I20" s="220"/>
      <c r="J20" s="223">
        <v>466.21778785031228</v>
      </c>
      <c r="K20" s="222"/>
      <c r="L20" s="263"/>
      <c r="M20" s="223">
        <v>5425.9189652313507</v>
      </c>
      <c r="O20" s="39"/>
      <c r="P20" s="45">
        <f t="shared" si="0"/>
        <v>0</v>
      </c>
      <c r="R20" s="39"/>
      <c r="S20" s="45">
        <f t="shared" si="1"/>
        <v>0</v>
      </c>
      <c r="U20" s="39"/>
      <c r="V20" s="45">
        <f t="shared" si="2"/>
        <v>0</v>
      </c>
      <c r="X20" s="39"/>
      <c r="Y20" s="45">
        <f t="shared" si="3"/>
        <v>0</v>
      </c>
      <c r="AA20" s="39"/>
      <c r="AB20" s="45">
        <f t="shared" si="4"/>
        <v>0</v>
      </c>
      <c r="AD20" s="39"/>
      <c r="AE20" s="45">
        <f t="shared" si="5"/>
        <v>0</v>
      </c>
      <c r="AG20" s="39"/>
      <c r="AH20" s="45">
        <f t="shared" si="6"/>
        <v>0</v>
      </c>
      <c r="AO20" t="s">
        <v>389</v>
      </c>
      <c r="AP20" s="284">
        <f>IFERROR(IF(MIN((1-(AP18+AP19)/(AP14-AP12)),1)&lt;0,0,MIN((1-(AP18+AP19)/(AP14-AP12)),1)),"-")</f>
        <v>4.6523982286353793E-2</v>
      </c>
      <c r="AR20" s="296"/>
      <c r="AS20" s="296"/>
      <c r="AT20" s="296"/>
      <c r="AU20" s="296"/>
      <c r="AV20" s="296"/>
      <c r="AW20" s="296"/>
      <c r="AX20" s="296"/>
      <c r="AY20" s="296"/>
      <c r="AZ20" s="296"/>
      <c r="BB20" s="297"/>
      <c r="BC20" s="297"/>
    </row>
    <row r="21" spans="3:55" x14ac:dyDescent="0.25">
      <c r="C21" s="28" t="str">
        <f>'MP Calculations'!D48</f>
        <v>2004-05</v>
      </c>
      <c r="D21" s="223">
        <f>IF(LEFT($C21,4)*1&lt;LEFT('General inputs'!$I$16,4)+'General inputs'!$H$38,SUM(G21,J21,M21,P21,S21,V21,Y21,AB21,AE21,AH21),"")</f>
        <v>885.60532861643912</v>
      </c>
      <c r="E21" s="222"/>
      <c r="F21" s="220"/>
      <c r="G21" s="223">
        <v>359</v>
      </c>
      <c r="H21" s="222"/>
      <c r="I21" s="220"/>
      <c r="J21" s="223">
        <v>526.60532861643912</v>
      </c>
      <c r="K21" s="222"/>
      <c r="L21" s="263"/>
      <c r="M21" s="223">
        <v>0</v>
      </c>
      <c r="O21" s="39"/>
      <c r="P21" s="45">
        <f t="shared" si="0"/>
        <v>0</v>
      </c>
      <c r="R21" s="39"/>
      <c r="S21" s="45">
        <f t="shared" si="1"/>
        <v>0</v>
      </c>
      <c r="U21" s="39"/>
      <c r="V21" s="45">
        <f t="shared" si="2"/>
        <v>0</v>
      </c>
      <c r="X21" s="39"/>
      <c r="Y21" s="45">
        <f t="shared" si="3"/>
        <v>0</v>
      </c>
      <c r="AA21" s="39"/>
      <c r="AB21" s="45">
        <f t="shared" si="4"/>
        <v>0</v>
      </c>
      <c r="AD21" s="39"/>
      <c r="AE21" s="45">
        <f t="shared" si="5"/>
        <v>0</v>
      </c>
      <c r="AG21" s="39"/>
      <c r="AH21" s="45">
        <f t="shared" si="6"/>
        <v>0</v>
      </c>
      <c r="AO21" t="s">
        <v>89</v>
      </c>
      <c r="AP21" s="284">
        <f>IFERROR(IF(MIN((1-AP19/(AP14-AP12)),1)&lt;0,0,MIN((1-AP19/(AP14-AP12)),1)),"-")</f>
        <v>0.84443766578674484</v>
      </c>
      <c r="AR21" s="296"/>
      <c r="AS21" s="296"/>
      <c r="AT21" s="296"/>
      <c r="AU21" s="296"/>
      <c r="AV21" s="296"/>
      <c r="AW21" s="296"/>
      <c r="AX21" s="296"/>
      <c r="AY21" s="296"/>
      <c r="AZ21" s="296"/>
      <c r="BB21" s="297"/>
      <c r="BC21" s="297"/>
    </row>
    <row r="22" spans="3:55" x14ac:dyDescent="0.25">
      <c r="C22" s="28" t="str">
        <f>'MP Calculations'!D49</f>
        <v>2005-06</v>
      </c>
      <c r="D22" s="223">
        <f>IF(LEFT($C22,4)*1&lt;LEFT('General inputs'!$I$16,4)+'General inputs'!$H$38,SUM(G22,J22,M22,P22,S22,V22,Y22,AB22,AE22,AH22),"")</f>
        <v>818.50472610690395</v>
      </c>
      <c r="E22" s="222"/>
      <c r="F22" s="220"/>
      <c r="G22" s="223">
        <v>388</v>
      </c>
      <c r="H22" s="222"/>
      <c r="I22" s="220"/>
      <c r="J22" s="223">
        <v>430.50472610690395</v>
      </c>
      <c r="K22" s="222"/>
      <c r="L22" s="263"/>
      <c r="M22" s="223">
        <v>0</v>
      </c>
      <c r="O22" s="39"/>
      <c r="P22" s="45">
        <f t="shared" si="0"/>
        <v>0</v>
      </c>
      <c r="R22" s="39"/>
      <c r="S22" s="45">
        <f t="shared" si="1"/>
        <v>0</v>
      </c>
      <c r="U22" s="39"/>
      <c r="V22" s="45">
        <f t="shared" si="2"/>
        <v>0</v>
      </c>
      <c r="X22" s="39"/>
      <c r="Y22" s="45">
        <f t="shared" si="3"/>
        <v>0</v>
      </c>
      <c r="AA22" s="39"/>
      <c r="AB22" s="45">
        <f t="shared" si="4"/>
        <v>0</v>
      </c>
      <c r="AD22" s="39"/>
      <c r="AE22" s="45">
        <f t="shared" si="5"/>
        <v>0</v>
      </c>
      <c r="AG22" s="39"/>
      <c r="AH22" s="45">
        <f t="shared" si="6"/>
        <v>0</v>
      </c>
      <c r="AR22" s="296"/>
      <c r="AS22" s="296"/>
      <c r="AT22" s="296"/>
      <c r="AU22" s="296"/>
      <c r="AV22" s="296"/>
      <c r="AW22" s="296"/>
      <c r="AX22" s="296"/>
      <c r="AY22" s="296"/>
      <c r="AZ22" s="296"/>
      <c r="BB22" s="297"/>
      <c r="BC22" s="297"/>
    </row>
    <row r="23" spans="3:55" x14ac:dyDescent="0.25">
      <c r="C23" s="28" t="str">
        <f>'MP Calculations'!D50</f>
        <v>2006-07</v>
      </c>
      <c r="D23" s="223">
        <f>IF(LEFT($C23,4)*1&lt;LEFT('General inputs'!$I$16,4)+'General inputs'!$H$38,SUM(G23,J23,M23,P23,S23,V23,Y23,AB23,AE23,AH23),"")</f>
        <v>751.41755569067493</v>
      </c>
      <c r="E23" s="222"/>
      <c r="F23" s="220"/>
      <c r="G23" s="223">
        <v>430</v>
      </c>
      <c r="H23" s="222"/>
      <c r="I23" s="220"/>
      <c r="J23" s="223">
        <v>321.41755569067493</v>
      </c>
      <c r="K23" s="222"/>
      <c r="L23" s="263"/>
      <c r="M23" s="223">
        <v>0</v>
      </c>
      <c r="O23" s="39"/>
      <c r="P23" s="45">
        <f t="shared" si="0"/>
        <v>0</v>
      </c>
      <c r="R23" s="39"/>
      <c r="S23" s="45">
        <f t="shared" si="1"/>
        <v>0</v>
      </c>
      <c r="U23" s="39"/>
      <c r="V23" s="45">
        <f t="shared" si="2"/>
        <v>0</v>
      </c>
      <c r="X23" s="39"/>
      <c r="Y23" s="45">
        <f t="shared" si="3"/>
        <v>0</v>
      </c>
      <c r="AA23" s="39"/>
      <c r="AB23" s="45">
        <f t="shared" si="4"/>
        <v>0</v>
      </c>
      <c r="AD23" s="39"/>
      <c r="AE23" s="45">
        <f t="shared" si="5"/>
        <v>0</v>
      </c>
      <c r="AG23" s="39"/>
      <c r="AH23" s="45">
        <f t="shared" si="6"/>
        <v>0</v>
      </c>
      <c r="AR23" s="296"/>
      <c r="AS23" s="296"/>
      <c r="AT23" s="296"/>
      <c r="AU23" s="296"/>
      <c r="AV23" s="296"/>
      <c r="AW23" s="296"/>
      <c r="AX23" s="296"/>
      <c r="AY23" s="296"/>
      <c r="AZ23" s="296"/>
      <c r="BB23" s="297"/>
      <c r="BC23" s="297"/>
    </row>
    <row r="24" spans="3:55" x14ac:dyDescent="0.25">
      <c r="C24" s="28" t="str">
        <f>'MP Calculations'!D51</f>
        <v>2007-08</v>
      </c>
      <c r="D24" s="223">
        <f>IF(LEFT($C24,4)*1&lt;LEFT('General inputs'!$I$16,4)+'General inputs'!$H$38,SUM(G24,J24,M24,P24,S24,V24,Y24,AB24,AE24,AH24),"")</f>
        <v>707.59875076004641</v>
      </c>
      <c r="E24" s="222"/>
      <c r="F24" s="220"/>
      <c r="G24" s="223">
        <v>368</v>
      </c>
      <c r="H24" s="222"/>
      <c r="I24" s="220"/>
      <c r="J24" s="223">
        <v>339.59875076004641</v>
      </c>
      <c r="K24" s="222"/>
      <c r="L24" s="263"/>
      <c r="M24" s="223">
        <v>0</v>
      </c>
      <c r="O24" s="39"/>
      <c r="P24" s="45">
        <f t="shared" si="0"/>
        <v>0</v>
      </c>
      <c r="R24" s="39"/>
      <c r="S24" s="45">
        <f t="shared" si="1"/>
        <v>0</v>
      </c>
      <c r="U24" s="39"/>
      <c r="V24" s="45">
        <f t="shared" si="2"/>
        <v>0</v>
      </c>
      <c r="X24" s="39"/>
      <c r="Y24" s="45">
        <f t="shared" si="3"/>
        <v>0</v>
      </c>
      <c r="AA24" s="39"/>
      <c r="AB24" s="45">
        <f t="shared" si="4"/>
        <v>0</v>
      </c>
      <c r="AD24" s="39"/>
      <c r="AE24" s="45">
        <f t="shared" si="5"/>
        <v>0</v>
      </c>
      <c r="AG24" s="39"/>
      <c r="AH24" s="45">
        <f t="shared" si="6"/>
        <v>0</v>
      </c>
      <c r="AR24" s="296"/>
      <c r="AS24" s="296"/>
      <c r="AT24" s="296"/>
      <c r="AU24" s="296"/>
      <c r="AV24" s="296"/>
      <c r="AW24" s="296"/>
      <c r="AX24" s="296"/>
      <c r="AY24" s="296"/>
      <c r="AZ24" s="296"/>
      <c r="BB24" s="297"/>
      <c r="BC24" s="297"/>
    </row>
    <row r="25" spans="3:55" x14ac:dyDescent="0.25">
      <c r="C25" s="28" t="str">
        <f>'MP Calculations'!D52</f>
        <v>2008-09</v>
      </c>
      <c r="D25" s="223">
        <f>IF(LEFT($C25,4)*1&lt;LEFT('General inputs'!$I$16,4)+'General inputs'!$H$38,SUM(G25,J25,M25,P25,S25,V25,Y25,AB25,AE25,AH25),"")</f>
        <v>708.0148692720137</v>
      </c>
      <c r="E25" s="222"/>
      <c r="F25" s="220"/>
      <c r="G25" s="223">
        <v>384</v>
      </c>
      <c r="H25" s="222"/>
      <c r="I25" s="220"/>
      <c r="J25" s="223">
        <v>324.0148692720137</v>
      </c>
      <c r="K25" s="222"/>
      <c r="L25" s="263"/>
      <c r="M25" s="223">
        <v>0</v>
      </c>
      <c r="O25" s="39"/>
      <c r="P25" s="45">
        <f t="shared" si="0"/>
        <v>0</v>
      </c>
      <c r="R25" s="39"/>
      <c r="S25" s="45">
        <f t="shared" si="1"/>
        <v>0</v>
      </c>
      <c r="U25" s="39"/>
      <c r="V25" s="45">
        <f t="shared" si="2"/>
        <v>0</v>
      </c>
      <c r="X25" s="39"/>
      <c r="Y25" s="45">
        <f t="shared" si="3"/>
        <v>0</v>
      </c>
      <c r="AA25" s="39"/>
      <c r="AB25" s="45">
        <f t="shared" si="4"/>
        <v>0</v>
      </c>
      <c r="AD25" s="39"/>
      <c r="AE25" s="45">
        <f t="shared" si="5"/>
        <v>0</v>
      </c>
      <c r="AG25" s="39"/>
      <c r="AH25" s="45">
        <f t="shared" si="6"/>
        <v>0</v>
      </c>
      <c r="AR25" s="296"/>
      <c r="AS25" s="296"/>
      <c r="AT25" s="296"/>
      <c r="AU25" s="296"/>
      <c r="AV25" s="296"/>
      <c r="AW25" s="296"/>
      <c r="AX25" s="296"/>
      <c r="AY25" s="296"/>
      <c r="AZ25" s="296"/>
      <c r="BB25" s="297"/>
      <c r="BC25" s="297"/>
    </row>
    <row r="26" spans="3:55" x14ac:dyDescent="0.25">
      <c r="C26" s="28" t="str">
        <f>'MP Calculations'!D53</f>
        <v>2009-10</v>
      </c>
      <c r="D26" s="223">
        <f>IF(LEFT($C26,4)*1&lt;LEFT('General inputs'!$I$16,4)+'General inputs'!$H$38,SUM(G26,J26,M26,P26,S26,V26,Y26,AB26,AE26,AH26),"")</f>
        <v>8780.7380465426249</v>
      </c>
      <c r="E26" s="222"/>
      <c r="F26" s="220"/>
      <c r="G26" s="223">
        <v>374</v>
      </c>
      <c r="H26" s="222"/>
      <c r="I26" s="220"/>
      <c r="J26" s="223">
        <v>151.94284450831904</v>
      </c>
      <c r="K26" s="222"/>
      <c r="L26" s="263"/>
      <c r="M26" s="223">
        <v>8254.7952020343055</v>
      </c>
      <c r="O26" s="39"/>
      <c r="P26" s="45">
        <f t="shared" si="0"/>
        <v>0</v>
      </c>
      <c r="R26" s="39"/>
      <c r="S26" s="45">
        <f t="shared" si="1"/>
        <v>0</v>
      </c>
      <c r="U26" s="39"/>
      <c r="V26" s="45">
        <f t="shared" si="2"/>
        <v>0</v>
      </c>
      <c r="X26" s="39"/>
      <c r="Y26" s="45">
        <f t="shared" si="3"/>
        <v>0</v>
      </c>
      <c r="AA26" s="39"/>
      <c r="AB26" s="45">
        <f t="shared" si="4"/>
        <v>0</v>
      </c>
      <c r="AD26" s="39"/>
      <c r="AE26" s="45">
        <f t="shared" si="5"/>
        <v>0</v>
      </c>
      <c r="AG26" s="39"/>
      <c r="AH26" s="45">
        <f t="shared" si="6"/>
        <v>0</v>
      </c>
      <c r="AR26" s="296"/>
      <c r="AS26" s="296"/>
      <c r="AT26" s="296"/>
      <c r="AU26" s="296"/>
      <c r="AV26" s="296"/>
      <c r="AW26" s="296"/>
      <c r="AX26" s="296"/>
      <c r="AY26" s="296"/>
      <c r="AZ26" s="296"/>
      <c r="BB26" s="297"/>
      <c r="BC26" s="297"/>
    </row>
    <row r="27" spans="3:55" x14ac:dyDescent="0.25">
      <c r="C27" s="28" t="str">
        <f>'MP Calculations'!D54</f>
        <v>2010-11</v>
      </c>
      <c r="D27" s="223">
        <f>IF(LEFT($C27,4)*1&lt;LEFT('General inputs'!$I$16,4)+'General inputs'!$H$38,SUM(G27,J27,M27,P27,S27,V27,Y27,AB27,AE27,AH27),"")</f>
        <v>546.2129235531479</v>
      </c>
      <c r="E27" s="222"/>
      <c r="F27" s="220"/>
      <c r="G27" s="223">
        <v>317</v>
      </c>
      <c r="H27" s="222"/>
      <c r="I27" s="220"/>
      <c r="J27" s="223">
        <v>229.21292355314796</v>
      </c>
      <c r="K27" s="222"/>
      <c r="L27" s="263"/>
      <c r="M27" s="223">
        <v>0</v>
      </c>
      <c r="O27" s="39"/>
      <c r="P27" s="45">
        <f t="shared" si="0"/>
        <v>0</v>
      </c>
      <c r="R27" s="39"/>
      <c r="S27" s="45">
        <f t="shared" si="1"/>
        <v>0</v>
      </c>
      <c r="U27" s="39"/>
      <c r="V27" s="45">
        <f t="shared" si="2"/>
        <v>0</v>
      </c>
      <c r="X27" s="39"/>
      <c r="Y27" s="45">
        <f t="shared" si="3"/>
        <v>0</v>
      </c>
      <c r="AA27" s="39"/>
      <c r="AB27" s="45">
        <f t="shared" si="4"/>
        <v>0</v>
      </c>
      <c r="AD27" s="39"/>
      <c r="AE27" s="45">
        <f t="shared" si="5"/>
        <v>0</v>
      </c>
      <c r="AG27" s="39"/>
      <c r="AH27" s="45">
        <f t="shared" si="6"/>
        <v>0</v>
      </c>
      <c r="AR27" s="296"/>
      <c r="AS27" s="296"/>
      <c r="AT27" s="296"/>
      <c r="AU27" s="296"/>
      <c r="AV27" s="296"/>
      <c r="AW27" s="296"/>
      <c r="AX27" s="296"/>
      <c r="AY27" s="296"/>
      <c r="AZ27" s="296"/>
      <c r="BB27" s="297"/>
      <c r="BC27" s="297"/>
    </row>
    <row r="28" spans="3:55" x14ac:dyDescent="0.25">
      <c r="C28" s="28" t="str">
        <f>'MP Calculations'!D55</f>
        <v>2011-12</v>
      </c>
      <c r="D28" s="223">
        <f>IF(LEFT($C28,4)*1&lt;LEFT('General inputs'!$I$16,4)+'General inputs'!$H$38,SUM(G28,J28,M28,P28,S28,V28,Y28,AB28,AE28,AH28),"")</f>
        <v>1113.7496545243491</v>
      </c>
      <c r="E28" s="222"/>
      <c r="F28" s="220"/>
      <c r="G28" s="223">
        <v>630</v>
      </c>
      <c r="H28" s="222"/>
      <c r="I28" s="220"/>
      <c r="J28" s="223">
        <v>483.74965452434907</v>
      </c>
      <c r="K28" s="222"/>
      <c r="L28" s="263"/>
      <c r="M28" s="223">
        <v>0</v>
      </c>
      <c r="O28" s="39"/>
      <c r="P28" s="45">
        <f t="shared" si="0"/>
        <v>0</v>
      </c>
      <c r="R28" s="39"/>
      <c r="S28" s="45">
        <f t="shared" si="1"/>
        <v>0</v>
      </c>
      <c r="U28" s="39"/>
      <c r="V28" s="45">
        <f t="shared" si="2"/>
        <v>0</v>
      </c>
      <c r="X28" s="39"/>
      <c r="Y28" s="45">
        <f t="shared" si="3"/>
        <v>0</v>
      </c>
      <c r="AA28" s="39"/>
      <c r="AB28" s="45">
        <f t="shared" si="4"/>
        <v>0</v>
      </c>
      <c r="AD28" s="39"/>
      <c r="AE28" s="45">
        <f t="shared" si="5"/>
        <v>0</v>
      </c>
      <c r="AG28" s="39"/>
      <c r="AH28" s="45">
        <f t="shared" si="6"/>
        <v>0</v>
      </c>
      <c r="AR28" s="296"/>
      <c r="AS28" s="296"/>
      <c r="AT28" s="296"/>
      <c r="AU28" s="296"/>
      <c r="AV28" s="296"/>
      <c r="AW28" s="296"/>
      <c r="AX28" s="296"/>
      <c r="AY28" s="296"/>
      <c r="AZ28" s="296"/>
      <c r="BB28" s="297"/>
      <c r="BC28" s="297"/>
    </row>
    <row r="29" spans="3:55" x14ac:dyDescent="0.25">
      <c r="C29" s="28" t="str">
        <f>'MP Calculations'!D56</f>
        <v>2012-13</v>
      </c>
      <c r="D29" s="223">
        <f>IF(LEFT($C29,4)*1&lt;LEFT('General inputs'!$I$16,4)+'General inputs'!$H$38,SUM(G29,J29,M29,P29,S29,V29,Y29,AB29,AE29,AH29),"")</f>
        <v>2391.8552318832362</v>
      </c>
      <c r="E29" s="222"/>
      <c r="F29" s="220"/>
      <c r="G29" s="223">
        <v>612</v>
      </c>
      <c r="H29" s="222"/>
      <c r="I29" s="220"/>
      <c r="J29" s="223">
        <v>235.70620750649493</v>
      </c>
      <c r="K29" s="222"/>
      <c r="L29" s="263"/>
      <c r="M29" s="223">
        <v>1544.1490243767414</v>
      </c>
      <c r="O29" s="39"/>
      <c r="P29" s="45">
        <f t="shared" si="0"/>
        <v>0</v>
      </c>
      <c r="R29" s="39"/>
      <c r="S29" s="45">
        <f t="shared" si="1"/>
        <v>0</v>
      </c>
      <c r="U29" s="39"/>
      <c r="V29" s="45">
        <f t="shared" si="2"/>
        <v>0</v>
      </c>
      <c r="X29" s="39"/>
      <c r="Y29" s="45">
        <f t="shared" si="3"/>
        <v>0</v>
      </c>
      <c r="AA29" s="39"/>
      <c r="AB29" s="45">
        <f t="shared" si="4"/>
        <v>0</v>
      </c>
      <c r="AD29" s="39"/>
      <c r="AE29" s="45">
        <f t="shared" si="5"/>
        <v>0</v>
      </c>
      <c r="AG29" s="39"/>
      <c r="AH29" s="45">
        <f t="shared" si="6"/>
        <v>0</v>
      </c>
      <c r="AR29" s="296"/>
      <c r="AS29" s="296"/>
      <c r="AT29" s="296"/>
      <c r="AU29" s="296"/>
      <c r="AV29" s="296"/>
      <c r="AW29" s="296"/>
      <c r="AX29" s="296"/>
      <c r="AY29" s="296"/>
      <c r="AZ29" s="296"/>
      <c r="BB29" s="297"/>
      <c r="BC29" s="297"/>
    </row>
    <row r="30" spans="3:55" x14ac:dyDescent="0.25">
      <c r="C30" s="28" t="str">
        <f>'MP Calculations'!D57</f>
        <v>2013-14</v>
      </c>
      <c r="D30" s="223">
        <f>IF(LEFT($C30,4)*1&lt;LEFT('General inputs'!$I$16,4)+'General inputs'!$H$38,SUM(G30,J30,M30,P30,S30,V30,Y30,AB30,AE30,AH30),"")</f>
        <v>855.78165938864629</v>
      </c>
      <c r="E30" s="222"/>
      <c r="F30" s="220"/>
      <c r="G30" s="223">
        <v>548</v>
      </c>
      <c r="H30" s="222"/>
      <c r="I30" s="220"/>
      <c r="J30" s="223">
        <v>307.78165938864629</v>
      </c>
      <c r="K30" s="222"/>
      <c r="L30" s="263"/>
      <c r="M30" s="223">
        <v>0</v>
      </c>
      <c r="O30" s="39"/>
      <c r="P30" s="45">
        <f t="shared" si="0"/>
        <v>0</v>
      </c>
      <c r="R30" s="39"/>
      <c r="S30" s="45">
        <f t="shared" si="1"/>
        <v>0</v>
      </c>
      <c r="U30" s="39"/>
      <c r="V30" s="45">
        <f t="shared" si="2"/>
        <v>0</v>
      </c>
      <c r="X30" s="39"/>
      <c r="Y30" s="45">
        <f t="shared" si="3"/>
        <v>0</v>
      </c>
      <c r="AA30" s="39"/>
      <c r="AB30" s="45">
        <f t="shared" si="4"/>
        <v>0</v>
      </c>
      <c r="AD30" s="39"/>
      <c r="AE30" s="45">
        <f t="shared" si="5"/>
        <v>0</v>
      </c>
      <c r="AG30" s="39"/>
      <c r="AH30" s="45">
        <f t="shared" si="6"/>
        <v>0</v>
      </c>
      <c r="AR30" s="296"/>
      <c r="AS30" s="296"/>
      <c r="AT30" s="296"/>
      <c r="AU30" s="296"/>
      <c r="AV30" s="296"/>
      <c r="AW30" s="296"/>
      <c r="AX30" s="296"/>
      <c r="AY30" s="296"/>
      <c r="AZ30" s="296"/>
      <c r="BB30" s="297"/>
      <c r="BC30" s="297"/>
    </row>
    <row r="31" spans="3:55" x14ac:dyDescent="0.25">
      <c r="C31" s="28" t="str">
        <f>'MP Calculations'!D58</f>
        <v>2014-15</v>
      </c>
      <c r="D31" s="223">
        <f>IF(LEFT($C31,4)*1&lt;LEFT('General inputs'!$I$16,4)+'General inputs'!$H$38,SUM(G31,J31,M31,P31,S31,V31,Y31,AB31,AE31,AH31),"")</f>
        <v>862.99143220385827</v>
      </c>
      <c r="E31" s="222"/>
      <c r="F31" s="220"/>
      <c r="G31" s="223">
        <v>613</v>
      </c>
      <c r="H31" s="222"/>
      <c r="I31" s="220"/>
      <c r="J31" s="223">
        <v>249.99143220385827</v>
      </c>
      <c r="K31" s="222"/>
      <c r="L31" s="263"/>
      <c r="M31" s="223">
        <v>0</v>
      </c>
      <c r="O31" s="39"/>
      <c r="P31" s="45">
        <f t="shared" si="0"/>
        <v>0</v>
      </c>
      <c r="R31" s="39"/>
      <c r="S31" s="45">
        <f t="shared" si="1"/>
        <v>0</v>
      </c>
      <c r="U31" s="39"/>
      <c r="V31" s="45">
        <f t="shared" si="2"/>
        <v>0</v>
      </c>
      <c r="X31" s="39"/>
      <c r="Y31" s="45">
        <f t="shared" si="3"/>
        <v>0</v>
      </c>
      <c r="AA31" s="39"/>
      <c r="AB31" s="45">
        <f t="shared" si="4"/>
        <v>0</v>
      </c>
      <c r="AD31" s="39"/>
      <c r="AE31" s="45">
        <f t="shared" si="5"/>
        <v>0</v>
      </c>
      <c r="AG31" s="39"/>
      <c r="AH31" s="45">
        <f t="shared" si="6"/>
        <v>0</v>
      </c>
      <c r="AR31" s="296"/>
      <c r="AS31" s="296"/>
      <c r="AT31" s="296"/>
      <c r="AU31" s="296"/>
      <c r="AV31" s="296"/>
      <c r="AW31" s="296"/>
      <c r="AX31" s="296"/>
      <c r="AY31" s="296"/>
      <c r="AZ31" s="296"/>
      <c r="BB31" s="297"/>
      <c r="BC31" s="297"/>
    </row>
    <row r="32" spans="3:55" x14ac:dyDescent="0.25">
      <c r="C32" s="28" t="str">
        <f>'MP Calculations'!D59</f>
        <v>2015-16</v>
      </c>
      <c r="D32" s="223">
        <f>IF(LEFT($C32,4)*1&lt;LEFT('General inputs'!$I$16,4)+'General inputs'!$H$38,SUM(G32,J32,M32,P32,S32,V32,Y32,AB32,AE32,AH32),"")</f>
        <v>1723.9866231827673</v>
      </c>
      <c r="E32" s="222"/>
      <c r="F32" s="220"/>
      <c r="G32" s="223">
        <v>1462</v>
      </c>
      <c r="H32" s="222"/>
      <c r="I32" s="220"/>
      <c r="J32" s="223">
        <v>0</v>
      </c>
      <c r="K32" s="222"/>
      <c r="L32" s="263"/>
      <c r="M32" s="223">
        <v>261.98662318276718</v>
      </c>
      <c r="O32" s="39"/>
      <c r="P32" s="45">
        <f t="shared" si="0"/>
        <v>0</v>
      </c>
      <c r="R32" s="39"/>
      <c r="S32" s="45">
        <f t="shared" si="1"/>
        <v>0</v>
      </c>
      <c r="U32" s="39"/>
      <c r="V32" s="45">
        <f t="shared" si="2"/>
        <v>0</v>
      </c>
      <c r="X32" s="39"/>
      <c r="Y32" s="45">
        <f t="shared" si="3"/>
        <v>0</v>
      </c>
      <c r="AA32" s="39"/>
      <c r="AB32" s="45">
        <f t="shared" si="4"/>
        <v>0</v>
      </c>
      <c r="AD32" s="39"/>
      <c r="AE32" s="45">
        <f t="shared" si="5"/>
        <v>0</v>
      </c>
      <c r="AG32" s="39"/>
      <c r="AH32" s="45">
        <f t="shared" si="6"/>
        <v>0</v>
      </c>
      <c r="AR32" s="296"/>
      <c r="AS32" s="296"/>
      <c r="AT32" s="296"/>
      <c r="AU32" s="296"/>
      <c r="AV32" s="296"/>
      <c r="AW32" s="296"/>
      <c r="AX32" s="296"/>
      <c r="AY32" s="296"/>
      <c r="AZ32" s="296"/>
      <c r="BB32" s="297"/>
      <c r="BC32" s="297"/>
    </row>
    <row r="33" spans="3:55" x14ac:dyDescent="0.25">
      <c r="C33" s="28" t="str">
        <f>'MP Calculations'!D60</f>
        <v>2016-17</v>
      </c>
      <c r="D33" s="223">
        <f>IF(LEFT($C33,4)*1&lt;LEFT('General inputs'!$I$16,4)+'General inputs'!$H$38,SUM(G33,J33,M33,P33,S33,V33,Y33,AB33,AE33,AH33),"")</f>
        <v>2020.2634459123628</v>
      </c>
      <c r="E33" s="222"/>
      <c r="F33" s="220"/>
      <c r="G33" s="223">
        <v>788</v>
      </c>
      <c r="H33" s="222"/>
      <c r="I33" s="220"/>
      <c r="J33" s="223">
        <v>502.5801779890553</v>
      </c>
      <c r="K33" s="222"/>
      <c r="L33" s="263"/>
      <c r="M33" s="223">
        <v>729.68326792330765</v>
      </c>
      <c r="O33" s="39"/>
      <c r="P33" s="45">
        <f t="shared" si="0"/>
        <v>0</v>
      </c>
      <c r="R33" s="39"/>
      <c r="S33" s="45">
        <f t="shared" si="1"/>
        <v>0</v>
      </c>
      <c r="U33" s="39"/>
      <c r="V33" s="45">
        <f t="shared" si="2"/>
        <v>0</v>
      </c>
      <c r="X33" s="39"/>
      <c r="Y33" s="45">
        <f t="shared" si="3"/>
        <v>0</v>
      </c>
      <c r="AA33" s="39"/>
      <c r="AB33" s="45">
        <f t="shared" si="4"/>
        <v>0</v>
      </c>
      <c r="AD33" s="39"/>
      <c r="AE33" s="45">
        <f t="shared" si="5"/>
        <v>0</v>
      </c>
      <c r="AG33" s="39"/>
      <c r="AH33" s="45">
        <f t="shared" si="6"/>
        <v>0</v>
      </c>
      <c r="AR33" s="296"/>
      <c r="AS33" s="296"/>
      <c r="AT33" s="296"/>
      <c r="AU33" s="296"/>
      <c r="AV33" s="296"/>
      <c r="AW33" s="296"/>
      <c r="AX33" s="296"/>
      <c r="AY33" s="296"/>
      <c r="AZ33" s="296"/>
      <c r="BB33" s="297"/>
      <c r="BC33" s="297"/>
    </row>
    <row r="34" spans="3:55" x14ac:dyDescent="0.25">
      <c r="C34" s="28" t="str">
        <f>'MP Calculations'!D61</f>
        <v>2017-18</v>
      </c>
      <c r="D34" s="223">
        <f>IF(LEFT($C34,4)*1&lt;LEFT('General inputs'!$I$16,4)+'General inputs'!$H$38,SUM(G34,J34,M34,P34,S34,V34,Y34,AB34,AE34,AH34),"")</f>
        <v>2307.3714001437229</v>
      </c>
      <c r="E34" s="222"/>
      <c r="F34" s="220"/>
      <c r="G34" s="223">
        <v>704</v>
      </c>
      <c r="H34" s="222"/>
      <c r="I34" s="220"/>
      <c r="J34" s="223">
        <v>412.97285943286715</v>
      </c>
      <c r="K34" s="222"/>
      <c r="L34" s="263"/>
      <c r="M34" s="223">
        <v>1190.398540710856</v>
      </c>
      <c r="O34" s="39"/>
      <c r="P34" s="45">
        <f t="shared" si="0"/>
        <v>0</v>
      </c>
      <c r="R34" s="39"/>
      <c r="S34" s="45">
        <f t="shared" si="1"/>
        <v>0</v>
      </c>
      <c r="U34" s="39"/>
      <c r="V34" s="45">
        <f t="shared" si="2"/>
        <v>0</v>
      </c>
      <c r="X34" s="39"/>
      <c r="Y34" s="45">
        <f t="shared" si="3"/>
        <v>0</v>
      </c>
      <c r="AA34" s="39"/>
      <c r="AB34" s="45">
        <f t="shared" si="4"/>
        <v>0</v>
      </c>
      <c r="AD34" s="39"/>
      <c r="AE34" s="45">
        <f t="shared" si="5"/>
        <v>0</v>
      </c>
      <c r="AG34" s="39"/>
      <c r="AH34" s="45">
        <f t="shared" si="6"/>
        <v>0</v>
      </c>
      <c r="AR34" s="296"/>
      <c r="AS34" s="296"/>
      <c r="AT34" s="296"/>
      <c r="AU34" s="296"/>
      <c r="AV34" s="296"/>
      <c r="AW34" s="296"/>
      <c r="AX34" s="296"/>
      <c r="AY34" s="296"/>
      <c r="AZ34" s="296"/>
      <c r="BB34" s="297"/>
      <c r="BC34" s="297"/>
    </row>
    <row r="35" spans="3:55" x14ac:dyDescent="0.25">
      <c r="C35" s="28" t="str">
        <f>'MP Calculations'!D62</f>
        <v>2018-19</v>
      </c>
      <c r="D35" s="223">
        <f>IF(LEFT($C35,4)*1&lt;LEFT('General inputs'!$I$16,4)+'General inputs'!$H$38,SUM(G35,J35,M35,P35,S35,V35,Y35,AB35,AE35,AH35),"")</f>
        <v>963.56845945497753</v>
      </c>
      <c r="E35" s="222"/>
      <c r="F35" s="220"/>
      <c r="G35" s="223">
        <v>498</v>
      </c>
      <c r="H35" s="222"/>
      <c r="I35" s="220"/>
      <c r="J35" s="223">
        <v>465.56845945497759</v>
      </c>
      <c r="K35" s="222"/>
      <c r="L35" s="263"/>
      <c r="M35" s="223">
        <v>0</v>
      </c>
      <c r="O35" s="39"/>
      <c r="P35" s="45">
        <f t="shared" si="0"/>
        <v>0</v>
      </c>
      <c r="R35" s="39"/>
      <c r="S35" s="45">
        <f t="shared" si="1"/>
        <v>0</v>
      </c>
      <c r="U35" s="39"/>
      <c r="V35" s="45">
        <f t="shared" si="2"/>
        <v>0</v>
      </c>
      <c r="X35" s="39"/>
      <c r="Y35" s="45">
        <f t="shared" si="3"/>
        <v>0</v>
      </c>
      <c r="AA35" s="39"/>
      <c r="AB35" s="45">
        <f t="shared" si="4"/>
        <v>0</v>
      </c>
      <c r="AD35" s="39"/>
      <c r="AE35" s="45">
        <f t="shared" si="5"/>
        <v>0</v>
      </c>
      <c r="AG35" s="39"/>
      <c r="AH35" s="45">
        <f t="shared" si="6"/>
        <v>0</v>
      </c>
      <c r="AR35" s="296"/>
      <c r="AS35" s="296"/>
      <c r="AT35" s="296"/>
      <c r="AU35" s="296"/>
      <c r="AV35" s="296"/>
      <c r="AW35" s="296"/>
      <c r="AX35" s="296"/>
      <c r="AY35" s="296"/>
      <c r="AZ35" s="296"/>
      <c r="BB35" s="297"/>
      <c r="BC35" s="297"/>
    </row>
    <row r="36" spans="3:55" x14ac:dyDescent="0.25">
      <c r="C36" s="28" t="str">
        <f>'MP Calculations'!D63</f>
        <v>2019-20</v>
      </c>
      <c r="D36" s="223">
        <f>IF(LEFT($C36,4)*1&lt;LEFT('General inputs'!$I$16,4)+'General inputs'!$H$38,SUM(G36,J36,M36,P36,S36,V36,Y36,AB36,AE36,AH36),"")</f>
        <v>370.08985219171927</v>
      </c>
      <c r="E36" s="222"/>
      <c r="F36" s="220"/>
      <c r="G36" s="223">
        <v>0</v>
      </c>
      <c r="H36" s="222"/>
      <c r="I36" s="220"/>
      <c r="J36" s="223">
        <v>310.37897296998506</v>
      </c>
      <c r="K36" s="222"/>
      <c r="L36" s="263"/>
      <c r="M36" s="223">
        <v>59.710879221734224</v>
      </c>
      <c r="O36" s="39"/>
      <c r="P36" s="45">
        <f t="shared" si="0"/>
        <v>0</v>
      </c>
      <c r="R36" s="39"/>
      <c r="S36" s="45">
        <f t="shared" si="1"/>
        <v>0</v>
      </c>
      <c r="U36" s="39"/>
      <c r="V36" s="45">
        <f t="shared" si="2"/>
        <v>0</v>
      </c>
      <c r="X36" s="39"/>
      <c r="Y36" s="45">
        <f t="shared" si="3"/>
        <v>0</v>
      </c>
      <c r="AA36" s="39"/>
      <c r="AB36" s="45">
        <f t="shared" si="4"/>
        <v>0</v>
      </c>
      <c r="AD36" s="39"/>
      <c r="AE36" s="45">
        <f t="shared" si="5"/>
        <v>0</v>
      </c>
      <c r="AG36" s="39"/>
      <c r="AH36" s="45">
        <f t="shared" si="6"/>
        <v>0</v>
      </c>
      <c r="AR36" s="296"/>
      <c r="AS36" s="296"/>
      <c r="AT36" s="296"/>
      <c r="AU36" s="296"/>
      <c r="AV36" s="296"/>
      <c r="AW36" s="296"/>
      <c r="AX36" s="296"/>
      <c r="AY36" s="296"/>
      <c r="AZ36" s="296"/>
      <c r="BB36" s="297"/>
      <c r="BC36" s="297"/>
    </row>
    <row r="37" spans="3:55" x14ac:dyDescent="0.25">
      <c r="C37" s="28" t="str">
        <f>'MP Calculations'!D64</f>
        <v>2020-21</v>
      </c>
      <c r="D37" s="223">
        <f>IF(LEFT($C37,4)*1&lt;LEFT('General inputs'!$I$16,4)+'General inputs'!$H$38,SUM(G37,J37,M37,P37,S37,V37,Y37,AB37,AE37,AH37),"")</f>
        <v>1022.8587134486388</v>
      </c>
      <c r="E37" s="222"/>
      <c r="F37" s="220"/>
      <c r="G37" s="223">
        <v>462</v>
      </c>
      <c r="H37" s="222"/>
      <c r="I37" s="220"/>
      <c r="J37" s="223">
        <v>487.64562489635728</v>
      </c>
      <c r="K37" s="222"/>
      <c r="L37" s="263"/>
      <c r="M37" s="223">
        <v>73.213088552281533</v>
      </c>
      <c r="O37" s="39"/>
      <c r="P37" s="45">
        <f t="shared" si="0"/>
        <v>0</v>
      </c>
      <c r="R37" s="39"/>
      <c r="S37" s="45">
        <f t="shared" si="1"/>
        <v>0</v>
      </c>
      <c r="U37" s="39"/>
      <c r="V37" s="45">
        <f t="shared" si="2"/>
        <v>0</v>
      </c>
      <c r="X37" s="39"/>
      <c r="Y37" s="45">
        <f t="shared" si="3"/>
        <v>0</v>
      </c>
      <c r="AA37" s="39"/>
      <c r="AB37" s="45">
        <f t="shared" si="4"/>
        <v>0</v>
      </c>
      <c r="AD37" s="39"/>
      <c r="AE37" s="45">
        <f t="shared" si="5"/>
        <v>0</v>
      </c>
      <c r="AG37" s="39"/>
      <c r="AH37" s="45">
        <f t="shared" si="6"/>
        <v>0</v>
      </c>
      <c r="AR37" s="296"/>
      <c r="AS37" s="296"/>
      <c r="AT37" s="296"/>
      <c r="AU37" s="296"/>
      <c r="AV37" s="296"/>
      <c r="AW37" s="296"/>
      <c r="AX37" s="296"/>
      <c r="AY37" s="296"/>
      <c r="AZ37" s="296"/>
      <c r="BB37" s="297"/>
      <c r="BC37" s="297"/>
    </row>
    <row r="38" spans="3:55" x14ac:dyDescent="0.25">
      <c r="C38" s="226" t="str">
        <f>'MP Calculations'!D65</f>
        <v>2021-22</v>
      </c>
      <c r="D38" s="227">
        <f>IF(LEFT($C38,4)*1&lt;LEFT('General inputs'!$I$16,4)+'General inputs'!$H$38,SUM(G38,J38,M38,P38,S38,V38,Y38,AB38,AE38,AH38),"")</f>
        <v>428.56188159858493</v>
      </c>
      <c r="E38" s="228"/>
      <c r="F38" s="229"/>
      <c r="G38" s="227">
        <v>150</v>
      </c>
      <c r="H38" s="228"/>
      <c r="I38" s="229"/>
      <c r="J38" s="227">
        <v>278.56188159858493</v>
      </c>
      <c r="K38" s="228"/>
      <c r="L38" s="264"/>
      <c r="M38" s="227">
        <v>0</v>
      </c>
      <c r="O38" s="39"/>
      <c r="P38" s="45">
        <f t="shared" si="0"/>
        <v>0</v>
      </c>
      <c r="R38" s="39"/>
      <c r="S38" s="45">
        <f t="shared" si="1"/>
        <v>0</v>
      </c>
      <c r="U38" s="39"/>
      <c r="V38" s="45">
        <f t="shared" si="2"/>
        <v>0</v>
      </c>
      <c r="X38" s="39"/>
      <c r="Y38" s="45">
        <f t="shared" si="3"/>
        <v>0</v>
      </c>
      <c r="AA38" s="39"/>
      <c r="AB38" s="45">
        <f t="shared" si="4"/>
        <v>0</v>
      </c>
      <c r="AD38" s="39"/>
      <c r="AE38" s="45">
        <f t="shared" si="5"/>
        <v>0</v>
      </c>
      <c r="AG38" s="39"/>
      <c r="AH38" s="45">
        <f t="shared" si="6"/>
        <v>0</v>
      </c>
      <c r="AR38" s="296"/>
      <c r="AS38" s="296"/>
      <c r="AT38" s="296"/>
      <c r="AU38" s="296"/>
      <c r="AV38" s="296"/>
      <c r="AW38" s="296"/>
      <c r="AX38" s="296"/>
      <c r="AY38" s="296"/>
      <c r="AZ38" s="296"/>
      <c r="BB38" s="297"/>
      <c r="BC38" s="297"/>
    </row>
    <row r="39" spans="3:55" x14ac:dyDescent="0.25">
      <c r="C39" s="28" t="str">
        <f>'MP Calculations'!D66</f>
        <v>2022-23</v>
      </c>
      <c r="D39" s="223">
        <f>IF(LEFT($C39,4)*1&lt;LEFT('General inputs'!$I$16,4)+'General inputs'!$H$38,SUM(G39,J39,M39,P39,S39,V39,Y39,AB39,AE39,AH39),"")</f>
        <v>315.6984624075094</v>
      </c>
      <c r="E39" s="222"/>
      <c r="F39" s="220"/>
      <c r="G39" s="223">
        <v>75.018247658924381</v>
      </c>
      <c r="H39" s="222"/>
      <c r="I39" s="220"/>
      <c r="J39" s="223">
        <v>82.748123425009126</v>
      </c>
      <c r="K39" s="222"/>
      <c r="L39" s="263"/>
      <c r="M39" s="223">
        <v>157.93209132357586</v>
      </c>
      <c r="O39" s="39"/>
      <c r="P39" s="45">
        <f t="shared" si="0"/>
        <v>0</v>
      </c>
      <c r="R39" s="39"/>
      <c r="S39" s="45">
        <f t="shared" si="1"/>
        <v>0</v>
      </c>
      <c r="U39" s="39"/>
      <c r="V39" s="45">
        <f t="shared" si="2"/>
        <v>0</v>
      </c>
      <c r="X39" s="39"/>
      <c r="Y39" s="45">
        <f t="shared" si="3"/>
        <v>0</v>
      </c>
      <c r="AA39" s="39"/>
      <c r="AB39" s="45">
        <f t="shared" si="4"/>
        <v>0</v>
      </c>
      <c r="AD39" s="39"/>
      <c r="AE39" s="45">
        <f t="shared" si="5"/>
        <v>0</v>
      </c>
      <c r="AG39" s="39"/>
      <c r="AH39" s="45">
        <f t="shared" si="6"/>
        <v>0</v>
      </c>
      <c r="AR39" s="296"/>
      <c r="AS39" s="296"/>
      <c r="AT39" s="296"/>
      <c r="AU39" s="296"/>
      <c r="AV39" s="296"/>
      <c r="AW39" s="296"/>
      <c r="AX39" s="296"/>
      <c r="AY39" s="296"/>
      <c r="AZ39" s="296"/>
      <c r="BB39" s="297"/>
      <c r="BC39" s="297"/>
    </row>
    <row r="40" spans="3:55" x14ac:dyDescent="0.25">
      <c r="C40" s="28" t="str">
        <f>'MP Calculations'!D67</f>
        <v>2023-24</v>
      </c>
      <c r="D40" s="223">
        <f>IF(LEFT($C40,4)*1&lt;LEFT('General inputs'!$I$16,4)+'General inputs'!$H$38,SUM(G40,J40,M40,P40,S40,V40,Y40,AB40,AE40,AH40),"")</f>
        <v>377.6504992895035</v>
      </c>
      <c r="E40" s="222"/>
      <c r="F40" s="220"/>
      <c r="G40" s="223">
        <v>90.581039409285083</v>
      </c>
      <c r="H40" s="222"/>
      <c r="I40" s="220"/>
      <c r="J40" s="223">
        <v>97.735666188212306</v>
      </c>
      <c r="K40" s="222"/>
      <c r="L40" s="263"/>
      <c r="M40" s="223">
        <v>189.33379369200614</v>
      </c>
      <c r="O40" s="39"/>
      <c r="P40" s="45">
        <f t="shared" si="0"/>
        <v>0</v>
      </c>
      <c r="R40" s="39"/>
      <c r="S40" s="45">
        <f t="shared" si="1"/>
        <v>0</v>
      </c>
      <c r="U40" s="39"/>
      <c r="V40" s="45">
        <f t="shared" si="2"/>
        <v>0</v>
      </c>
      <c r="X40" s="39"/>
      <c r="Y40" s="45">
        <f t="shared" si="3"/>
        <v>0</v>
      </c>
      <c r="AA40" s="39"/>
      <c r="AB40" s="45">
        <f t="shared" si="4"/>
        <v>0</v>
      </c>
      <c r="AD40" s="39"/>
      <c r="AE40" s="45">
        <f t="shared" si="5"/>
        <v>0</v>
      </c>
      <c r="AG40" s="39"/>
      <c r="AH40" s="45">
        <f t="shared" si="6"/>
        <v>0</v>
      </c>
      <c r="AR40" s="296"/>
      <c r="AS40" s="296"/>
      <c r="AT40" s="296"/>
      <c r="AU40" s="296"/>
      <c r="AV40" s="296"/>
      <c r="AW40" s="296"/>
      <c r="AX40" s="296"/>
      <c r="AY40" s="296"/>
      <c r="AZ40" s="296"/>
      <c r="BB40" s="297"/>
      <c r="BC40" s="297"/>
    </row>
    <row r="41" spans="3:55" x14ac:dyDescent="0.25">
      <c r="C41" s="28" t="str">
        <f>'MP Calculations'!D68</f>
        <v>2024-25</v>
      </c>
      <c r="D41" s="223">
        <f>IF(LEFT($C41,4)*1&lt;LEFT('General inputs'!$I$16,4)+'General inputs'!$H$38,SUM(G41,J41,M41,P41,S41,V41,Y41,AB41,AE41,AH41),"")</f>
        <v>395.53135622608704</v>
      </c>
      <c r="E41" s="222"/>
      <c r="F41" s="220"/>
      <c r="G41" s="223">
        <v>92.44484680453786</v>
      </c>
      <c r="H41" s="222"/>
      <c r="I41" s="220"/>
      <c r="J41" s="223">
        <v>105.96826010039435</v>
      </c>
      <c r="K41" s="222"/>
      <c r="L41" s="263"/>
      <c r="M41" s="223">
        <v>197.11824932115482</v>
      </c>
      <c r="O41" s="39"/>
      <c r="P41" s="45">
        <f t="shared" si="0"/>
        <v>0</v>
      </c>
      <c r="R41" s="39"/>
      <c r="S41" s="45">
        <f t="shared" si="1"/>
        <v>0</v>
      </c>
      <c r="U41" s="39"/>
      <c r="V41" s="45">
        <f t="shared" si="2"/>
        <v>0</v>
      </c>
      <c r="X41" s="39"/>
      <c r="Y41" s="45">
        <f t="shared" si="3"/>
        <v>0</v>
      </c>
      <c r="AA41" s="39"/>
      <c r="AB41" s="45">
        <f t="shared" si="4"/>
        <v>0</v>
      </c>
      <c r="AD41" s="39"/>
      <c r="AE41" s="45">
        <f t="shared" si="5"/>
        <v>0</v>
      </c>
      <c r="AG41" s="39"/>
      <c r="AH41" s="45">
        <f t="shared" si="6"/>
        <v>0</v>
      </c>
      <c r="AR41" s="296"/>
      <c r="AS41" s="296"/>
      <c r="AT41" s="296"/>
      <c r="AU41" s="296"/>
      <c r="AV41" s="296"/>
      <c r="AW41" s="296"/>
      <c r="AX41" s="296"/>
      <c r="AY41" s="296"/>
      <c r="AZ41" s="296"/>
      <c r="BB41" s="297"/>
      <c r="BC41" s="297"/>
    </row>
    <row r="42" spans="3:55" x14ac:dyDescent="0.25">
      <c r="C42" s="28" t="str">
        <f>'MP Calculations'!D69</f>
        <v>2025-26</v>
      </c>
      <c r="D42" s="223">
        <f>IF(LEFT($C42,4)*1&lt;LEFT('General inputs'!$I$16,4)+'General inputs'!$H$38,SUM(G42,J42,M42,P42,S42,V42,Y42,AB42,AE42,AH42),"")</f>
        <v>411.50443811739592</v>
      </c>
      <c r="E42" s="222"/>
      <c r="F42" s="220"/>
      <c r="G42" s="223">
        <v>96.358842334568706</v>
      </c>
      <c r="H42" s="222"/>
      <c r="I42" s="220"/>
      <c r="J42" s="223">
        <v>109.97901098068814</v>
      </c>
      <c r="K42" s="222"/>
      <c r="L42" s="263"/>
      <c r="M42" s="223">
        <v>205.16658480213906</v>
      </c>
      <c r="O42" s="39"/>
      <c r="P42" s="45">
        <f t="shared" si="0"/>
        <v>0</v>
      </c>
      <c r="R42" s="39"/>
      <c r="S42" s="45">
        <f t="shared" si="1"/>
        <v>0</v>
      </c>
      <c r="U42" s="39"/>
      <c r="V42" s="45">
        <f t="shared" si="2"/>
        <v>0</v>
      </c>
      <c r="X42" s="39"/>
      <c r="Y42" s="45">
        <f t="shared" si="3"/>
        <v>0</v>
      </c>
      <c r="AA42" s="39"/>
      <c r="AB42" s="45">
        <f t="shared" si="4"/>
        <v>0</v>
      </c>
      <c r="AD42" s="39"/>
      <c r="AE42" s="45">
        <f t="shared" si="5"/>
        <v>0</v>
      </c>
      <c r="AG42" s="39"/>
      <c r="AH42" s="45">
        <f t="shared" si="6"/>
        <v>0</v>
      </c>
      <c r="AR42" s="296"/>
      <c r="AS42" s="296"/>
      <c r="AT42" s="296"/>
      <c r="AU42" s="296"/>
      <c r="AV42" s="296"/>
      <c r="AW42" s="296"/>
      <c r="AX42" s="296"/>
      <c r="AY42" s="296"/>
      <c r="AZ42" s="296"/>
      <c r="BB42" s="297"/>
      <c r="BC42" s="297"/>
    </row>
    <row r="43" spans="3:55" x14ac:dyDescent="0.25">
      <c r="C43" s="28" t="str">
        <f>'MP Calculations'!D70</f>
        <v>2026-27</v>
      </c>
      <c r="D43" s="223">
        <f>IF(LEFT($C43,4)*1&lt;LEFT('General inputs'!$I$16,4)+'General inputs'!$H$38,SUM(G43,J43,M43,P43,S43,V43,Y43,AB43,AE43,AH43),"")</f>
        <v>419.08365946063071</v>
      </c>
      <c r="E43" s="222"/>
      <c r="F43" s="220"/>
      <c r="G43" s="223">
        <v>98.502220839109398</v>
      </c>
      <c r="H43" s="222"/>
      <c r="I43" s="220"/>
      <c r="J43" s="223">
        <v>111.45665604184903</v>
      </c>
      <c r="K43" s="222"/>
      <c r="L43" s="263"/>
      <c r="M43" s="223">
        <v>209.12478257967229</v>
      </c>
      <c r="O43" s="39"/>
      <c r="P43" s="45">
        <f t="shared" si="0"/>
        <v>0</v>
      </c>
      <c r="R43" s="39"/>
      <c r="S43" s="45">
        <f t="shared" si="1"/>
        <v>0</v>
      </c>
      <c r="U43" s="39"/>
      <c r="V43" s="45">
        <f t="shared" si="2"/>
        <v>0</v>
      </c>
      <c r="X43" s="39"/>
      <c r="Y43" s="45">
        <f t="shared" si="3"/>
        <v>0</v>
      </c>
      <c r="AA43" s="39"/>
      <c r="AB43" s="45">
        <f t="shared" si="4"/>
        <v>0</v>
      </c>
      <c r="AD43" s="39"/>
      <c r="AE43" s="45">
        <f t="shared" si="5"/>
        <v>0</v>
      </c>
      <c r="AG43" s="39"/>
      <c r="AH43" s="45">
        <f t="shared" si="6"/>
        <v>0</v>
      </c>
      <c r="AR43" s="296"/>
      <c r="AS43" s="296"/>
      <c r="AT43" s="296"/>
      <c r="AU43" s="296"/>
      <c r="AV43" s="296"/>
      <c r="AW43" s="296"/>
      <c r="AX43" s="296"/>
      <c r="AY43" s="296"/>
      <c r="AZ43" s="296"/>
      <c r="BB43" s="297"/>
      <c r="BC43" s="297"/>
    </row>
    <row r="44" spans="3:55" x14ac:dyDescent="0.25">
      <c r="C44" s="28" t="str">
        <f>'MP Calculations'!D71</f>
        <v>2027-28</v>
      </c>
      <c r="D44" s="223">
        <f>IF(LEFT($C44,4)*1&lt;LEFT('General inputs'!$I$16,4)+'General inputs'!$H$38,SUM(G44,J44,M44,P44,S44,V44,Y44,AB44,AE44,AH44),"")</f>
        <v>426.98407051139407</v>
      </c>
      <c r="E44" s="222"/>
      <c r="F44" s="220"/>
      <c r="G44" s="223">
        <v>98.222649729821484</v>
      </c>
      <c r="H44" s="222"/>
      <c r="I44" s="220"/>
      <c r="J44" s="223">
        <v>116.73395983170929</v>
      </c>
      <c r="K44" s="222"/>
      <c r="L44" s="263"/>
      <c r="M44" s="223">
        <v>212.0274609498633</v>
      </c>
      <c r="O44" s="39"/>
      <c r="P44" s="45">
        <f t="shared" ref="P44:P75" si="8">O44*$P$9/$F$6</f>
        <v>0</v>
      </c>
      <c r="R44" s="39"/>
      <c r="S44" s="45">
        <f t="shared" ref="S44:S75" si="9">R44*$S$9/$F$6</f>
        <v>0</v>
      </c>
      <c r="U44" s="39"/>
      <c r="V44" s="45">
        <f t="shared" ref="V44:V75" si="10">U44*$V$9/$F$6</f>
        <v>0</v>
      </c>
      <c r="X44" s="39"/>
      <c r="Y44" s="45">
        <f t="shared" ref="Y44:Y75" si="11">X44*$Y$9/$F$6</f>
        <v>0</v>
      </c>
      <c r="AA44" s="39"/>
      <c r="AB44" s="45">
        <f t="shared" ref="AB44:AB75" si="12">AA44*$AB$9/$F$6</f>
        <v>0</v>
      </c>
      <c r="AD44" s="39"/>
      <c r="AE44" s="45">
        <f t="shared" ref="AE44:AE75" si="13">AD44*$AE$9/$F$6</f>
        <v>0</v>
      </c>
      <c r="AG44" s="39"/>
      <c r="AH44" s="45">
        <f t="shared" ref="AH44:AH75" si="14">AG44*$AH$9/$F$6</f>
        <v>0</v>
      </c>
      <c r="AR44" s="296"/>
      <c r="AS44" s="296"/>
      <c r="AT44" s="296"/>
      <c r="AU44" s="296"/>
      <c r="AV44" s="296"/>
      <c r="AW44" s="296"/>
      <c r="AX44" s="296"/>
      <c r="AY44" s="296"/>
      <c r="AZ44" s="296"/>
      <c r="BB44" s="297"/>
      <c r="BC44" s="297"/>
    </row>
    <row r="45" spans="3:55" x14ac:dyDescent="0.25">
      <c r="C45" s="28" t="str">
        <f>'MP Calculations'!D72</f>
        <v>2028-29</v>
      </c>
      <c r="D45" s="223">
        <f>IF(LEFT($C45,4)*1&lt;LEFT('General inputs'!$I$16,4)+'General inputs'!$H$38,SUM(G45,J45,M45,P45,S45,V45,Y45,AB45,AE45,AH45),"")</f>
        <v>442.70000230307312</v>
      </c>
      <c r="E45" s="222"/>
      <c r="F45" s="220"/>
      <c r="G45" s="223">
        <v>102.88216821795343</v>
      </c>
      <c r="H45" s="222"/>
      <c r="I45" s="220"/>
      <c r="J45" s="223">
        <v>119.47815780243664</v>
      </c>
      <c r="K45" s="222"/>
      <c r="L45" s="263"/>
      <c r="M45" s="223">
        <v>220.33967628268309</v>
      </c>
      <c r="O45" s="39"/>
      <c r="P45" s="45">
        <f t="shared" si="8"/>
        <v>0</v>
      </c>
      <c r="R45" s="39"/>
      <c r="S45" s="45">
        <f t="shared" si="9"/>
        <v>0</v>
      </c>
      <c r="U45" s="39"/>
      <c r="V45" s="45">
        <f t="shared" si="10"/>
        <v>0</v>
      </c>
      <c r="X45" s="39"/>
      <c r="Y45" s="45">
        <f t="shared" si="11"/>
        <v>0</v>
      </c>
      <c r="AA45" s="39"/>
      <c r="AB45" s="45">
        <f t="shared" si="12"/>
        <v>0</v>
      </c>
      <c r="AD45" s="39"/>
      <c r="AE45" s="45">
        <f t="shared" si="13"/>
        <v>0</v>
      </c>
      <c r="AG45" s="39"/>
      <c r="AH45" s="45">
        <f t="shared" si="14"/>
        <v>0</v>
      </c>
      <c r="AR45" s="296"/>
      <c r="AS45" s="296"/>
      <c r="AT45" s="296"/>
      <c r="AU45" s="296"/>
      <c r="AV45" s="296"/>
      <c r="AW45" s="296"/>
      <c r="AX45" s="296"/>
      <c r="AY45" s="296"/>
      <c r="AZ45" s="296"/>
      <c r="BB45" s="297"/>
      <c r="BC45" s="297"/>
    </row>
    <row r="46" spans="3:55" x14ac:dyDescent="0.25">
      <c r="C46" s="28" t="str">
        <f>'MP Calculations'!D73</f>
        <v>2029-30</v>
      </c>
      <c r="D46" s="223">
        <f>IF(LEFT($C46,4)*1&lt;LEFT('General inputs'!$I$16,4)+'General inputs'!$H$38,SUM(G46,J46,M46,P46,S46,V46,Y46,AB46,AE46,AH46),"")</f>
        <v>454.13796264280711</v>
      </c>
      <c r="E46" s="222"/>
      <c r="F46" s="220"/>
      <c r="G46" s="223">
        <v>102.7889778481908</v>
      </c>
      <c r="H46" s="222"/>
      <c r="I46" s="220"/>
      <c r="J46" s="223">
        <v>126.65529095664662</v>
      </c>
      <c r="K46" s="222"/>
      <c r="L46" s="263"/>
      <c r="M46" s="223">
        <v>224.69369383796968</v>
      </c>
      <c r="O46" s="39"/>
      <c r="P46" s="45">
        <f t="shared" si="8"/>
        <v>0</v>
      </c>
      <c r="R46" s="39"/>
      <c r="S46" s="45">
        <f t="shared" si="9"/>
        <v>0</v>
      </c>
      <c r="U46" s="39"/>
      <c r="V46" s="45">
        <f t="shared" si="10"/>
        <v>0</v>
      </c>
      <c r="X46" s="39"/>
      <c r="Y46" s="45">
        <f t="shared" si="11"/>
        <v>0</v>
      </c>
      <c r="AA46" s="39"/>
      <c r="AB46" s="45">
        <f t="shared" si="12"/>
        <v>0</v>
      </c>
      <c r="AD46" s="39"/>
      <c r="AE46" s="45">
        <f t="shared" si="13"/>
        <v>0</v>
      </c>
      <c r="AG46" s="39"/>
      <c r="AH46" s="45">
        <f t="shared" si="14"/>
        <v>0</v>
      </c>
      <c r="AR46" s="296"/>
      <c r="AS46" s="296"/>
      <c r="AT46" s="296"/>
      <c r="AU46" s="296"/>
      <c r="AV46" s="296"/>
      <c r="AW46" s="296"/>
      <c r="AX46" s="296"/>
      <c r="AY46" s="296"/>
      <c r="AZ46" s="296"/>
      <c r="BB46" s="297"/>
      <c r="BC46" s="297"/>
    </row>
    <row r="47" spans="3:55" x14ac:dyDescent="0.25">
      <c r="C47" s="28" t="str">
        <f>'MP Calculations'!D74</f>
        <v>2030-31</v>
      </c>
      <c r="D47" s="223">
        <f>IF(LEFT($C47,4)*1&lt;LEFT('General inputs'!$I$16,4)+'General inputs'!$H$38,SUM(G47,J47,M47,P47,S47,V47,Y47,AB47,AE47,AH47),"")</f>
        <v>460.50565052975742</v>
      </c>
      <c r="E47" s="222"/>
      <c r="F47" s="220"/>
      <c r="G47" s="223">
        <v>103.72088154581718</v>
      </c>
      <c r="H47" s="222"/>
      <c r="I47" s="220"/>
      <c r="J47" s="223">
        <v>129.18839677577955</v>
      </c>
      <c r="K47" s="222"/>
      <c r="L47" s="263"/>
      <c r="M47" s="223">
        <v>227.59637220816069</v>
      </c>
      <c r="O47" s="39"/>
      <c r="P47" s="45">
        <f t="shared" si="8"/>
        <v>0</v>
      </c>
      <c r="R47" s="39"/>
      <c r="S47" s="45">
        <f t="shared" si="9"/>
        <v>0</v>
      </c>
      <c r="U47" s="39"/>
      <c r="V47" s="45">
        <f t="shared" si="10"/>
        <v>0</v>
      </c>
      <c r="X47" s="39"/>
      <c r="Y47" s="45">
        <f t="shared" si="11"/>
        <v>0</v>
      </c>
      <c r="AA47" s="39"/>
      <c r="AB47" s="45">
        <f t="shared" si="12"/>
        <v>0</v>
      </c>
      <c r="AD47" s="39"/>
      <c r="AE47" s="45">
        <f t="shared" si="13"/>
        <v>0</v>
      </c>
      <c r="AG47" s="39"/>
      <c r="AH47" s="45">
        <f t="shared" si="14"/>
        <v>0</v>
      </c>
      <c r="AR47" s="296"/>
      <c r="AS47" s="296"/>
      <c r="AT47" s="296"/>
      <c r="AU47" s="296"/>
      <c r="AV47" s="296"/>
      <c r="AW47" s="296"/>
      <c r="AX47" s="296"/>
      <c r="AY47" s="296"/>
      <c r="AZ47" s="296"/>
      <c r="BB47" s="297"/>
      <c r="BC47" s="297"/>
    </row>
    <row r="48" spans="3:55" x14ac:dyDescent="0.25">
      <c r="C48" s="28" t="str">
        <f>'MP Calculations'!D75</f>
        <v>2031-32</v>
      </c>
      <c r="D48" s="223">
        <f>IF(LEFT($C48,4)*1&lt;LEFT('General inputs'!$I$16,4)+'General inputs'!$H$38,SUM(G48,J48,M48,P48,S48,V48,Y48,AB48,AE48,AH48),"")</f>
        <v>491.42222224582122</v>
      </c>
      <c r="E48" s="222"/>
      <c r="F48" s="220"/>
      <c r="G48" s="223">
        <v>108.56678077347441</v>
      </c>
      <c r="H48" s="222"/>
      <c r="I48" s="220"/>
      <c r="J48" s="223">
        <v>141.00955726506655</v>
      </c>
      <c r="K48" s="222"/>
      <c r="L48" s="263"/>
      <c r="M48" s="223">
        <v>241.84588420728028</v>
      </c>
      <c r="O48" s="39"/>
      <c r="P48" s="45">
        <f t="shared" si="8"/>
        <v>0</v>
      </c>
      <c r="R48" s="39"/>
      <c r="S48" s="45">
        <f t="shared" si="9"/>
        <v>0</v>
      </c>
      <c r="U48" s="39"/>
      <c r="V48" s="45">
        <f t="shared" si="10"/>
        <v>0</v>
      </c>
      <c r="X48" s="39"/>
      <c r="Y48" s="45">
        <f t="shared" si="11"/>
        <v>0</v>
      </c>
      <c r="AA48" s="39"/>
      <c r="AB48" s="45">
        <f t="shared" si="12"/>
        <v>0</v>
      </c>
      <c r="AD48" s="39"/>
      <c r="AE48" s="45">
        <f t="shared" si="13"/>
        <v>0</v>
      </c>
      <c r="AG48" s="39"/>
      <c r="AH48" s="45">
        <f t="shared" si="14"/>
        <v>0</v>
      </c>
      <c r="AR48" s="296"/>
      <c r="AS48" s="296"/>
      <c r="AT48" s="296"/>
      <c r="AU48" s="296"/>
      <c r="AV48" s="296"/>
      <c r="AW48" s="296"/>
      <c r="AX48" s="296"/>
      <c r="AY48" s="296"/>
      <c r="AZ48" s="296"/>
      <c r="BB48" s="297"/>
      <c r="BC48" s="297"/>
    </row>
    <row r="49" spans="3:55" x14ac:dyDescent="0.25">
      <c r="C49" s="28" t="str">
        <f>'MP Calculations'!D76</f>
        <v>2032-33</v>
      </c>
      <c r="D49" s="223">
        <f>IF(LEFT($C49,4)*1&lt;LEFT('General inputs'!$I$16,4)+'General inputs'!$H$38,SUM(G49,J49,M49,P49,S49,V49,Y49,AB49,AE49,AH49),"")</f>
        <v>498.12226894230076</v>
      </c>
      <c r="E49" s="222"/>
      <c r="F49" s="220"/>
      <c r="G49" s="223">
        <v>109.77825558038872</v>
      </c>
      <c r="H49" s="222"/>
      <c r="I49" s="220"/>
      <c r="J49" s="223">
        <v>143.3315709326051</v>
      </c>
      <c r="K49" s="222"/>
      <c r="L49" s="263"/>
      <c r="M49" s="223">
        <v>245.01244242930693</v>
      </c>
      <c r="O49" s="39"/>
      <c r="P49" s="45">
        <f t="shared" si="8"/>
        <v>0</v>
      </c>
      <c r="R49" s="39"/>
      <c r="S49" s="45">
        <f t="shared" si="9"/>
        <v>0</v>
      </c>
      <c r="U49" s="39"/>
      <c r="V49" s="45">
        <f t="shared" si="10"/>
        <v>0</v>
      </c>
      <c r="X49" s="39"/>
      <c r="Y49" s="45">
        <f t="shared" si="11"/>
        <v>0</v>
      </c>
      <c r="AA49" s="39"/>
      <c r="AB49" s="45">
        <f t="shared" si="12"/>
        <v>0</v>
      </c>
      <c r="AD49" s="39"/>
      <c r="AE49" s="45">
        <f t="shared" si="13"/>
        <v>0</v>
      </c>
      <c r="AG49" s="39"/>
      <c r="AH49" s="45">
        <f t="shared" si="14"/>
        <v>0</v>
      </c>
      <c r="AR49" s="296"/>
      <c r="AS49" s="296"/>
      <c r="AT49" s="296"/>
      <c r="AU49" s="296"/>
      <c r="AV49" s="296"/>
      <c r="AW49" s="296"/>
      <c r="AX49" s="296"/>
      <c r="AY49" s="296"/>
      <c r="AZ49" s="296"/>
      <c r="BB49" s="297"/>
      <c r="BC49" s="297"/>
    </row>
    <row r="50" spans="3:55" x14ac:dyDescent="0.25">
      <c r="C50" s="28" t="str">
        <f>'MP Calculations'!D77</f>
        <v>2033-34</v>
      </c>
      <c r="D50" s="223">
        <f>IF(LEFT($C50,4)*1&lt;LEFT('General inputs'!$I$16,4)+'General inputs'!$H$38,SUM(G50,J50,M50,P50,S50,V50,Y50,AB50,AE50,AH50),"")</f>
        <v>502.89269822352196</v>
      </c>
      <c r="E50" s="222"/>
      <c r="F50" s="220"/>
      <c r="G50" s="223">
        <v>110.61696890825247</v>
      </c>
      <c r="H50" s="222"/>
      <c r="I50" s="220"/>
      <c r="J50" s="223">
        <v>145.02030814536039</v>
      </c>
      <c r="K50" s="222"/>
      <c r="L50" s="263"/>
      <c r="M50" s="223">
        <v>247.25542116990908</v>
      </c>
      <c r="O50" s="39"/>
      <c r="P50" s="45">
        <f t="shared" si="8"/>
        <v>0</v>
      </c>
      <c r="R50" s="39"/>
      <c r="S50" s="45">
        <f t="shared" si="9"/>
        <v>0</v>
      </c>
      <c r="U50" s="39"/>
      <c r="V50" s="45">
        <f t="shared" si="10"/>
        <v>0</v>
      </c>
      <c r="X50" s="39"/>
      <c r="Y50" s="45">
        <f t="shared" si="11"/>
        <v>0</v>
      </c>
      <c r="AA50" s="39"/>
      <c r="AB50" s="45">
        <f t="shared" si="12"/>
        <v>0</v>
      </c>
      <c r="AD50" s="39"/>
      <c r="AE50" s="45">
        <f t="shared" si="13"/>
        <v>0</v>
      </c>
      <c r="AG50" s="39"/>
      <c r="AH50" s="45">
        <f t="shared" si="14"/>
        <v>0</v>
      </c>
      <c r="AR50" s="296"/>
      <c r="AS50" s="296"/>
      <c r="AT50" s="296"/>
      <c r="AU50" s="296"/>
      <c r="AV50" s="296"/>
      <c r="AW50" s="296"/>
      <c r="AX50" s="296"/>
      <c r="AY50" s="296"/>
      <c r="AZ50" s="296"/>
      <c r="BB50" s="297"/>
      <c r="BC50" s="297"/>
    </row>
    <row r="51" spans="3:55" x14ac:dyDescent="0.25">
      <c r="C51" s="28" t="str">
        <f>'MP Calculations'!D78</f>
        <v>2034-35</v>
      </c>
      <c r="D51" s="223">
        <f>IF(LEFT($C51,4)*1&lt;LEFT('General inputs'!$I$16,4)+'General inputs'!$H$38,SUM(G51,J51,M51,P51,S51,V51,Y51,AB51,AE51,AH51),"")</f>
        <v>508.1133880961039</v>
      </c>
      <c r="E51" s="222"/>
      <c r="F51" s="220"/>
      <c r="G51" s="223">
        <v>111.64206297564149</v>
      </c>
      <c r="H51" s="222"/>
      <c r="I51" s="220"/>
      <c r="J51" s="223">
        <v>146.70904535811567</v>
      </c>
      <c r="K51" s="222"/>
      <c r="L51" s="263"/>
      <c r="M51" s="223">
        <v>249.76227976234674</v>
      </c>
      <c r="O51" s="39"/>
      <c r="P51" s="45">
        <f t="shared" si="8"/>
        <v>0</v>
      </c>
      <c r="R51" s="39"/>
      <c r="S51" s="45">
        <f t="shared" si="9"/>
        <v>0</v>
      </c>
      <c r="U51" s="39"/>
      <c r="V51" s="45">
        <f t="shared" si="10"/>
        <v>0</v>
      </c>
      <c r="X51" s="39"/>
      <c r="Y51" s="45">
        <f t="shared" si="11"/>
        <v>0</v>
      </c>
      <c r="AA51" s="39"/>
      <c r="AB51" s="45">
        <f t="shared" si="12"/>
        <v>0</v>
      </c>
      <c r="AD51" s="39"/>
      <c r="AE51" s="45">
        <f t="shared" si="13"/>
        <v>0</v>
      </c>
      <c r="AG51" s="39"/>
      <c r="AH51" s="45">
        <f t="shared" si="14"/>
        <v>0</v>
      </c>
      <c r="AR51" s="296"/>
      <c r="AS51" s="296"/>
      <c r="AT51" s="296"/>
      <c r="AU51" s="296"/>
      <c r="AV51" s="296"/>
      <c r="AW51" s="296"/>
      <c r="AX51" s="296"/>
      <c r="AY51" s="296"/>
      <c r="AZ51" s="296"/>
      <c r="BB51" s="297"/>
      <c r="BC51" s="297"/>
    </row>
    <row r="52" spans="3:55" x14ac:dyDescent="0.25">
      <c r="C52" s="28" t="str">
        <f>'MP Calculations'!D79</f>
        <v>2035-36</v>
      </c>
      <c r="D52" s="223">
        <f>IF(LEFT($C52,4)*1&lt;LEFT('General inputs'!$I$16,4)+'General inputs'!$H$38,SUM(G52,J52,M52,P52,S52,V52,Y52,AB52,AE52,AH52),"")</f>
        <v>510.61116788455467</v>
      </c>
      <c r="E52" s="222"/>
      <c r="F52" s="220"/>
      <c r="G52" s="223">
        <v>112.1080148244547</v>
      </c>
      <c r="H52" s="222"/>
      <c r="I52" s="220"/>
      <c r="J52" s="223">
        <v>147.5534139644933</v>
      </c>
      <c r="K52" s="222"/>
      <c r="L52" s="263"/>
      <c r="M52" s="223">
        <v>250.9497390956067</v>
      </c>
      <c r="O52" s="39"/>
      <c r="P52" s="45">
        <f t="shared" si="8"/>
        <v>0</v>
      </c>
      <c r="R52" s="39"/>
      <c r="S52" s="45">
        <f t="shared" si="9"/>
        <v>0</v>
      </c>
      <c r="U52" s="39"/>
      <c r="V52" s="45">
        <f t="shared" si="10"/>
        <v>0</v>
      </c>
      <c r="X52" s="39"/>
      <c r="Y52" s="45">
        <f t="shared" si="11"/>
        <v>0</v>
      </c>
      <c r="AA52" s="39"/>
      <c r="AB52" s="45">
        <f t="shared" si="12"/>
        <v>0</v>
      </c>
      <c r="AD52" s="39"/>
      <c r="AE52" s="45">
        <f t="shared" si="13"/>
        <v>0</v>
      </c>
      <c r="AG52" s="39"/>
      <c r="AH52" s="45">
        <f t="shared" si="14"/>
        <v>0</v>
      </c>
      <c r="AR52" s="296"/>
      <c r="AS52" s="296"/>
      <c r="AT52" s="296"/>
      <c r="AU52" s="296"/>
      <c r="AV52" s="296"/>
      <c r="AW52" s="296"/>
      <c r="AX52" s="296"/>
      <c r="AY52" s="296"/>
      <c r="AZ52" s="296"/>
      <c r="BB52" s="297"/>
      <c r="BC52" s="297"/>
    </row>
    <row r="53" spans="3:55" x14ac:dyDescent="0.25">
      <c r="C53" s="28" t="str">
        <f>'MP Calculations'!D80</f>
        <v>2036-37</v>
      </c>
      <c r="D53" s="223">
        <f>IF(LEFT($C53,4)*1&lt;LEFT('General inputs'!$I$16,4)+'General inputs'!$H$38,SUM(G53,J53,M53,P53,S53,V53,Y53,AB53,AE53,AH53),"")</f>
        <v>513.6771100461981</v>
      </c>
      <c r="E53" s="222"/>
      <c r="F53" s="220"/>
      <c r="G53" s="223">
        <v>112.66715704303053</v>
      </c>
      <c r="H53" s="222"/>
      <c r="I53" s="220"/>
      <c r="J53" s="223">
        <v>148.60887472246534</v>
      </c>
      <c r="K53" s="222"/>
      <c r="L53" s="263"/>
      <c r="M53" s="223">
        <v>252.40107828070222</v>
      </c>
      <c r="O53" s="39"/>
      <c r="P53" s="45">
        <f t="shared" si="8"/>
        <v>0</v>
      </c>
      <c r="R53" s="39"/>
      <c r="S53" s="45">
        <f t="shared" si="9"/>
        <v>0</v>
      </c>
      <c r="U53" s="39"/>
      <c r="V53" s="45">
        <f t="shared" si="10"/>
        <v>0</v>
      </c>
      <c r="X53" s="39"/>
      <c r="Y53" s="45">
        <f t="shared" si="11"/>
        <v>0</v>
      </c>
      <c r="AA53" s="39"/>
      <c r="AB53" s="45">
        <f t="shared" si="12"/>
        <v>0</v>
      </c>
      <c r="AD53" s="39"/>
      <c r="AE53" s="45">
        <f t="shared" si="13"/>
        <v>0</v>
      </c>
      <c r="AG53" s="39"/>
      <c r="AH53" s="45">
        <f t="shared" si="14"/>
        <v>0</v>
      </c>
      <c r="AR53" s="296"/>
      <c r="AS53" s="296"/>
      <c r="AT53" s="296"/>
      <c r="AU53" s="296"/>
      <c r="AV53" s="296"/>
      <c r="AW53" s="296"/>
      <c r="AX53" s="296"/>
      <c r="AY53" s="296"/>
      <c r="AZ53" s="296"/>
      <c r="BB53" s="297"/>
      <c r="BC53" s="297"/>
    </row>
    <row r="54" spans="3:55" x14ac:dyDescent="0.25">
      <c r="C54" s="28" t="str">
        <f>'MP Calculations'!D81</f>
        <v>2037-38</v>
      </c>
      <c r="D54" s="223">
        <f>IF(LEFT($C54,4)*1&lt;LEFT('General inputs'!$I$16,4)+'General inputs'!$H$38,SUM(G54,J54,M54,P54,S54,V54,Y54,AB54,AE54,AH54),"")</f>
        <v>515.60672746145633</v>
      </c>
      <c r="E54" s="222"/>
      <c r="F54" s="220"/>
      <c r="G54" s="223">
        <v>113.03991852208108</v>
      </c>
      <c r="H54" s="222"/>
      <c r="I54" s="220"/>
      <c r="J54" s="223">
        <v>149.24215117724859</v>
      </c>
      <c r="K54" s="222"/>
      <c r="L54" s="263"/>
      <c r="M54" s="223">
        <v>253.32465776212669</v>
      </c>
      <c r="O54" s="39"/>
      <c r="P54" s="45">
        <f t="shared" si="8"/>
        <v>0</v>
      </c>
      <c r="R54" s="39"/>
      <c r="S54" s="45">
        <f t="shared" si="9"/>
        <v>0</v>
      </c>
      <c r="U54" s="39"/>
      <c r="V54" s="45">
        <f t="shared" si="10"/>
        <v>0</v>
      </c>
      <c r="X54" s="39"/>
      <c r="Y54" s="45">
        <f t="shared" si="11"/>
        <v>0</v>
      </c>
      <c r="AA54" s="39"/>
      <c r="AB54" s="45">
        <f t="shared" si="12"/>
        <v>0</v>
      </c>
      <c r="AD54" s="39"/>
      <c r="AE54" s="45">
        <f t="shared" si="13"/>
        <v>0</v>
      </c>
      <c r="AG54" s="39"/>
      <c r="AH54" s="45">
        <f t="shared" si="14"/>
        <v>0</v>
      </c>
      <c r="AR54" s="296"/>
      <c r="AS54" s="296"/>
      <c r="AT54" s="296"/>
      <c r="AU54" s="296"/>
      <c r="AV54" s="296"/>
      <c r="AW54" s="296"/>
      <c r="AX54" s="296"/>
      <c r="AY54" s="296"/>
      <c r="AZ54" s="296"/>
      <c r="BB54" s="297"/>
      <c r="BC54" s="297"/>
    </row>
    <row r="55" spans="3:55" x14ac:dyDescent="0.25">
      <c r="C55" s="28" t="str">
        <f>'MP Calculations'!D82</f>
        <v>2038-39</v>
      </c>
      <c r="D55" s="223">
        <f>IF(LEFT($C55,4)*1&lt;LEFT('General inputs'!$I$16,4)+'General inputs'!$H$38,SUM(G55,J55,M55,P55,S55,V55,Y55,AB55,AE55,AH55),"")</f>
        <v>518.1045072499071</v>
      </c>
      <c r="E55" s="222"/>
      <c r="F55" s="220"/>
      <c r="G55" s="223">
        <v>113.50587037089427</v>
      </c>
      <c r="H55" s="222"/>
      <c r="I55" s="220"/>
      <c r="J55" s="223">
        <v>150.08651978362624</v>
      </c>
      <c r="K55" s="222"/>
      <c r="L55" s="263"/>
      <c r="M55" s="223">
        <v>254.51211709538663</v>
      </c>
      <c r="O55" s="39"/>
      <c r="P55" s="45">
        <f t="shared" si="8"/>
        <v>0</v>
      </c>
      <c r="R55" s="39"/>
      <c r="S55" s="45">
        <f t="shared" si="9"/>
        <v>0</v>
      </c>
      <c r="U55" s="39"/>
      <c r="V55" s="45">
        <f t="shared" si="10"/>
        <v>0</v>
      </c>
      <c r="X55" s="39"/>
      <c r="Y55" s="45">
        <f t="shared" si="11"/>
        <v>0</v>
      </c>
      <c r="AA55" s="39"/>
      <c r="AB55" s="45">
        <f t="shared" si="12"/>
        <v>0</v>
      </c>
      <c r="AD55" s="39"/>
      <c r="AE55" s="45">
        <f t="shared" si="13"/>
        <v>0</v>
      </c>
      <c r="AG55" s="39"/>
      <c r="AH55" s="45">
        <f t="shared" si="14"/>
        <v>0</v>
      </c>
      <c r="AR55" s="296"/>
      <c r="AS55" s="296"/>
      <c r="AT55" s="296"/>
      <c r="AU55" s="296"/>
      <c r="AV55" s="296"/>
      <c r="AW55" s="296"/>
      <c r="AX55" s="296"/>
      <c r="AY55" s="296"/>
      <c r="AZ55" s="296"/>
      <c r="BB55" s="297"/>
      <c r="BC55" s="297"/>
    </row>
    <row r="56" spans="3:55" x14ac:dyDescent="0.25">
      <c r="C56" s="28" t="str">
        <f>'MP Calculations'!D83</f>
        <v>2039-40</v>
      </c>
      <c r="D56" s="223">
        <f>IF(LEFT($C56,4)*1&lt;LEFT('General inputs'!$I$16,4)+'General inputs'!$H$38,SUM(G56,J56,M56,P56,S56,V56,Y56,AB56,AE56,AH56),"")</f>
        <v>521.73861178474317</v>
      </c>
      <c r="E56" s="222"/>
      <c r="F56" s="220"/>
      <c r="G56" s="223">
        <v>114.15820295923275</v>
      </c>
      <c r="H56" s="222"/>
      <c r="I56" s="220"/>
      <c r="J56" s="223">
        <v>151.3530726931927</v>
      </c>
      <c r="K56" s="222"/>
      <c r="L56" s="263"/>
      <c r="M56" s="223">
        <v>256.2273361323177</v>
      </c>
      <c r="O56" s="39"/>
      <c r="P56" s="45">
        <f t="shared" si="8"/>
        <v>0</v>
      </c>
      <c r="R56" s="39"/>
      <c r="S56" s="45">
        <f t="shared" si="9"/>
        <v>0</v>
      </c>
      <c r="U56" s="39"/>
      <c r="V56" s="45">
        <f t="shared" si="10"/>
        <v>0</v>
      </c>
      <c r="X56" s="39"/>
      <c r="Y56" s="45">
        <f t="shared" si="11"/>
        <v>0</v>
      </c>
      <c r="AA56" s="39"/>
      <c r="AB56" s="45">
        <f t="shared" si="12"/>
        <v>0</v>
      </c>
      <c r="AD56" s="39"/>
      <c r="AE56" s="45">
        <f t="shared" si="13"/>
        <v>0</v>
      </c>
      <c r="AG56" s="39"/>
      <c r="AH56" s="45">
        <f t="shared" si="14"/>
        <v>0</v>
      </c>
      <c r="AR56" s="296"/>
      <c r="AS56" s="296"/>
      <c r="AT56" s="296"/>
      <c r="AU56" s="296"/>
      <c r="AV56" s="296"/>
      <c r="AW56" s="296"/>
      <c r="AX56" s="296"/>
      <c r="AY56" s="296"/>
      <c r="AZ56" s="296"/>
      <c r="BB56" s="297"/>
      <c r="BC56" s="297"/>
    </row>
    <row r="57" spans="3:55" x14ac:dyDescent="0.25">
      <c r="C57" s="28" t="str">
        <f>'MP Calculations'!D84</f>
        <v>2040-41</v>
      </c>
      <c r="D57" s="223">
        <f>IF(LEFT($C57,4)*1&lt;LEFT('General inputs'!$I$16,4)+'General inputs'!$H$38,SUM(G57,J57,M57,P57,S57,V57,Y57,AB57,AE57,AH57),"")</f>
        <v>523.10006682680887</v>
      </c>
      <c r="E57" s="222"/>
      <c r="F57" s="220"/>
      <c r="G57" s="223">
        <v>114.43777406852067</v>
      </c>
      <c r="H57" s="222"/>
      <c r="I57" s="220"/>
      <c r="J57" s="223">
        <v>151.77525699638153</v>
      </c>
      <c r="K57" s="222"/>
      <c r="L57" s="263"/>
      <c r="M57" s="223">
        <v>256.88703576190659</v>
      </c>
      <c r="O57" s="39"/>
      <c r="P57" s="45">
        <f t="shared" si="8"/>
        <v>0</v>
      </c>
      <c r="R57" s="39"/>
      <c r="S57" s="45">
        <f t="shared" si="9"/>
        <v>0</v>
      </c>
      <c r="U57" s="39"/>
      <c r="V57" s="45">
        <f t="shared" si="10"/>
        <v>0</v>
      </c>
      <c r="X57" s="39"/>
      <c r="Y57" s="45">
        <f t="shared" si="11"/>
        <v>0</v>
      </c>
      <c r="AA57" s="39"/>
      <c r="AB57" s="45">
        <f t="shared" si="12"/>
        <v>0</v>
      </c>
      <c r="AD57" s="39"/>
      <c r="AE57" s="45">
        <f t="shared" si="13"/>
        <v>0</v>
      </c>
      <c r="AG57" s="39"/>
      <c r="AH57" s="45">
        <f t="shared" si="14"/>
        <v>0</v>
      </c>
      <c r="AR57" s="296"/>
      <c r="AS57" s="296"/>
      <c r="AT57" s="296"/>
      <c r="AU57" s="296"/>
      <c r="AV57" s="296"/>
      <c r="AW57" s="296"/>
      <c r="AX57" s="296"/>
      <c r="AY57" s="296"/>
      <c r="AZ57" s="296"/>
      <c r="BB57" s="297"/>
      <c r="BC57" s="297"/>
    </row>
    <row r="58" spans="3:55" x14ac:dyDescent="0.25">
      <c r="C58" s="28" t="str">
        <f>'MP Calculations'!D85</f>
        <v>2041-42</v>
      </c>
      <c r="D58" s="223">
        <f>IF(LEFT($C58,4)*1&lt;LEFT('General inputs'!$I$16,4)+'General inputs'!$H$38,SUM(G58,J58,M58,P58,S58,V58,Y58,AB58,AE58,AH58),"")</f>
        <v>529.78944025530507</v>
      </c>
      <c r="E58" s="222"/>
      <c r="F58" s="220"/>
      <c r="G58" s="223">
        <v>115.92881998472289</v>
      </c>
      <c r="H58" s="222"/>
      <c r="I58" s="220"/>
      <c r="J58" s="223">
        <v>153.67508636073123</v>
      </c>
      <c r="K58" s="222"/>
      <c r="L58" s="263"/>
      <c r="M58" s="223">
        <v>260.18553390985096</v>
      </c>
      <c r="O58" s="39"/>
      <c r="P58" s="45">
        <f t="shared" si="8"/>
        <v>0</v>
      </c>
      <c r="R58" s="39"/>
      <c r="S58" s="45">
        <f t="shared" si="9"/>
        <v>0</v>
      </c>
      <c r="U58" s="39"/>
      <c r="V58" s="45">
        <f t="shared" si="10"/>
        <v>0</v>
      </c>
      <c r="X58" s="39"/>
      <c r="Y58" s="45">
        <f t="shared" si="11"/>
        <v>0</v>
      </c>
      <c r="AA58" s="39"/>
      <c r="AB58" s="45">
        <f t="shared" si="12"/>
        <v>0</v>
      </c>
      <c r="AD58" s="39"/>
      <c r="AE58" s="45">
        <f t="shared" si="13"/>
        <v>0</v>
      </c>
      <c r="AG58" s="39"/>
      <c r="AH58" s="45">
        <f t="shared" si="14"/>
        <v>0</v>
      </c>
      <c r="AR58" s="296"/>
      <c r="AS58" s="296"/>
      <c r="AT58" s="296"/>
      <c r="AU58" s="296"/>
      <c r="AV58" s="296"/>
      <c r="AW58" s="296"/>
      <c r="AX58" s="296"/>
      <c r="AY58" s="296"/>
      <c r="AZ58" s="296"/>
      <c r="BB58" s="297"/>
      <c r="BC58" s="297"/>
    </row>
    <row r="59" spans="3:55" x14ac:dyDescent="0.25">
      <c r="C59" s="28" t="str">
        <f>'MP Calculations'!D86</f>
        <v>2042-43</v>
      </c>
      <c r="D59" s="223">
        <f>IF(LEFT($C59,4)*1&lt;LEFT('General inputs'!$I$16,4)+'General inputs'!$H$38,SUM(G59,J59,M59,P59,S59,V59,Y59,AB59,AE59,AH59),"")</f>
        <v>532.39444855760439</v>
      </c>
      <c r="E59" s="222"/>
      <c r="F59" s="220"/>
      <c r="G59" s="223">
        <v>116.58115257306136</v>
      </c>
      <c r="H59" s="222"/>
      <c r="I59" s="220"/>
      <c r="J59" s="223">
        <v>154.30836281551447</v>
      </c>
      <c r="K59" s="222"/>
      <c r="L59" s="263"/>
      <c r="M59" s="223">
        <v>261.50493316902862</v>
      </c>
      <c r="O59" s="39"/>
      <c r="P59" s="45">
        <f t="shared" si="8"/>
        <v>0</v>
      </c>
      <c r="R59" s="39"/>
      <c r="S59" s="45">
        <f t="shared" si="9"/>
        <v>0</v>
      </c>
      <c r="U59" s="39"/>
      <c r="V59" s="45">
        <f t="shared" si="10"/>
        <v>0</v>
      </c>
      <c r="X59" s="39"/>
      <c r="Y59" s="45">
        <f t="shared" si="11"/>
        <v>0</v>
      </c>
      <c r="AA59" s="39"/>
      <c r="AB59" s="45">
        <f t="shared" si="12"/>
        <v>0</v>
      </c>
      <c r="AD59" s="39"/>
      <c r="AE59" s="45">
        <f t="shared" si="13"/>
        <v>0</v>
      </c>
      <c r="AG59" s="39"/>
      <c r="AH59" s="45">
        <f t="shared" si="14"/>
        <v>0</v>
      </c>
      <c r="AR59" s="296"/>
      <c r="AS59" s="296"/>
      <c r="AT59" s="296"/>
      <c r="AU59" s="296"/>
      <c r="AV59" s="296"/>
      <c r="AW59" s="296"/>
      <c r="AX59" s="296"/>
      <c r="AY59" s="296"/>
      <c r="AZ59" s="296"/>
      <c r="BB59" s="297"/>
      <c r="BC59" s="297"/>
    </row>
    <row r="60" spans="3:55" x14ac:dyDescent="0.25">
      <c r="C60" s="28" t="str">
        <f>'MP Calculations'!D87</f>
        <v>2043-44</v>
      </c>
      <c r="D60" s="223">
        <f>IF(LEFT($C60,4)*1&lt;LEFT('General inputs'!$I$16,4)+'General inputs'!$H$38,SUM(G60,J60,M60,P60,S60,V60,Y60,AB60,AE60,AH60),"")</f>
        <v>534.77432656422343</v>
      </c>
      <c r="E60" s="222"/>
      <c r="F60" s="220"/>
      <c r="G60" s="223">
        <v>117.1402947916372</v>
      </c>
      <c r="H60" s="222"/>
      <c r="I60" s="220"/>
      <c r="J60" s="223">
        <v>154.94163927029769</v>
      </c>
      <c r="K60" s="222"/>
      <c r="L60" s="263"/>
      <c r="M60" s="223">
        <v>262.69239250228861</v>
      </c>
      <c r="O60" s="39"/>
      <c r="P60" s="45">
        <f t="shared" si="8"/>
        <v>0</v>
      </c>
      <c r="R60" s="39"/>
      <c r="S60" s="45">
        <f t="shared" si="9"/>
        <v>0</v>
      </c>
      <c r="U60" s="39"/>
      <c r="V60" s="45">
        <f t="shared" si="10"/>
        <v>0</v>
      </c>
      <c r="X60" s="39"/>
      <c r="Y60" s="45">
        <f t="shared" si="11"/>
        <v>0</v>
      </c>
      <c r="AA60" s="39"/>
      <c r="AB60" s="45">
        <f t="shared" si="12"/>
        <v>0</v>
      </c>
      <c r="AD60" s="39"/>
      <c r="AE60" s="45">
        <f t="shared" si="13"/>
        <v>0</v>
      </c>
      <c r="AG60" s="39"/>
      <c r="AH60" s="45">
        <f t="shared" si="14"/>
        <v>0</v>
      </c>
      <c r="AR60" s="296"/>
      <c r="AS60" s="296"/>
      <c r="AT60" s="296"/>
      <c r="AU60" s="296"/>
      <c r="AV60" s="296"/>
      <c r="AW60" s="296"/>
      <c r="AX60" s="296"/>
      <c r="AY60" s="296"/>
      <c r="AZ60" s="296"/>
      <c r="BB60" s="297"/>
      <c r="BC60" s="297"/>
    </row>
    <row r="61" spans="3:55" x14ac:dyDescent="0.25">
      <c r="C61" s="28" t="str">
        <f>'MP Calculations'!D88</f>
        <v>2044-45</v>
      </c>
      <c r="D61" s="223">
        <f>IF(LEFT($C61,4)*1&lt;LEFT('General inputs'!$I$16,4)+'General inputs'!$H$38,SUM(G61,J61,M61,P61,S61,V61,Y61,AB61,AE61,AH61),"")</f>
        <v>537.15420457084258</v>
      </c>
      <c r="E61" s="222"/>
      <c r="F61" s="220"/>
      <c r="G61" s="223">
        <v>117.69943701021303</v>
      </c>
      <c r="H61" s="222"/>
      <c r="I61" s="220"/>
      <c r="J61" s="223">
        <v>155.57491572508093</v>
      </c>
      <c r="K61" s="222"/>
      <c r="L61" s="263"/>
      <c r="M61" s="223">
        <v>263.87985183554861</v>
      </c>
      <c r="O61" s="39"/>
      <c r="P61" s="45">
        <f t="shared" si="8"/>
        <v>0</v>
      </c>
      <c r="R61" s="39"/>
      <c r="S61" s="45">
        <f t="shared" si="9"/>
        <v>0</v>
      </c>
      <c r="U61" s="39"/>
      <c r="V61" s="45">
        <f t="shared" si="10"/>
        <v>0</v>
      </c>
      <c r="X61" s="39"/>
      <c r="Y61" s="45">
        <f t="shared" si="11"/>
        <v>0</v>
      </c>
      <c r="AA61" s="39"/>
      <c r="AB61" s="45">
        <f t="shared" si="12"/>
        <v>0</v>
      </c>
      <c r="AD61" s="39"/>
      <c r="AE61" s="45">
        <f t="shared" si="13"/>
        <v>0</v>
      </c>
      <c r="AG61" s="39"/>
      <c r="AH61" s="45">
        <f t="shared" si="14"/>
        <v>0</v>
      </c>
      <c r="AR61" s="296"/>
      <c r="AS61" s="296"/>
      <c r="AT61" s="296"/>
      <c r="AU61" s="296"/>
      <c r="AV61" s="296"/>
      <c r="AW61" s="296"/>
      <c r="AX61" s="296"/>
      <c r="AY61" s="296"/>
      <c r="AZ61" s="296"/>
      <c r="BB61" s="297"/>
      <c r="BC61" s="297"/>
    </row>
    <row r="62" spans="3:55" x14ac:dyDescent="0.25">
      <c r="C62" s="28" t="str">
        <f>'MP Calculations'!D89</f>
        <v>2045-46</v>
      </c>
      <c r="D62" s="223">
        <f>IF(LEFT($C62,4)*1&lt;LEFT('General inputs'!$I$16,4)+'General inputs'!$H$38,SUM(G62,J62,M62,P62,S62,V62,Y62,AB62,AE62,AH62),"")</f>
        <v>544.52964215436327</v>
      </c>
      <c r="E62" s="222"/>
      <c r="F62" s="220"/>
      <c r="G62" s="223">
        <v>119.19048292641526</v>
      </c>
      <c r="H62" s="222"/>
      <c r="I62" s="220"/>
      <c r="J62" s="223">
        <v>157.89692939261946</v>
      </c>
      <c r="K62" s="222"/>
      <c r="L62" s="263"/>
      <c r="M62" s="223">
        <v>267.44222983532853</v>
      </c>
      <c r="O62" s="39"/>
      <c r="P62" s="45">
        <f t="shared" si="8"/>
        <v>0</v>
      </c>
      <c r="R62" s="39"/>
      <c r="S62" s="45">
        <f t="shared" si="9"/>
        <v>0</v>
      </c>
      <c r="U62" s="39"/>
      <c r="V62" s="45">
        <f t="shared" si="10"/>
        <v>0</v>
      </c>
      <c r="X62" s="39"/>
      <c r="Y62" s="45">
        <f t="shared" si="11"/>
        <v>0</v>
      </c>
      <c r="AA62" s="39"/>
      <c r="AB62" s="45">
        <f t="shared" si="12"/>
        <v>0</v>
      </c>
      <c r="AD62" s="39"/>
      <c r="AE62" s="45">
        <f t="shared" si="13"/>
        <v>0</v>
      </c>
      <c r="AG62" s="39"/>
      <c r="AH62" s="45">
        <f t="shared" si="14"/>
        <v>0</v>
      </c>
      <c r="AR62" s="296"/>
      <c r="AS62" s="296"/>
      <c r="AT62" s="296"/>
      <c r="AU62" s="296"/>
      <c r="AV62" s="296"/>
      <c r="AW62" s="296"/>
      <c r="AX62" s="296"/>
      <c r="AY62" s="296"/>
      <c r="AZ62" s="296"/>
      <c r="BB62" s="297"/>
      <c r="BC62" s="297"/>
    </row>
    <row r="63" spans="3:55" x14ac:dyDescent="0.25">
      <c r="C63" s="28" t="str">
        <f>'MP Calculations'!D90</f>
        <v>2046-47</v>
      </c>
      <c r="D63" s="223">
        <f>IF(LEFT($C63,4)*1&lt;LEFT('General inputs'!$I$16,4)+'General inputs'!$H$38,SUM(G63,J63,M63,P63,S63,V63,Y63,AB63,AE63,AH63),"")</f>
        <v>547.47768253417485</v>
      </c>
      <c r="E63" s="222"/>
      <c r="F63" s="220"/>
      <c r="G63" s="223">
        <v>119.84281551475372</v>
      </c>
      <c r="H63" s="222"/>
      <c r="I63" s="220"/>
      <c r="J63" s="223">
        <v>158.74129799899708</v>
      </c>
      <c r="K63" s="222"/>
      <c r="L63" s="263"/>
      <c r="M63" s="223">
        <v>268.89356902042402</v>
      </c>
      <c r="O63" s="39"/>
      <c r="P63" s="45">
        <f t="shared" si="8"/>
        <v>0</v>
      </c>
      <c r="R63" s="39"/>
      <c r="S63" s="45">
        <f t="shared" si="9"/>
        <v>0</v>
      </c>
      <c r="U63" s="39"/>
      <c r="V63" s="45">
        <f t="shared" si="10"/>
        <v>0</v>
      </c>
      <c r="X63" s="39"/>
      <c r="Y63" s="45">
        <f t="shared" si="11"/>
        <v>0</v>
      </c>
      <c r="AA63" s="39"/>
      <c r="AB63" s="45">
        <f t="shared" si="12"/>
        <v>0</v>
      </c>
      <c r="AD63" s="39"/>
      <c r="AE63" s="45">
        <f t="shared" si="13"/>
        <v>0</v>
      </c>
      <c r="AG63" s="39"/>
      <c r="AH63" s="45">
        <f t="shared" si="14"/>
        <v>0</v>
      </c>
      <c r="AR63" s="296"/>
      <c r="AS63" s="296"/>
      <c r="AT63" s="296"/>
      <c r="AU63" s="296"/>
      <c r="AV63" s="296"/>
      <c r="AW63" s="296"/>
      <c r="AX63" s="296"/>
      <c r="AY63" s="296"/>
      <c r="AZ63" s="296"/>
      <c r="BB63" s="297"/>
      <c r="BC63" s="297"/>
    </row>
    <row r="64" spans="3:55" x14ac:dyDescent="0.25">
      <c r="C64" s="28" t="str">
        <f>'MP Calculations'!D91</f>
        <v>2047-48</v>
      </c>
      <c r="D64" s="223">
        <f>IF(LEFT($C64,4)*1&lt;LEFT('General inputs'!$I$16,4)+'General inputs'!$H$38,SUM(G64,J64,M64,P64,S64,V64,Y64,AB64,AE64,AH64),"")</f>
        <v>549.51452846328175</v>
      </c>
      <c r="E64" s="222"/>
      <c r="F64" s="220"/>
      <c r="G64" s="223">
        <v>120.40195773332957</v>
      </c>
      <c r="H64" s="222"/>
      <c r="I64" s="220"/>
      <c r="J64" s="223">
        <v>159.16348230218591</v>
      </c>
      <c r="K64" s="222"/>
      <c r="L64" s="263"/>
      <c r="M64" s="223">
        <v>269.94908842776624</v>
      </c>
      <c r="O64" s="39"/>
      <c r="P64" s="45">
        <f t="shared" si="8"/>
        <v>0</v>
      </c>
      <c r="R64" s="39"/>
      <c r="S64" s="45">
        <f t="shared" si="9"/>
        <v>0</v>
      </c>
      <c r="U64" s="39"/>
      <c r="V64" s="45">
        <f t="shared" si="10"/>
        <v>0</v>
      </c>
      <c r="X64" s="39"/>
      <c r="Y64" s="45">
        <f t="shared" si="11"/>
        <v>0</v>
      </c>
      <c r="AA64" s="39"/>
      <c r="AB64" s="45">
        <f t="shared" si="12"/>
        <v>0</v>
      </c>
      <c r="AD64" s="39"/>
      <c r="AE64" s="45">
        <f t="shared" si="13"/>
        <v>0</v>
      </c>
      <c r="AG64" s="39"/>
      <c r="AH64" s="45">
        <f t="shared" si="14"/>
        <v>0</v>
      </c>
      <c r="AR64" s="296"/>
      <c r="AS64" s="296"/>
      <c r="AT64" s="296"/>
      <c r="AU64" s="296"/>
      <c r="AV64" s="296"/>
      <c r="AW64" s="296"/>
      <c r="AX64" s="296"/>
      <c r="AY64" s="296"/>
      <c r="AZ64" s="296"/>
      <c r="BB64" s="297"/>
      <c r="BC64" s="297"/>
    </row>
    <row r="65" spans="3:55" x14ac:dyDescent="0.25">
      <c r="C65" s="28" t="str">
        <f>'MP Calculations'!D92</f>
        <v>2048-49</v>
      </c>
      <c r="D65" s="223">
        <f>IF(LEFT($C65,4)*1&lt;LEFT('General inputs'!$I$16,4)+'General inputs'!$H$38,SUM(G65,J65,M65,P65,S65,V65,Y65,AB65,AE65,AH65),"")</f>
        <v>551.55137439238865</v>
      </c>
      <c r="E65" s="222"/>
      <c r="F65" s="220"/>
      <c r="G65" s="223">
        <v>120.9610999519054</v>
      </c>
      <c r="H65" s="222"/>
      <c r="I65" s="220"/>
      <c r="J65" s="223">
        <v>159.58566660537474</v>
      </c>
      <c r="K65" s="222"/>
      <c r="L65" s="263"/>
      <c r="M65" s="223">
        <v>271.00460783510846</v>
      </c>
      <c r="O65" s="39"/>
      <c r="P65" s="45">
        <f t="shared" si="8"/>
        <v>0</v>
      </c>
      <c r="R65" s="39"/>
      <c r="S65" s="45">
        <f t="shared" si="9"/>
        <v>0</v>
      </c>
      <c r="U65" s="39"/>
      <c r="V65" s="45">
        <f t="shared" si="10"/>
        <v>0</v>
      </c>
      <c r="X65" s="39"/>
      <c r="Y65" s="45">
        <f t="shared" si="11"/>
        <v>0</v>
      </c>
      <c r="AA65" s="39"/>
      <c r="AB65" s="45">
        <f t="shared" si="12"/>
        <v>0</v>
      </c>
      <c r="AD65" s="39"/>
      <c r="AE65" s="45">
        <f t="shared" si="13"/>
        <v>0</v>
      </c>
      <c r="AG65" s="39"/>
      <c r="AH65" s="45">
        <f t="shared" si="14"/>
        <v>0</v>
      </c>
      <c r="AR65" s="296"/>
      <c r="AS65" s="296"/>
      <c r="AT65" s="296"/>
      <c r="AU65" s="296"/>
      <c r="AV65" s="296"/>
      <c r="AW65" s="296"/>
      <c r="AX65" s="296"/>
      <c r="AY65" s="296"/>
      <c r="AZ65" s="296"/>
      <c r="BB65" s="297"/>
      <c r="BC65" s="297"/>
    </row>
    <row r="66" spans="3:55" x14ac:dyDescent="0.25">
      <c r="C66" s="28" t="str">
        <f>'MP Calculations'!D93</f>
        <v>2049-50</v>
      </c>
      <c r="D66" s="223">
        <f>IF(LEFT($C66,4)*1&lt;LEFT('General inputs'!$I$16,4)+'General inputs'!$H$38,SUM(G66,J66,M66,P66,S66,V66,Y66,AB66,AE66,AH66),"")</f>
        <v>553.36309002581493</v>
      </c>
      <c r="E66" s="222"/>
      <c r="F66" s="220"/>
      <c r="G66" s="223">
        <v>121.42705180071859</v>
      </c>
      <c r="H66" s="222"/>
      <c r="I66" s="220"/>
      <c r="J66" s="223">
        <v>160.00785090856357</v>
      </c>
      <c r="K66" s="222"/>
      <c r="L66" s="263"/>
      <c r="M66" s="223">
        <v>271.92818731653284</v>
      </c>
      <c r="O66" s="39"/>
      <c r="P66" s="45">
        <f t="shared" si="8"/>
        <v>0</v>
      </c>
      <c r="R66" s="39"/>
      <c r="S66" s="45">
        <f t="shared" si="9"/>
        <v>0</v>
      </c>
      <c r="U66" s="39"/>
      <c r="V66" s="45">
        <f t="shared" si="10"/>
        <v>0</v>
      </c>
      <c r="X66" s="39"/>
      <c r="Y66" s="45">
        <f t="shared" si="11"/>
        <v>0</v>
      </c>
      <c r="AA66" s="39"/>
      <c r="AB66" s="45">
        <f t="shared" si="12"/>
        <v>0</v>
      </c>
      <c r="AD66" s="39"/>
      <c r="AE66" s="45">
        <f t="shared" si="13"/>
        <v>0</v>
      </c>
      <c r="AG66" s="39"/>
      <c r="AH66" s="45">
        <f t="shared" si="14"/>
        <v>0</v>
      </c>
      <c r="AR66" s="296"/>
      <c r="AS66" s="296"/>
      <c r="AT66" s="296"/>
      <c r="AU66" s="296"/>
      <c r="AV66" s="296"/>
      <c r="AW66" s="296"/>
      <c r="AX66" s="296"/>
      <c r="AY66" s="296"/>
      <c r="AZ66" s="296"/>
      <c r="BB66" s="297"/>
      <c r="BC66" s="297"/>
    </row>
    <row r="67" spans="3:55" x14ac:dyDescent="0.25">
      <c r="C67" s="28" t="str">
        <f>'MP Calculations'!D94</f>
        <v>2050-51</v>
      </c>
      <c r="D67" s="223">
        <f>IF(LEFT($C67,4)*1&lt;LEFT('General inputs'!$I$16,4)+'General inputs'!$H$38,SUM(G67,J67,M67,P67,S67,V67,Y67,AB67,AE67,AH67),"")</f>
        <v>555.17480565924143</v>
      </c>
      <c r="E67" s="222"/>
      <c r="F67" s="220"/>
      <c r="G67" s="223">
        <v>121.89300364953178</v>
      </c>
      <c r="H67" s="222"/>
      <c r="I67" s="220"/>
      <c r="J67" s="223">
        <v>160.43003521175237</v>
      </c>
      <c r="K67" s="222"/>
      <c r="L67" s="263"/>
      <c r="M67" s="223">
        <v>272.85176679795728</v>
      </c>
      <c r="O67" s="39"/>
      <c r="P67" s="45">
        <f t="shared" si="8"/>
        <v>0</v>
      </c>
      <c r="R67" s="39"/>
      <c r="S67" s="45">
        <f t="shared" si="9"/>
        <v>0</v>
      </c>
      <c r="U67" s="39"/>
      <c r="V67" s="45">
        <f t="shared" si="10"/>
        <v>0</v>
      </c>
      <c r="X67" s="39"/>
      <c r="Y67" s="45">
        <f t="shared" si="11"/>
        <v>0</v>
      </c>
      <c r="AA67" s="39"/>
      <c r="AB67" s="45">
        <f t="shared" si="12"/>
        <v>0</v>
      </c>
      <c r="AD67" s="39"/>
      <c r="AE67" s="45">
        <f t="shared" si="13"/>
        <v>0</v>
      </c>
      <c r="AG67" s="39"/>
      <c r="AH67" s="45">
        <f t="shared" si="14"/>
        <v>0</v>
      </c>
      <c r="AR67" s="296"/>
      <c r="AS67" s="296"/>
      <c r="AT67" s="296"/>
      <c r="AU67" s="296"/>
      <c r="AV67" s="296"/>
      <c r="AW67" s="296"/>
      <c r="AX67" s="296"/>
      <c r="AY67" s="296"/>
      <c r="AZ67" s="296"/>
      <c r="BB67" s="297"/>
      <c r="BC67" s="297"/>
    </row>
    <row r="68" spans="3:55" x14ac:dyDescent="0.25">
      <c r="C68" s="28" t="str">
        <f>'MP Calculations'!D95</f>
        <v>2051-52</v>
      </c>
      <c r="D68" s="223">
        <f>IF(LEFT($C68,4)*1&lt;LEFT('General inputs'!$I$16,4)+'General inputs'!$H$38,SUM(G68,J68,M68,P68,S68,V68,Y68,AB68,AE68,AH68),"")</f>
        <v>555.17480565924143</v>
      </c>
      <c r="E68" s="222"/>
      <c r="F68" s="220"/>
      <c r="G68" s="223">
        <v>121.89300364953178</v>
      </c>
      <c r="H68" s="222"/>
      <c r="I68" s="220"/>
      <c r="J68" s="223">
        <v>160.43003521175237</v>
      </c>
      <c r="K68" s="222"/>
      <c r="L68" s="263"/>
      <c r="M68" s="223">
        <v>272.85176679795728</v>
      </c>
      <c r="O68" s="39"/>
      <c r="P68" s="45">
        <f t="shared" si="8"/>
        <v>0</v>
      </c>
      <c r="R68" s="39"/>
      <c r="S68" s="45">
        <f t="shared" si="9"/>
        <v>0</v>
      </c>
      <c r="U68" s="39"/>
      <c r="V68" s="45">
        <f t="shared" si="10"/>
        <v>0</v>
      </c>
      <c r="X68" s="39"/>
      <c r="Y68" s="45">
        <f t="shared" si="11"/>
        <v>0</v>
      </c>
      <c r="AA68" s="39"/>
      <c r="AB68" s="45">
        <f t="shared" si="12"/>
        <v>0</v>
      </c>
      <c r="AD68" s="39"/>
      <c r="AE68" s="45">
        <f t="shared" si="13"/>
        <v>0</v>
      </c>
      <c r="AG68" s="39"/>
      <c r="AH68" s="45">
        <f t="shared" si="14"/>
        <v>0</v>
      </c>
      <c r="AR68" s="296"/>
      <c r="AS68" s="296"/>
      <c r="AT68" s="296"/>
      <c r="AU68" s="296"/>
      <c r="AV68" s="296"/>
      <c r="AW68" s="296"/>
      <c r="AX68" s="296"/>
      <c r="AY68" s="296"/>
      <c r="AZ68" s="296"/>
      <c r="BB68" s="297"/>
      <c r="BC68" s="297"/>
    </row>
    <row r="69" spans="3:55" x14ac:dyDescent="0.25">
      <c r="C69" s="28" t="str">
        <f>'MP Calculations'!D96</f>
        <v>2052-53</v>
      </c>
      <c r="D69" s="45" t="str">
        <f>IF(LEFT($C69,4)*1&lt;LEFT('General inputs'!$I$16,4)+'General inputs'!$H$38,SUM(G69,J69,M69,P69,S69,V69,Y69,AB69,AE69,AH69),"")</f>
        <v/>
      </c>
      <c r="F69" s="39"/>
      <c r="G69" s="45"/>
      <c r="I69" s="39"/>
      <c r="J69" s="45"/>
      <c r="L69" s="225"/>
      <c r="M69" s="45"/>
      <c r="O69" s="39"/>
      <c r="P69" s="45">
        <f t="shared" si="8"/>
        <v>0</v>
      </c>
      <c r="R69" s="39"/>
      <c r="S69" s="45">
        <f t="shared" si="9"/>
        <v>0</v>
      </c>
      <c r="U69" s="39"/>
      <c r="V69" s="45">
        <f t="shared" si="10"/>
        <v>0</v>
      </c>
      <c r="X69" s="39"/>
      <c r="Y69" s="45">
        <f t="shared" si="11"/>
        <v>0</v>
      </c>
      <c r="AA69" s="39"/>
      <c r="AB69" s="45">
        <f t="shared" si="12"/>
        <v>0</v>
      </c>
      <c r="AD69" s="39"/>
      <c r="AE69" s="45">
        <f t="shared" si="13"/>
        <v>0</v>
      </c>
      <c r="AG69" s="39"/>
      <c r="AH69" s="45">
        <f t="shared" si="14"/>
        <v>0</v>
      </c>
    </row>
    <row r="70" spans="3:55" x14ac:dyDescent="0.25">
      <c r="C70" s="28" t="str">
        <f>'MP Calculations'!D97</f>
        <v>2053-54</v>
      </c>
      <c r="D70" s="45" t="str">
        <f>IF(LEFT($C70,4)*1&lt;LEFT('General inputs'!$I$16,4)+'General inputs'!$H$38,SUM(G70,J70,M70,P70,S70,V70,Y70,AB70,AE70,AH70),"")</f>
        <v/>
      </c>
      <c r="F70" s="39"/>
      <c r="G70" s="45"/>
      <c r="I70" s="39"/>
      <c r="J70" s="45"/>
      <c r="L70" s="225"/>
      <c r="M70" s="45"/>
      <c r="O70" s="39"/>
      <c r="P70" s="45">
        <f t="shared" si="8"/>
        <v>0</v>
      </c>
      <c r="R70" s="39"/>
      <c r="S70" s="45">
        <f t="shared" si="9"/>
        <v>0</v>
      </c>
      <c r="U70" s="39"/>
      <c r="V70" s="45">
        <f t="shared" si="10"/>
        <v>0</v>
      </c>
      <c r="X70" s="39"/>
      <c r="Y70" s="45">
        <f t="shared" si="11"/>
        <v>0</v>
      </c>
      <c r="AA70" s="39"/>
      <c r="AB70" s="45">
        <f t="shared" si="12"/>
        <v>0</v>
      </c>
      <c r="AD70" s="39"/>
      <c r="AE70" s="45">
        <f t="shared" si="13"/>
        <v>0</v>
      </c>
      <c r="AG70" s="39"/>
      <c r="AH70" s="45">
        <f t="shared" si="14"/>
        <v>0</v>
      </c>
    </row>
    <row r="71" spans="3:55" x14ac:dyDescent="0.25">
      <c r="C71" s="28" t="str">
        <f>'MP Calculations'!D98</f>
        <v>2054-55</v>
      </c>
      <c r="D71" s="45" t="str">
        <f>IF(LEFT($C71,4)*1&lt;LEFT('General inputs'!$I$16,4)+'General inputs'!$H$38,SUM(G71,J71,M71,P71,S71,V71,Y71,AB71,AE71,AH71),"")</f>
        <v/>
      </c>
      <c r="F71" s="39"/>
      <c r="G71" s="45"/>
      <c r="I71" s="39"/>
      <c r="J71" s="45"/>
      <c r="L71" s="225"/>
      <c r="M71" s="45"/>
      <c r="O71" s="39"/>
      <c r="P71" s="45">
        <f t="shared" si="8"/>
        <v>0</v>
      </c>
      <c r="R71" s="39"/>
      <c r="S71" s="45">
        <f t="shared" si="9"/>
        <v>0</v>
      </c>
      <c r="U71" s="39"/>
      <c r="V71" s="45">
        <f t="shared" si="10"/>
        <v>0</v>
      </c>
      <c r="X71" s="39"/>
      <c r="Y71" s="45">
        <f t="shared" si="11"/>
        <v>0</v>
      </c>
      <c r="AA71" s="39"/>
      <c r="AB71" s="45">
        <f t="shared" si="12"/>
        <v>0</v>
      </c>
      <c r="AD71" s="39"/>
      <c r="AE71" s="45">
        <f t="shared" si="13"/>
        <v>0</v>
      </c>
      <c r="AG71" s="39"/>
      <c r="AH71" s="45">
        <f t="shared" si="14"/>
        <v>0</v>
      </c>
    </row>
    <row r="72" spans="3:55" x14ac:dyDescent="0.25">
      <c r="C72" s="28" t="str">
        <f>'MP Calculations'!D99</f>
        <v>2055-56</v>
      </c>
      <c r="D72" s="45" t="str">
        <f>IF(LEFT($C72,4)*1&lt;LEFT('General inputs'!$I$16,4)+'General inputs'!$H$38,SUM(G72,J72,M72,P72,S72,V72,Y72,AB72,AE72,AH72),"")</f>
        <v/>
      </c>
      <c r="F72" s="39"/>
      <c r="G72" s="45"/>
      <c r="I72" s="39"/>
      <c r="J72" s="45"/>
      <c r="L72" s="225"/>
      <c r="M72" s="45"/>
      <c r="O72" s="39"/>
      <c r="P72" s="45">
        <f t="shared" si="8"/>
        <v>0</v>
      </c>
      <c r="R72" s="39"/>
      <c r="S72" s="45">
        <f t="shared" si="9"/>
        <v>0</v>
      </c>
      <c r="U72" s="39"/>
      <c r="V72" s="45">
        <f t="shared" si="10"/>
        <v>0</v>
      </c>
      <c r="X72" s="39"/>
      <c r="Y72" s="45">
        <f t="shared" si="11"/>
        <v>0</v>
      </c>
      <c r="AA72" s="39"/>
      <c r="AB72" s="45">
        <f t="shared" si="12"/>
        <v>0</v>
      </c>
      <c r="AD72" s="39"/>
      <c r="AE72" s="45">
        <f t="shared" si="13"/>
        <v>0</v>
      </c>
      <c r="AG72" s="39"/>
      <c r="AH72" s="45">
        <f t="shared" si="14"/>
        <v>0</v>
      </c>
    </row>
    <row r="73" spans="3:55" x14ac:dyDescent="0.25">
      <c r="C73" s="28" t="str">
        <f>'MP Calculations'!D100</f>
        <v>2056-57</v>
      </c>
      <c r="D73" s="45" t="str">
        <f>IF(LEFT($C73,4)*1&lt;LEFT('General inputs'!$I$16,4)+'General inputs'!$H$38,SUM(G73,J73,M73,P73,S73,V73,Y73,AB73,AE73,AH73),"")</f>
        <v/>
      </c>
      <c r="F73" s="39"/>
      <c r="G73" s="45"/>
      <c r="I73" s="39"/>
      <c r="J73" s="45"/>
      <c r="L73" s="225"/>
      <c r="M73" s="45"/>
      <c r="O73" s="39"/>
      <c r="P73" s="45">
        <f t="shared" si="8"/>
        <v>0</v>
      </c>
      <c r="R73" s="39"/>
      <c r="S73" s="45">
        <f t="shared" si="9"/>
        <v>0</v>
      </c>
      <c r="U73" s="39"/>
      <c r="V73" s="45">
        <f t="shared" si="10"/>
        <v>0</v>
      </c>
      <c r="X73" s="39"/>
      <c r="Y73" s="45">
        <f t="shared" si="11"/>
        <v>0</v>
      </c>
      <c r="AA73" s="39"/>
      <c r="AB73" s="45">
        <f t="shared" si="12"/>
        <v>0</v>
      </c>
      <c r="AD73" s="39"/>
      <c r="AE73" s="45">
        <f t="shared" si="13"/>
        <v>0</v>
      </c>
      <c r="AG73" s="39"/>
      <c r="AH73" s="45">
        <f t="shared" si="14"/>
        <v>0</v>
      </c>
    </row>
    <row r="74" spans="3:55" x14ac:dyDescent="0.25">
      <c r="C74" s="28" t="str">
        <f>'MP Calculations'!D101</f>
        <v>2057-58</v>
      </c>
      <c r="D74" s="45" t="str">
        <f>IF(LEFT($C74,4)*1&lt;LEFT('General inputs'!$I$16,4)+'General inputs'!$H$38,SUM(G74,J74,M74,P74,S74,V74,Y74,AB74,AE74,AH74),"")</f>
        <v/>
      </c>
      <c r="F74" s="39"/>
      <c r="G74" s="45"/>
      <c r="I74" s="39"/>
      <c r="J74" s="45"/>
      <c r="L74" s="225"/>
      <c r="M74" s="45"/>
      <c r="O74" s="39"/>
      <c r="P74" s="45">
        <f t="shared" si="8"/>
        <v>0</v>
      </c>
      <c r="R74" s="39"/>
      <c r="S74" s="45">
        <f t="shared" si="9"/>
        <v>0</v>
      </c>
      <c r="U74" s="39"/>
      <c r="V74" s="45">
        <f t="shared" si="10"/>
        <v>0</v>
      </c>
      <c r="X74" s="39"/>
      <c r="Y74" s="45">
        <f t="shared" si="11"/>
        <v>0</v>
      </c>
      <c r="AA74" s="39"/>
      <c r="AB74" s="45">
        <f t="shared" si="12"/>
        <v>0</v>
      </c>
      <c r="AD74" s="39"/>
      <c r="AE74" s="45">
        <f t="shared" si="13"/>
        <v>0</v>
      </c>
      <c r="AG74" s="39"/>
      <c r="AH74" s="45">
        <f t="shared" si="14"/>
        <v>0</v>
      </c>
    </row>
    <row r="75" spans="3:55" x14ac:dyDescent="0.25">
      <c r="C75" s="28" t="str">
        <f>'MP Calculations'!D102</f>
        <v>2058-59</v>
      </c>
      <c r="D75" s="45" t="str">
        <f>IF(LEFT($C75,4)*1&lt;LEFT('General inputs'!$I$16,4)+'General inputs'!$H$38,SUM(G75,J75,M75,P75,S75,V75,Y75,AB75,AE75,AH75),"")</f>
        <v/>
      </c>
      <c r="F75" s="39"/>
      <c r="G75" s="45"/>
      <c r="I75" s="39"/>
      <c r="J75" s="45"/>
      <c r="L75" s="225"/>
      <c r="M75" s="45"/>
      <c r="O75" s="39"/>
      <c r="P75" s="45">
        <f t="shared" si="8"/>
        <v>0</v>
      </c>
      <c r="R75" s="39"/>
      <c r="S75" s="45">
        <f t="shared" si="9"/>
        <v>0</v>
      </c>
      <c r="U75" s="39"/>
      <c r="V75" s="45">
        <f t="shared" si="10"/>
        <v>0</v>
      </c>
      <c r="X75" s="39"/>
      <c r="Y75" s="45">
        <f t="shared" si="11"/>
        <v>0</v>
      </c>
      <c r="AA75" s="39"/>
      <c r="AB75" s="45">
        <f t="shared" si="12"/>
        <v>0</v>
      </c>
      <c r="AD75" s="39"/>
      <c r="AE75" s="45">
        <f t="shared" si="13"/>
        <v>0</v>
      </c>
      <c r="AG75" s="39"/>
      <c r="AH75" s="45">
        <f t="shared" si="14"/>
        <v>0</v>
      </c>
    </row>
    <row r="76" spans="3:55" x14ac:dyDescent="0.25">
      <c r="C76" s="28" t="str">
        <f>'MP Calculations'!D103</f>
        <v>2059-60</v>
      </c>
      <c r="D76" s="45" t="str">
        <f>IF(LEFT($C76,4)*1&lt;LEFT('General inputs'!$I$16,4)+'General inputs'!$H$38,SUM(G76,J76,M76,P76,S76,V76,Y76,AB76,AE76,AH76),"")</f>
        <v/>
      </c>
      <c r="F76" s="39"/>
      <c r="G76" s="45"/>
      <c r="I76" s="39"/>
      <c r="J76" s="45"/>
      <c r="L76" s="225"/>
      <c r="M76" s="45"/>
      <c r="O76" s="39"/>
      <c r="P76" s="45">
        <f t="shared" ref="P76:P102" si="15">O76*$P$9/$F$6</f>
        <v>0</v>
      </c>
      <c r="R76" s="39"/>
      <c r="S76" s="45">
        <f t="shared" ref="S76:S102" si="16">R76*$S$9/$F$6</f>
        <v>0</v>
      </c>
      <c r="U76" s="39"/>
      <c r="V76" s="45">
        <f t="shared" ref="V76:V102" si="17">U76*$V$9/$F$6</f>
        <v>0</v>
      </c>
      <c r="X76" s="39"/>
      <c r="Y76" s="45">
        <f t="shared" ref="Y76:Y102" si="18">X76*$Y$9/$F$6</f>
        <v>0</v>
      </c>
      <c r="AA76" s="39"/>
      <c r="AB76" s="45">
        <f t="shared" ref="AB76:AB102" si="19">AA76*$AB$9/$F$6</f>
        <v>0</v>
      </c>
      <c r="AD76" s="39"/>
      <c r="AE76" s="45">
        <f t="shared" ref="AE76:AE102" si="20">AD76*$AE$9/$F$6</f>
        <v>0</v>
      </c>
      <c r="AG76" s="39"/>
      <c r="AH76" s="45">
        <f t="shared" ref="AH76:AH102" si="21">AG76*$AH$9/$F$6</f>
        <v>0</v>
      </c>
    </row>
    <row r="77" spans="3:55" x14ac:dyDescent="0.25">
      <c r="C77" s="28" t="str">
        <f>'MP Calculations'!D104</f>
        <v>2060-61</v>
      </c>
      <c r="D77" s="45" t="str">
        <f>IF(LEFT($C77,4)*1&lt;LEFT('General inputs'!$I$16,4)+'General inputs'!$H$38,SUM(G77,J77,M77,P77,S77,V77,Y77,AB77,AE77,AH77),"")</f>
        <v/>
      </c>
      <c r="F77" s="39"/>
      <c r="G77" s="45"/>
      <c r="I77" s="39"/>
      <c r="J77" s="45"/>
      <c r="L77" s="225"/>
      <c r="M77" s="45"/>
      <c r="O77" s="39"/>
      <c r="P77" s="45">
        <f t="shared" si="15"/>
        <v>0</v>
      </c>
      <c r="R77" s="39"/>
      <c r="S77" s="45">
        <f t="shared" si="16"/>
        <v>0</v>
      </c>
      <c r="U77" s="39"/>
      <c r="V77" s="45">
        <f t="shared" si="17"/>
        <v>0</v>
      </c>
      <c r="X77" s="39"/>
      <c r="Y77" s="45">
        <f t="shared" si="18"/>
        <v>0</v>
      </c>
      <c r="AA77" s="39"/>
      <c r="AB77" s="45">
        <f t="shared" si="19"/>
        <v>0</v>
      </c>
      <c r="AD77" s="39"/>
      <c r="AE77" s="45">
        <f t="shared" si="20"/>
        <v>0</v>
      </c>
      <c r="AG77" s="39"/>
      <c r="AH77" s="45">
        <f t="shared" si="21"/>
        <v>0</v>
      </c>
    </row>
    <row r="78" spans="3:55" x14ac:dyDescent="0.25">
      <c r="C78" s="28" t="str">
        <f>'MP Calculations'!D105</f>
        <v>2061-62</v>
      </c>
      <c r="D78" s="45" t="str">
        <f>IF(LEFT($C78,4)*1&lt;LEFT('General inputs'!$I$16,4)+'General inputs'!$H$38,SUM(G78,J78,M78,P78,S78,V78,Y78,AB78,AE78,AH78),"")</f>
        <v/>
      </c>
      <c r="F78" s="39"/>
      <c r="G78" s="45"/>
      <c r="I78" s="39"/>
      <c r="J78" s="45"/>
      <c r="L78" s="225"/>
      <c r="M78" s="45"/>
      <c r="O78" s="39"/>
      <c r="P78" s="45">
        <f t="shared" si="15"/>
        <v>0</v>
      </c>
      <c r="R78" s="39"/>
      <c r="S78" s="45">
        <f t="shared" si="16"/>
        <v>0</v>
      </c>
      <c r="U78" s="39"/>
      <c r="V78" s="45">
        <f t="shared" si="17"/>
        <v>0</v>
      </c>
      <c r="X78" s="39"/>
      <c r="Y78" s="45">
        <f t="shared" si="18"/>
        <v>0</v>
      </c>
      <c r="AA78" s="39"/>
      <c r="AB78" s="45">
        <f t="shared" si="19"/>
        <v>0</v>
      </c>
      <c r="AD78" s="39"/>
      <c r="AE78" s="45">
        <f t="shared" si="20"/>
        <v>0</v>
      </c>
      <c r="AG78" s="39"/>
      <c r="AH78" s="45">
        <f t="shared" si="21"/>
        <v>0</v>
      </c>
    </row>
    <row r="79" spans="3:55" x14ac:dyDescent="0.25">
      <c r="C79" s="28" t="str">
        <f>'MP Calculations'!D106</f>
        <v>2062-63</v>
      </c>
      <c r="D79" s="45" t="str">
        <f>IF(LEFT($C79,4)*1&lt;LEFT('General inputs'!$I$16,4)+'General inputs'!$H$38,SUM(G79,J79,M79,P79,S79,V79,Y79,AB79,AE79,AH79),"")</f>
        <v/>
      </c>
      <c r="F79" s="39"/>
      <c r="G79" s="45"/>
      <c r="I79" s="39"/>
      <c r="J79" s="45"/>
      <c r="L79" s="225"/>
      <c r="M79" s="45"/>
      <c r="O79" s="39"/>
      <c r="P79" s="45">
        <f t="shared" si="15"/>
        <v>0</v>
      </c>
      <c r="R79" s="39"/>
      <c r="S79" s="45">
        <f t="shared" si="16"/>
        <v>0</v>
      </c>
      <c r="U79" s="39"/>
      <c r="V79" s="45">
        <f t="shared" si="17"/>
        <v>0</v>
      </c>
      <c r="X79" s="39"/>
      <c r="Y79" s="45">
        <f t="shared" si="18"/>
        <v>0</v>
      </c>
      <c r="AA79" s="39"/>
      <c r="AB79" s="45">
        <f t="shared" si="19"/>
        <v>0</v>
      </c>
      <c r="AD79" s="39"/>
      <c r="AE79" s="45">
        <f t="shared" si="20"/>
        <v>0</v>
      </c>
      <c r="AG79" s="39"/>
      <c r="AH79" s="45">
        <f t="shared" si="21"/>
        <v>0</v>
      </c>
    </row>
    <row r="80" spans="3:55" x14ac:dyDescent="0.25">
      <c r="C80" s="28" t="str">
        <f>'MP Calculations'!D107</f>
        <v>2063-64</v>
      </c>
      <c r="D80" s="45" t="str">
        <f>IF(LEFT($C80,4)*1&lt;LEFT('General inputs'!$I$16,4)+'General inputs'!$H$38,SUM(G80,J80,M80,P80,S80,V80,Y80,AB80,AE80,AH80),"")</f>
        <v/>
      </c>
      <c r="F80" s="39"/>
      <c r="G80" s="45"/>
      <c r="I80" s="39"/>
      <c r="J80" s="45"/>
      <c r="L80" s="225"/>
      <c r="M80" s="45"/>
      <c r="O80" s="39"/>
      <c r="P80" s="45">
        <f t="shared" si="15"/>
        <v>0</v>
      </c>
      <c r="R80" s="39"/>
      <c r="S80" s="45">
        <f t="shared" si="16"/>
        <v>0</v>
      </c>
      <c r="U80" s="39"/>
      <c r="V80" s="45">
        <f t="shared" si="17"/>
        <v>0</v>
      </c>
      <c r="X80" s="39"/>
      <c r="Y80" s="45">
        <f t="shared" si="18"/>
        <v>0</v>
      </c>
      <c r="AA80" s="39"/>
      <c r="AB80" s="45">
        <f t="shared" si="19"/>
        <v>0</v>
      </c>
      <c r="AD80" s="39"/>
      <c r="AE80" s="45">
        <f t="shared" si="20"/>
        <v>0</v>
      </c>
      <c r="AG80" s="39"/>
      <c r="AH80" s="45">
        <f t="shared" si="21"/>
        <v>0</v>
      </c>
    </row>
    <row r="81" spans="3:34" x14ac:dyDescent="0.25">
      <c r="C81" s="28" t="str">
        <f>'MP Calculations'!D108</f>
        <v>2064-65</v>
      </c>
      <c r="D81" s="45" t="str">
        <f>IF(LEFT($C81,4)*1&lt;LEFT('General inputs'!$I$16,4)+'General inputs'!$H$38,SUM(G81,J81,M81,P81,S81,V81,Y81,AB81,AE81,AH81),"")</f>
        <v/>
      </c>
      <c r="F81" s="39"/>
      <c r="G81" s="45"/>
      <c r="I81" s="39"/>
      <c r="J81" s="45"/>
      <c r="L81" s="225"/>
      <c r="M81" s="45"/>
      <c r="O81" s="39"/>
      <c r="P81" s="45">
        <f t="shared" si="15"/>
        <v>0</v>
      </c>
      <c r="R81" s="39"/>
      <c r="S81" s="45">
        <f t="shared" si="16"/>
        <v>0</v>
      </c>
      <c r="U81" s="39"/>
      <c r="V81" s="45">
        <f t="shared" si="17"/>
        <v>0</v>
      </c>
      <c r="X81" s="39"/>
      <c r="Y81" s="45">
        <f t="shared" si="18"/>
        <v>0</v>
      </c>
      <c r="AA81" s="39"/>
      <c r="AB81" s="45">
        <f t="shared" si="19"/>
        <v>0</v>
      </c>
      <c r="AD81" s="39"/>
      <c r="AE81" s="45">
        <f t="shared" si="20"/>
        <v>0</v>
      </c>
      <c r="AG81" s="39"/>
      <c r="AH81" s="45">
        <f t="shared" si="21"/>
        <v>0</v>
      </c>
    </row>
    <row r="82" spans="3:34" x14ac:dyDescent="0.25">
      <c r="C82" s="28" t="str">
        <f>'MP Calculations'!D109</f>
        <v>2065-66</v>
      </c>
      <c r="D82" s="45" t="str">
        <f>IF(LEFT($C82,4)*1&lt;LEFT('General inputs'!$I$16,4)+'General inputs'!$H$38,SUM(G82,J82,M82,P82,S82,V82,Y82,AB82,AE82,AH82),"")</f>
        <v/>
      </c>
      <c r="F82" s="39"/>
      <c r="G82" s="45"/>
      <c r="I82" s="39"/>
      <c r="J82" s="45"/>
      <c r="L82" s="225"/>
      <c r="M82" s="45"/>
      <c r="O82" s="39"/>
      <c r="P82" s="45">
        <f t="shared" si="15"/>
        <v>0</v>
      </c>
      <c r="R82" s="39"/>
      <c r="S82" s="45">
        <f t="shared" si="16"/>
        <v>0</v>
      </c>
      <c r="U82" s="39"/>
      <c r="V82" s="45">
        <f t="shared" si="17"/>
        <v>0</v>
      </c>
      <c r="X82" s="39"/>
      <c r="Y82" s="45">
        <f t="shared" si="18"/>
        <v>0</v>
      </c>
      <c r="AA82" s="39"/>
      <c r="AB82" s="45">
        <f t="shared" si="19"/>
        <v>0</v>
      </c>
      <c r="AD82" s="39"/>
      <c r="AE82" s="45">
        <f t="shared" si="20"/>
        <v>0</v>
      </c>
      <c r="AG82" s="39"/>
      <c r="AH82" s="45">
        <f t="shared" si="21"/>
        <v>0</v>
      </c>
    </row>
    <row r="83" spans="3:34" x14ac:dyDescent="0.25">
      <c r="C83" s="28" t="str">
        <f>'MP Calculations'!D110</f>
        <v>2066-67</v>
      </c>
      <c r="D83" s="45" t="str">
        <f>IF(LEFT($C83,4)*1&lt;LEFT('General inputs'!$I$16,4)+'General inputs'!$H$38,SUM(G83,J83,M83,P83,S83,V83,Y83,AB83,AE83,AH83),"")</f>
        <v/>
      </c>
      <c r="F83" s="39"/>
      <c r="G83" s="45"/>
      <c r="I83" s="39"/>
      <c r="J83" s="45"/>
      <c r="L83" s="225"/>
      <c r="M83" s="45"/>
      <c r="O83" s="39"/>
      <c r="P83" s="45">
        <f t="shared" si="15"/>
        <v>0</v>
      </c>
      <c r="R83" s="39"/>
      <c r="S83" s="45">
        <f t="shared" si="16"/>
        <v>0</v>
      </c>
      <c r="U83" s="39"/>
      <c r="V83" s="45">
        <f t="shared" si="17"/>
        <v>0</v>
      </c>
      <c r="X83" s="39"/>
      <c r="Y83" s="45">
        <f t="shared" si="18"/>
        <v>0</v>
      </c>
      <c r="AA83" s="39"/>
      <c r="AB83" s="45">
        <f t="shared" si="19"/>
        <v>0</v>
      </c>
      <c r="AD83" s="39"/>
      <c r="AE83" s="45">
        <f t="shared" si="20"/>
        <v>0</v>
      </c>
      <c r="AG83" s="39"/>
      <c r="AH83" s="45">
        <f t="shared" si="21"/>
        <v>0</v>
      </c>
    </row>
    <row r="84" spans="3:34" x14ac:dyDescent="0.25">
      <c r="C84" s="28" t="str">
        <f>'MP Calculations'!D111</f>
        <v>2067-68</v>
      </c>
      <c r="D84" s="45" t="str">
        <f>IF(LEFT($C84,4)*1&lt;LEFT('General inputs'!$I$16,4)+'General inputs'!$H$38,SUM(G84,J84,M84,P84,S84,V84,Y84,AB84,AE84,AH84),"")</f>
        <v/>
      </c>
      <c r="F84" s="39"/>
      <c r="G84" s="45"/>
      <c r="I84" s="39"/>
      <c r="J84" s="45"/>
      <c r="L84" s="225"/>
      <c r="M84" s="45"/>
      <c r="O84" s="39"/>
      <c r="P84" s="45">
        <f t="shared" si="15"/>
        <v>0</v>
      </c>
      <c r="R84" s="39"/>
      <c r="S84" s="45">
        <f t="shared" si="16"/>
        <v>0</v>
      </c>
      <c r="U84" s="39"/>
      <c r="V84" s="45">
        <f t="shared" si="17"/>
        <v>0</v>
      </c>
      <c r="X84" s="39"/>
      <c r="Y84" s="45">
        <f t="shared" si="18"/>
        <v>0</v>
      </c>
      <c r="AA84" s="39"/>
      <c r="AB84" s="45">
        <f t="shared" si="19"/>
        <v>0</v>
      </c>
      <c r="AD84" s="39"/>
      <c r="AE84" s="45">
        <f t="shared" si="20"/>
        <v>0</v>
      </c>
      <c r="AG84" s="39"/>
      <c r="AH84" s="45">
        <f t="shared" si="21"/>
        <v>0</v>
      </c>
    </row>
    <row r="85" spans="3:34" x14ac:dyDescent="0.25">
      <c r="C85" s="28" t="str">
        <f>'MP Calculations'!D112</f>
        <v>2068-69</v>
      </c>
      <c r="D85" s="45" t="str">
        <f>IF(LEFT($C85,4)*1&lt;LEFT('General inputs'!$I$16,4)+'General inputs'!$H$38,SUM(G85,J85,M85,P85,S85,V85,Y85,AB85,AE85,AH85),"")</f>
        <v/>
      </c>
      <c r="F85" s="39"/>
      <c r="G85" s="45"/>
      <c r="I85" s="39"/>
      <c r="J85" s="45"/>
      <c r="L85" s="225"/>
      <c r="M85" s="45"/>
      <c r="O85" s="39"/>
      <c r="P85" s="45">
        <f t="shared" si="15"/>
        <v>0</v>
      </c>
      <c r="R85" s="39"/>
      <c r="S85" s="45">
        <f t="shared" si="16"/>
        <v>0</v>
      </c>
      <c r="U85" s="39"/>
      <c r="V85" s="45">
        <f t="shared" si="17"/>
        <v>0</v>
      </c>
      <c r="X85" s="39"/>
      <c r="Y85" s="45">
        <f t="shared" si="18"/>
        <v>0</v>
      </c>
      <c r="AA85" s="39"/>
      <c r="AB85" s="45">
        <f t="shared" si="19"/>
        <v>0</v>
      </c>
      <c r="AD85" s="39"/>
      <c r="AE85" s="45">
        <f t="shared" si="20"/>
        <v>0</v>
      </c>
      <c r="AG85" s="39"/>
      <c r="AH85" s="45">
        <f t="shared" si="21"/>
        <v>0</v>
      </c>
    </row>
    <row r="86" spans="3:34" x14ac:dyDescent="0.25">
      <c r="C86" s="28" t="str">
        <f>'MP Calculations'!D113</f>
        <v>2069-70</v>
      </c>
      <c r="D86" s="45" t="str">
        <f>IF(LEFT($C86,4)*1&lt;LEFT('General inputs'!$I$16,4)+'General inputs'!$H$38,SUM(G86,J86,M86,P86,S86,V86,Y86,AB86,AE86,AH86),"")</f>
        <v/>
      </c>
      <c r="F86" s="39"/>
      <c r="G86" s="45"/>
      <c r="I86" s="39"/>
      <c r="J86" s="45"/>
      <c r="L86" s="225"/>
      <c r="M86" s="45"/>
      <c r="O86" s="39"/>
      <c r="P86" s="45">
        <f t="shared" si="15"/>
        <v>0</v>
      </c>
      <c r="R86" s="39"/>
      <c r="S86" s="45">
        <f t="shared" si="16"/>
        <v>0</v>
      </c>
      <c r="U86" s="39"/>
      <c r="V86" s="45">
        <f t="shared" si="17"/>
        <v>0</v>
      </c>
      <c r="X86" s="39"/>
      <c r="Y86" s="45">
        <f t="shared" si="18"/>
        <v>0</v>
      </c>
      <c r="AA86" s="39"/>
      <c r="AB86" s="45">
        <f t="shared" si="19"/>
        <v>0</v>
      </c>
      <c r="AD86" s="39"/>
      <c r="AE86" s="45">
        <f t="shared" si="20"/>
        <v>0</v>
      </c>
      <c r="AG86" s="39"/>
      <c r="AH86" s="45">
        <f t="shared" si="21"/>
        <v>0</v>
      </c>
    </row>
    <row r="87" spans="3:34" x14ac:dyDescent="0.25">
      <c r="C87" s="28" t="str">
        <f>'MP Calculations'!D114</f>
        <v>2070-71</v>
      </c>
      <c r="D87" s="45" t="str">
        <f>IF(LEFT($C87,4)*1&lt;LEFT('General inputs'!$I$16,4)+'General inputs'!$H$38,SUM(G87,J87,M87,P87,S87,V87,Y87,AB87,AE87,AH87),"")</f>
        <v/>
      </c>
      <c r="F87" s="39"/>
      <c r="G87" s="45"/>
      <c r="I87" s="39"/>
      <c r="J87" s="45"/>
      <c r="L87" s="225"/>
      <c r="M87" s="45"/>
      <c r="O87" s="39"/>
      <c r="P87" s="45">
        <f t="shared" si="15"/>
        <v>0</v>
      </c>
      <c r="R87" s="39"/>
      <c r="S87" s="45">
        <f t="shared" si="16"/>
        <v>0</v>
      </c>
      <c r="U87" s="39"/>
      <c r="V87" s="45">
        <f t="shared" si="17"/>
        <v>0</v>
      </c>
      <c r="X87" s="39"/>
      <c r="Y87" s="45">
        <f t="shared" si="18"/>
        <v>0</v>
      </c>
      <c r="AA87" s="39"/>
      <c r="AB87" s="45">
        <f t="shared" si="19"/>
        <v>0</v>
      </c>
      <c r="AD87" s="39"/>
      <c r="AE87" s="45">
        <f t="shared" si="20"/>
        <v>0</v>
      </c>
      <c r="AG87" s="39"/>
      <c r="AH87" s="45">
        <f t="shared" si="21"/>
        <v>0</v>
      </c>
    </row>
    <row r="88" spans="3:34" x14ac:dyDescent="0.25">
      <c r="C88" s="28" t="str">
        <f>'MP Calculations'!D115</f>
        <v>2071-72</v>
      </c>
      <c r="D88" s="45" t="str">
        <f>IF(LEFT($C88,4)*1&lt;LEFT('General inputs'!$I$16,4)+'General inputs'!$H$38,SUM(G88,J88,M88,P88,S88,V88,Y88,AB88,AE88,AH88),"")</f>
        <v/>
      </c>
      <c r="F88" s="39"/>
      <c r="G88" s="45"/>
      <c r="I88" s="39"/>
      <c r="J88" s="45"/>
      <c r="L88" s="225"/>
      <c r="M88" s="45"/>
      <c r="O88" s="39"/>
      <c r="P88" s="45">
        <f t="shared" si="15"/>
        <v>0</v>
      </c>
      <c r="R88" s="39"/>
      <c r="S88" s="45">
        <f t="shared" si="16"/>
        <v>0</v>
      </c>
      <c r="U88" s="39"/>
      <c r="V88" s="45">
        <f t="shared" si="17"/>
        <v>0</v>
      </c>
      <c r="X88" s="39"/>
      <c r="Y88" s="45">
        <f t="shared" si="18"/>
        <v>0</v>
      </c>
      <c r="AA88" s="39"/>
      <c r="AB88" s="45">
        <f t="shared" si="19"/>
        <v>0</v>
      </c>
      <c r="AD88" s="39"/>
      <c r="AE88" s="45">
        <f t="shared" si="20"/>
        <v>0</v>
      </c>
      <c r="AG88" s="39"/>
      <c r="AH88" s="45">
        <f t="shared" si="21"/>
        <v>0</v>
      </c>
    </row>
    <row r="89" spans="3:34" x14ac:dyDescent="0.25">
      <c r="C89" s="28" t="str">
        <f>'MP Calculations'!D116</f>
        <v>2072-73</v>
      </c>
      <c r="D89" s="45" t="str">
        <f>IF(LEFT($C89,4)*1&lt;LEFT('General inputs'!$I$16,4)+'General inputs'!$H$38,SUM(G89,J89,M89,P89,S89,V89,Y89,AB89,AE89,AH89),"")</f>
        <v/>
      </c>
      <c r="F89" s="39"/>
      <c r="G89" s="45"/>
      <c r="I89" s="39"/>
      <c r="J89" s="45"/>
      <c r="L89" s="225"/>
      <c r="M89" s="45"/>
      <c r="O89" s="39"/>
      <c r="P89" s="45">
        <f t="shared" si="15"/>
        <v>0</v>
      </c>
      <c r="R89" s="39"/>
      <c r="S89" s="45">
        <f t="shared" si="16"/>
        <v>0</v>
      </c>
      <c r="U89" s="39"/>
      <c r="V89" s="45">
        <f t="shared" si="17"/>
        <v>0</v>
      </c>
      <c r="X89" s="39"/>
      <c r="Y89" s="45">
        <f t="shared" si="18"/>
        <v>0</v>
      </c>
      <c r="AA89" s="39"/>
      <c r="AB89" s="45">
        <f t="shared" si="19"/>
        <v>0</v>
      </c>
      <c r="AD89" s="39"/>
      <c r="AE89" s="45">
        <f t="shared" si="20"/>
        <v>0</v>
      </c>
      <c r="AG89" s="39"/>
      <c r="AH89" s="45">
        <f t="shared" si="21"/>
        <v>0</v>
      </c>
    </row>
    <row r="90" spans="3:34" x14ac:dyDescent="0.25">
      <c r="C90" s="28" t="str">
        <f>'MP Calculations'!D117</f>
        <v>2073-74</v>
      </c>
      <c r="D90" s="45" t="str">
        <f>IF(LEFT($C90,4)*1&lt;LEFT('General inputs'!$I$16,4)+'General inputs'!$H$38,SUM(G90,J90,M90,P90,S90,V90,Y90,AB90,AE90,AH90),"")</f>
        <v/>
      </c>
      <c r="F90" s="39"/>
      <c r="G90" s="45"/>
      <c r="I90" s="39"/>
      <c r="J90" s="45"/>
      <c r="L90" s="225"/>
      <c r="M90" s="45"/>
      <c r="O90" s="39"/>
      <c r="P90" s="45">
        <f t="shared" si="15"/>
        <v>0</v>
      </c>
      <c r="R90" s="39"/>
      <c r="S90" s="45">
        <f t="shared" si="16"/>
        <v>0</v>
      </c>
      <c r="U90" s="39"/>
      <c r="V90" s="45">
        <f t="shared" si="17"/>
        <v>0</v>
      </c>
      <c r="X90" s="39"/>
      <c r="Y90" s="45">
        <f t="shared" si="18"/>
        <v>0</v>
      </c>
      <c r="AA90" s="39"/>
      <c r="AB90" s="45">
        <f t="shared" si="19"/>
        <v>0</v>
      </c>
      <c r="AD90" s="39"/>
      <c r="AE90" s="45">
        <f t="shared" si="20"/>
        <v>0</v>
      </c>
      <c r="AG90" s="39"/>
      <c r="AH90" s="45">
        <f t="shared" si="21"/>
        <v>0</v>
      </c>
    </row>
    <row r="91" spans="3:34" x14ac:dyDescent="0.25">
      <c r="C91" s="28" t="str">
        <f>'MP Calculations'!D118</f>
        <v>2074-75</v>
      </c>
      <c r="D91" s="45" t="str">
        <f>IF(LEFT($C91,4)*1&lt;LEFT('General inputs'!$I$16,4)+'General inputs'!$H$38,SUM(G91,J91,M91,P91,S91,V91,Y91,AB91,AE91,AH91),"")</f>
        <v/>
      </c>
      <c r="F91" s="39"/>
      <c r="G91" s="45"/>
      <c r="I91" s="39"/>
      <c r="J91" s="45"/>
      <c r="L91" s="225"/>
      <c r="M91" s="45"/>
      <c r="O91" s="39"/>
      <c r="P91" s="45">
        <f t="shared" si="15"/>
        <v>0</v>
      </c>
      <c r="R91" s="39"/>
      <c r="S91" s="45">
        <f t="shared" si="16"/>
        <v>0</v>
      </c>
      <c r="U91" s="39"/>
      <c r="V91" s="45">
        <f t="shared" si="17"/>
        <v>0</v>
      </c>
      <c r="X91" s="39"/>
      <c r="Y91" s="45">
        <f t="shared" si="18"/>
        <v>0</v>
      </c>
      <c r="AA91" s="39"/>
      <c r="AB91" s="45">
        <f t="shared" si="19"/>
        <v>0</v>
      </c>
      <c r="AD91" s="39"/>
      <c r="AE91" s="45">
        <f t="shared" si="20"/>
        <v>0</v>
      </c>
      <c r="AG91" s="39"/>
      <c r="AH91" s="45">
        <f t="shared" si="21"/>
        <v>0</v>
      </c>
    </row>
    <row r="92" spans="3:34" x14ac:dyDescent="0.25">
      <c r="C92" s="28" t="str">
        <f>'MP Calculations'!D119</f>
        <v>2075-76</v>
      </c>
      <c r="D92" s="45" t="str">
        <f>IF(LEFT($C92,4)*1&lt;LEFT('General inputs'!$I$16,4)+'General inputs'!$H$38,SUM(G92,J92,M92,P92,S92,V92,Y92,AB92,AE92,AH92),"")</f>
        <v/>
      </c>
      <c r="F92" s="39"/>
      <c r="G92" s="45"/>
      <c r="I92" s="39"/>
      <c r="J92" s="45"/>
      <c r="L92" s="225"/>
      <c r="M92" s="45"/>
      <c r="O92" s="39"/>
      <c r="P92" s="45">
        <f t="shared" si="15"/>
        <v>0</v>
      </c>
      <c r="R92" s="39"/>
      <c r="S92" s="45">
        <f t="shared" si="16"/>
        <v>0</v>
      </c>
      <c r="U92" s="39"/>
      <c r="V92" s="45">
        <f t="shared" si="17"/>
        <v>0</v>
      </c>
      <c r="X92" s="39"/>
      <c r="Y92" s="45">
        <f t="shared" si="18"/>
        <v>0</v>
      </c>
      <c r="AA92" s="39"/>
      <c r="AB92" s="45">
        <f t="shared" si="19"/>
        <v>0</v>
      </c>
      <c r="AD92" s="39"/>
      <c r="AE92" s="45">
        <f t="shared" si="20"/>
        <v>0</v>
      </c>
      <c r="AG92" s="39"/>
      <c r="AH92" s="45">
        <f t="shared" si="21"/>
        <v>0</v>
      </c>
    </row>
    <row r="93" spans="3:34" x14ac:dyDescent="0.25">
      <c r="C93" s="28" t="str">
        <f>'MP Calculations'!D120</f>
        <v>2076-77</v>
      </c>
      <c r="D93" s="45" t="str">
        <f>IF(LEFT($C93,4)*1&lt;LEFT('General inputs'!$I$16,4)+'General inputs'!$H$38,SUM(G93,J93,M93,P93,S93,V93,Y93,AB93,AE93,AH93),"")</f>
        <v/>
      </c>
      <c r="F93" s="39"/>
      <c r="G93" s="45"/>
      <c r="I93" s="39"/>
      <c r="J93" s="45"/>
      <c r="L93" s="225"/>
      <c r="M93" s="45"/>
      <c r="O93" s="39"/>
      <c r="P93" s="45">
        <f t="shared" si="15"/>
        <v>0</v>
      </c>
      <c r="R93" s="39"/>
      <c r="S93" s="45">
        <f t="shared" si="16"/>
        <v>0</v>
      </c>
      <c r="U93" s="39"/>
      <c r="V93" s="45">
        <f t="shared" si="17"/>
        <v>0</v>
      </c>
      <c r="X93" s="39"/>
      <c r="Y93" s="45">
        <f t="shared" si="18"/>
        <v>0</v>
      </c>
      <c r="AA93" s="39"/>
      <c r="AB93" s="45">
        <f t="shared" si="19"/>
        <v>0</v>
      </c>
      <c r="AD93" s="39"/>
      <c r="AE93" s="45">
        <f t="shared" si="20"/>
        <v>0</v>
      </c>
      <c r="AG93" s="39"/>
      <c r="AH93" s="45">
        <f t="shared" si="21"/>
        <v>0</v>
      </c>
    </row>
    <row r="94" spans="3:34" x14ac:dyDescent="0.25">
      <c r="C94" s="28" t="str">
        <f>'MP Calculations'!D121</f>
        <v>2077-78</v>
      </c>
      <c r="D94" s="45" t="str">
        <f>IF(LEFT($C94,4)*1&lt;LEFT('General inputs'!$I$16,4)+'General inputs'!$H$38,SUM(G94,J94,M94,P94,S94,V94,Y94,AB94,AE94,AH94),"")</f>
        <v/>
      </c>
      <c r="F94" s="39"/>
      <c r="G94" s="45"/>
      <c r="I94" s="39"/>
      <c r="J94" s="45"/>
      <c r="L94" s="225"/>
      <c r="M94" s="45"/>
      <c r="O94" s="39"/>
      <c r="P94" s="45">
        <f t="shared" si="15"/>
        <v>0</v>
      </c>
      <c r="R94" s="39"/>
      <c r="S94" s="45">
        <f t="shared" si="16"/>
        <v>0</v>
      </c>
      <c r="U94" s="39"/>
      <c r="V94" s="45">
        <f t="shared" si="17"/>
        <v>0</v>
      </c>
      <c r="X94" s="39"/>
      <c r="Y94" s="45">
        <f t="shared" si="18"/>
        <v>0</v>
      </c>
      <c r="AA94" s="39"/>
      <c r="AB94" s="45">
        <f t="shared" si="19"/>
        <v>0</v>
      </c>
      <c r="AD94" s="39"/>
      <c r="AE94" s="45">
        <f t="shared" si="20"/>
        <v>0</v>
      </c>
      <c r="AG94" s="39"/>
      <c r="AH94" s="45">
        <f t="shared" si="21"/>
        <v>0</v>
      </c>
    </row>
    <row r="95" spans="3:34" x14ac:dyDescent="0.25">
      <c r="C95" s="28" t="str">
        <f>'MP Calculations'!D122</f>
        <v>2078-79</v>
      </c>
      <c r="D95" s="45" t="str">
        <f>IF(LEFT($C95,4)*1&lt;LEFT('General inputs'!$I$16,4)+'General inputs'!$H$38,SUM(G95,J95,M95,P95,S95,V95,Y95,AB95,AE95,AH95),"")</f>
        <v/>
      </c>
      <c r="F95" s="39"/>
      <c r="G95" s="45"/>
      <c r="I95" s="39"/>
      <c r="J95" s="45"/>
      <c r="L95" s="225"/>
      <c r="M95" s="45"/>
      <c r="O95" s="39"/>
      <c r="P95" s="45">
        <f t="shared" si="15"/>
        <v>0</v>
      </c>
      <c r="R95" s="39"/>
      <c r="S95" s="45">
        <f t="shared" si="16"/>
        <v>0</v>
      </c>
      <c r="U95" s="39"/>
      <c r="V95" s="45">
        <f t="shared" si="17"/>
        <v>0</v>
      </c>
      <c r="X95" s="39"/>
      <c r="Y95" s="45">
        <f t="shared" si="18"/>
        <v>0</v>
      </c>
      <c r="AA95" s="39"/>
      <c r="AB95" s="45">
        <f t="shared" si="19"/>
        <v>0</v>
      </c>
      <c r="AD95" s="39"/>
      <c r="AE95" s="45">
        <f t="shared" si="20"/>
        <v>0</v>
      </c>
      <c r="AG95" s="39"/>
      <c r="AH95" s="45">
        <f t="shared" si="21"/>
        <v>0</v>
      </c>
    </row>
    <row r="96" spans="3:34" x14ac:dyDescent="0.25">
      <c r="C96" s="28" t="str">
        <f>'MP Calculations'!D123</f>
        <v>2079-80</v>
      </c>
      <c r="D96" s="45" t="str">
        <f>IF(LEFT($C96,4)*1&lt;LEFT('General inputs'!$I$16,4)+'General inputs'!$H$38,SUM(G96,J96,M96,P96,S96,V96,Y96,AB96,AE96,AH96),"")</f>
        <v/>
      </c>
      <c r="F96" s="39"/>
      <c r="G96" s="45"/>
      <c r="I96" s="39"/>
      <c r="J96" s="45"/>
      <c r="L96" s="225"/>
      <c r="M96" s="45"/>
      <c r="O96" s="39"/>
      <c r="P96" s="45">
        <f t="shared" si="15"/>
        <v>0</v>
      </c>
      <c r="R96" s="39"/>
      <c r="S96" s="45">
        <f t="shared" si="16"/>
        <v>0</v>
      </c>
      <c r="U96" s="39"/>
      <c r="V96" s="45">
        <f t="shared" si="17"/>
        <v>0</v>
      </c>
      <c r="X96" s="39"/>
      <c r="Y96" s="45">
        <f t="shared" si="18"/>
        <v>0</v>
      </c>
      <c r="AA96" s="39"/>
      <c r="AB96" s="45">
        <f t="shared" si="19"/>
        <v>0</v>
      </c>
      <c r="AD96" s="39"/>
      <c r="AE96" s="45">
        <f t="shared" si="20"/>
        <v>0</v>
      </c>
      <c r="AG96" s="39"/>
      <c r="AH96" s="45">
        <f t="shared" si="21"/>
        <v>0</v>
      </c>
    </row>
    <row r="97" spans="3:34" x14ac:dyDescent="0.25">
      <c r="C97" s="28" t="str">
        <f>'MP Calculations'!D124</f>
        <v>2080-81</v>
      </c>
      <c r="D97" s="45" t="str">
        <f>IF(LEFT($C97,4)*1&lt;LEFT('General inputs'!$I$16,4)+'General inputs'!$H$38,SUM(G97,J97,M97,P97,S97,V97,Y97,AB97,AE97,AH97),"")</f>
        <v/>
      </c>
      <c r="F97" s="39"/>
      <c r="G97" s="45"/>
      <c r="I97" s="39"/>
      <c r="J97" s="45"/>
      <c r="L97" s="225"/>
      <c r="M97" s="45"/>
      <c r="O97" s="39"/>
      <c r="P97" s="45">
        <f t="shared" si="15"/>
        <v>0</v>
      </c>
      <c r="R97" s="39"/>
      <c r="S97" s="45">
        <f t="shared" si="16"/>
        <v>0</v>
      </c>
      <c r="U97" s="39"/>
      <c r="V97" s="45">
        <f t="shared" si="17"/>
        <v>0</v>
      </c>
      <c r="X97" s="39"/>
      <c r="Y97" s="45">
        <f t="shared" si="18"/>
        <v>0</v>
      </c>
      <c r="AA97" s="39"/>
      <c r="AB97" s="45">
        <f t="shared" si="19"/>
        <v>0</v>
      </c>
      <c r="AD97" s="39"/>
      <c r="AE97" s="45">
        <f t="shared" si="20"/>
        <v>0</v>
      </c>
      <c r="AG97" s="39"/>
      <c r="AH97" s="45">
        <f t="shared" si="21"/>
        <v>0</v>
      </c>
    </row>
    <row r="98" spans="3:34" x14ac:dyDescent="0.25">
      <c r="C98" s="28" t="str">
        <f>'MP Calculations'!D125</f>
        <v>2081-82</v>
      </c>
      <c r="D98" s="45" t="str">
        <f>IF(LEFT($C98,4)*1&lt;LEFT('General inputs'!$I$16,4)+'General inputs'!$H$38,SUM(G98,J98,M98,P98,S98,V98,Y98,AB98,AE98,AH98),"")</f>
        <v/>
      </c>
      <c r="F98" s="39"/>
      <c r="G98" s="45"/>
      <c r="I98" s="39"/>
      <c r="J98" s="45"/>
      <c r="L98" s="225"/>
      <c r="M98" s="45"/>
      <c r="O98" s="39"/>
      <c r="P98" s="45">
        <f t="shared" si="15"/>
        <v>0</v>
      </c>
      <c r="R98" s="39"/>
      <c r="S98" s="45">
        <f t="shared" si="16"/>
        <v>0</v>
      </c>
      <c r="U98" s="39"/>
      <c r="V98" s="45">
        <f t="shared" si="17"/>
        <v>0</v>
      </c>
      <c r="X98" s="39"/>
      <c r="Y98" s="45">
        <f t="shared" si="18"/>
        <v>0</v>
      </c>
      <c r="AA98" s="39"/>
      <c r="AB98" s="45">
        <f t="shared" si="19"/>
        <v>0</v>
      </c>
      <c r="AD98" s="39"/>
      <c r="AE98" s="45">
        <f t="shared" si="20"/>
        <v>0</v>
      </c>
      <c r="AG98" s="39"/>
      <c r="AH98" s="45">
        <f t="shared" si="21"/>
        <v>0</v>
      </c>
    </row>
    <row r="99" spans="3:34" x14ac:dyDescent="0.25">
      <c r="C99" s="28" t="str">
        <f>'MP Calculations'!D126</f>
        <v>2082-83</v>
      </c>
      <c r="D99" s="45" t="str">
        <f>IF(LEFT($C99,4)*1&lt;LEFT('General inputs'!$I$16,4)+'General inputs'!$H$38,SUM(G99,J99,M99,P99,S99,V99,Y99,AB99,AE99,AH99),"")</f>
        <v/>
      </c>
      <c r="F99" s="39"/>
      <c r="G99" s="45"/>
      <c r="I99" s="39"/>
      <c r="J99" s="45"/>
      <c r="L99" s="225"/>
      <c r="M99" s="45"/>
      <c r="O99" s="39"/>
      <c r="P99" s="45">
        <f t="shared" si="15"/>
        <v>0</v>
      </c>
      <c r="R99" s="39"/>
      <c r="S99" s="45">
        <f t="shared" si="16"/>
        <v>0</v>
      </c>
      <c r="U99" s="39"/>
      <c r="V99" s="45">
        <f t="shared" si="17"/>
        <v>0</v>
      </c>
      <c r="X99" s="39"/>
      <c r="Y99" s="45">
        <f t="shared" si="18"/>
        <v>0</v>
      </c>
      <c r="AA99" s="39"/>
      <c r="AB99" s="45">
        <f t="shared" si="19"/>
        <v>0</v>
      </c>
      <c r="AD99" s="39"/>
      <c r="AE99" s="45">
        <f t="shared" si="20"/>
        <v>0</v>
      </c>
      <c r="AG99" s="39"/>
      <c r="AH99" s="45">
        <f t="shared" si="21"/>
        <v>0</v>
      </c>
    </row>
    <row r="100" spans="3:34" x14ac:dyDescent="0.25">
      <c r="C100" s="28" t="str">
        <f>'MP Calculations'!D127</f>
        <v>2083-84</v>
      </c>
      <c r="D100" s="45" t="str">
        <f>IF(LEFT($C100,4)*1&lt;LEFT('General inputs'!$I$16,4)+'General inputs'!$H$38,SUM(G100,J100,M100,P100,S100,V100,Y100,AB100,AE100,AH100),"")</f>
        <v/>
      </c>
      <c r="F100" s="39"/>
      <c r="G100" s="45"/>
      <c r="I100" s="39"/>
      <c r="J100" s="45"/>
      <c r="L100" s="225"/>
      <c r="M100" s="45"/>
      <c r="O100" s="39"/>
      <c r="P100" s="45">
        <f t="shared" si="15"/>
        <v>0</v>
      </c>
      <c r="R100" s="39"/>
      <c r="S100" s="45">
        <f t="shared" si="16"/>
        <v>0</v>
      </c>
      <c r="U100" s="39"/>
      <c r="V100" s="45">
        <f t="shared" si="17"/>
        <v>0</v>
      </c>
      <c r="X100" s="39"/>
      <c r="Y100" s="45">
        <f t="shared" si="18"/>
        <v>0</v>
      </c>
      <c r="AA100" s="39"/>
      <c r="AB100" s="45">
        <f t="shared" si="19"/>
        <v>0</v>
      </c>
      <c r="AD100" s="39"/>
      <c r="AE100" s="45">
        <f t="shared" si="20"/>
        <v>0</v>
      </c>
      <c r="AG100" s="39"/>
      <c r="AH100" s="45">
        <f t="shared" si="21"/>
        <v>0</v>
      </c>
    </row>
    <row r="101" spans="3:34" x14ac:dyDescent="0.25">
      <c r="C101" s="28" t="str">
        <f>'MP Calculations'!D128</f>
        <v>2084-85</v>
      </c>
      <c r="D101" s="45" t="str">
        <f>IF(LEFT($C101,4)*1&lt;LEFT('General inputs'!$I$16,4)+'General inputs'!$H$38,SUM(G101,J101,M101,P101,S101,V101,Y101,AB101,AE101,AH101),"")</f>
        <v/>
      </c>
      <c r="F101" s="39"/>
      <c r="G101" s="45"/>
      <c r="I101" s="39"/>
      <c r="J101" s="45"/>
      <c r="L101" s="225"/>
      <c r="M101" s="45"/>
      <c r="O101" s="39"/>
      <c r="P101" s="45">
        <f t="shared" si="15"/>
        <v>0</v>
      </c>
      <c r="R101" s="39"/>
      <c r="S101" s="45">
        <f t="shared" si="16"/>
        <v>0</v>
      </c>
      <c r="U101" s="39"/>
      <c r="V101" s="45">
        <f t="shared" si="17"/>
        <v>0</v>
      </c>
      <c r="X101" s="39"/>
      <c r="Y101" s="45">
        <f t="shared" si="18"/>
        <v>0</v>
      </c>
      <c r="AA101" s="39"/>
      <c r="AB101" s="45">
        <f t="shared" si="19"/>
        <v>0</v>
      </c>
      <c r="AD101" s="39"/>
      <c r="AE101" s="45">
        <f t="shared" si="20"/>
        <v>0</v>
      </c>
      <c r="AG101" s="39"/>
      <c r="AH101" s="45">
        <f t="shared" si="21"/>
        <v>0</v>
      </c>
    </row>
    <row r="102" spans="3:34" x14ac:dyDescent="0.25">
      <c r="C102" s="28" t="str">
        <f>'MP Calculations'!D129</f>
        <v>2085-86</v>
      </c>
      <c r="D102" s="45" t="str">
        <f>IF(LEFT($C102,4)*1&lt;LEFT('General inputs'!$I$16,4)+'General inputs'!$H$38,SUM(G102,J102,M102,P102,S102,V102,Y102,AB102,AE102,AH102),"")</f>
        <v/>
      </c>
      <c r="F102" s="39"/>
      <c r="G102" s="45"/>
      <c r="I102" s="39"/>
      <c r="J102" s="45"/>
      <c r="L102" s="225"/>
      <c r="M102" s="45"/>
      <c r="O102" s="39"/>
      <c r="P102" s="45">
        <f t="shared" si="15"/>
        <v>0</v>
      </c>
      <c r="R102" s="39"/>
      <c r="S102" s="45">
        <f t="shared" si="16"/>
        <v>0</v>
      </c>
      <c r="U102" s="39"/>
      <c r="V102" s="45">
        <f t="shared" si="17"/>
        <v>0</v>
      </c>
      <c r="X102" s="39"/>
      <c r="Y102" s="45">
        <f t="shared" si="18"/>
        <v>0</v>
      </c>
      <c r="AA102" s="39"/>
      <c r="AB102" s="45">
        <f t="shared" si="19"/>
        <v>0</v>
      </c>
      <c r="AD102" s="39"/>
      <c r="AE102" s="45">
        <f t="shared" si="20"/>
        <v>0</v>
      </c>
      <c r="AG102" s="39"/>
      <c r="AH102" s="45">
        <f t="shared" si="21"/>
        <v>0</v>
      </c>
    </row>
    <row r="103" spans="3:34" x14ac:dyDescent="0.25">
      <c r="D103" s="46"/>
      <c r="F103" s="46"/>
      <c r="G103" s="46"/>
      <c r="I103" s="46"/>
      <c r="J103" s="46"/>
      <c r="L103" s="57"/>
      <c r="M103" s="46"/>
      <c r="O103" s="46"/>
      <c r="P103" s="46"/>
      <c r="R103" s="46"/>
      <c r="S103" s="46"/>
      <c r="U103" s="46"/>
      <c r="V103" s="46"/>
      <c r="X103" s="46"/>
      <c r="Y103" s="46"/>
      <c r="AA103" s="46"/>
      <c r="AB103" s="46"/>
      <c r="AD103" s="46"/>
      <c r="AE103" s="46"/>
      <c r="AG103" s="46"/>
      <c r="AH103" s="46"/>
    </row>
  </sheetData>
  <mergeCells count="8">
    <mergeCell ref="AD8:AE8"/>
    <mergeCell ref="AG8:AH8"/>
    <mergeCell ref="L8:M8"/>
    <mergeCell ref="O8:P8"/>
    <mergeCell ref="R8:S8"/>
    <mergeCell ref="U8:V8"/>
    <mergeCell ref="X8:Y8"/>
    <mergeCell ref="AA8:AB8"/>
  </mergeCells>
  <dataValidations count="3">
    <dataValidation type="list" allowBlank="1" showInputMessage="1" showErrorMessage="1" sqref="O9 R9 U9 X9 AA9 AD9 AG9 L9" xr:uid="{00000000-0002-0000-0800-000000000000}">
      <formula1>$AJ$12:$AJ$19</formula1>
    </dataValidation>
    <dataValidation type="list" allowBlank="1" showInputMessage="1" showErrorMessage="1" sqref="AO9" xr:uid="{D3C334EF-9722-4904-B3A4-90944E23117D}">
      <formula1>$AR$11:$AT$11</formula1>
    </dataValidation>
    <dataValidation type="list" allowBlank="1" showInputMessage="1" showErrorMessage="1" sqref="AO8" xr:uid="{F63B0D4A-3FB5-491D-8C5B-BAA9ADD2AC35}">
      <formula1>$AQ$8:$AQ$9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0" id="{9AED8FE6-1E3F-40FA-BC8D-6814ADDD04B9}">
            <xm:f>LEFT($C12,4)*1&gt;LEFT('General inputs'!$I$16,4)+'General inputs'!$H$38-1</xm:f>
            <x14:dxf>
              <fill>
                <patternFill>
                  <bgColor rgb="FFDDDDDD"/>
                </patternFill>
              </fill>
            </x14:dxf>
          </x14:cfRule>
          <xm:sqref>D12:D102</xm:sqref>
        </x14:conditionalFormatting>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F12:F102 I12:I102 L12:L102 O12:O102 R12:R102 U12:U102 X12:X102 AA12:AA102 AD12:AD102 AG12:AG102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535A88D9-3CCE-4CBA-9D8C-437890F3F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92686B-109C-4C2E-9EB9-58A7DA8EFFF0}">
  <ds:schemaRefs>
    <ds:schemaRef ds:uri="http://schemas.microsoft.com/office/2006/documentManagement/types"/>
    <ds:schemaRef ds:uri="http://purl.org/dc/elements/1.1/"/>
    <ds:schemaRef ds:uri="http://schemas.microsoft.com/office/2006/metadata/properties"/>
    <ds:schemaRef ds:uri="37dbf6c8-2d13-4cc8-b9cc-158f7eeca08b"/>
    <ds:schemaRef ds:uri="http://schemas.microsoft.com/office/infopath/2007/PartnerControls"/>
    <ds:schemaRef ds:uri="http://purl.org/dc/terms/"/>
    <ds:schemaRef ds:uri="http://schemas.openxmlformats.org/package/2006/metadata/core-properties"/>
    <ds:schemaRef ds:uri="adaf1f68-63ae-4574-8325-2993fa162e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Scheme cost allocation</vt:lpstr>
      <vt:lpstr>Headwork assets</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2023-11-30T23:56:33Z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