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757238CE-F34F-40C0-BD8E-94FDD06C7D15}" xr6:coauthVersionLast="47" xr6:coauthVersionMax="47" xr10:uidLastSave="{00000000-0000-0000-0000-000000000000}"/>
  <bookViews>
    <workbookView xWindow="-110" yWindow="-110" windowWidth="19420" windowHeight="10420" tabRatio="722" firstSheet="2" activeTab="2"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Print_Area" localSheetId="0">Cover!$B$1:$E$100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25" l="1"/>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G9" i="19" l="1"/>
  <c r="F6" i="19"/>
  <c r="G41" i="19" l="1"/>
  <c r="I22" i="17" l="1"/>
  <c r="I23" i="17" s="1"/>
  <c r="I24" i="17" s="1"/>
  <c r="I25" i="17" s="1"/>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O22" i="14"/>
  <c r="O23" i="14"/>
  <c r="K10" i="26"/>
  <c r="K10" i="23"/>
  <c r="C15" i="22"/>
  <c r="E24" i="16" l="1"/>
  <c r="E40" i="17"/>
  <c r="E33" i="17"/>
  <c r="D40" i="17"/>
  <c r="D28" i="17"/>
  <c r="E45" i="17"/>
  <c r="D51" i="17"/>
  <c r="D39" i="17"/>
  <c r="D27" i="17"/>
  <c r="E44" i="17"/>
  <c r="E32" i="17"/>
  <c r="D35" i="17"/>
  <c r="D23" i="16"/>
  <c r="D50" i="17"/>
  <c r="D38" i="17"/>
  <c r="D26" i="17"/>
  <c r="E43" i="17"/>
  <c r="E31" i="17"/>
  <c r="E23" i="16"/>
  <c r="D49" i="17"/>
  <c r="D37" i="17"/>
  <c r="D25" i="17"/>
  <c r="E42" i="17"/>
  <c r="E30" i="17"/>
  <c r="D48" i="17"/>
  <c r="D36" i="17"/>
  <c r="D24" i="17"/>
  <c r="E41" i="17"/>
  <c r="E29" i="17"/>
  <c r="D47" i="17"/>
  <c r="D46" i="17"/>
  <c r="D34" i="17"/>
  <c r="E51" i="17"/>
  <c r="E39" i="17"/>
  <c r="E27" i="17"/>
  <c r="D23" i="17"/>
  <c r="E28" i="17"/>
  <c r="D45" i="17"/>
  <c r="D33" i="17"/>
  <c r="E50" i="17"/>
  <c r="E38" i="17"/>
  <c r="E26" i="17"/>
  <c r="D24" i="16"/>
  <c r="D44" i="17"/>
  <c r="D32" i="17"/>
  <c r="E49" i="17"/>
  <c r="E37" i="17"/>
  <c r="E25" i="17"/>
  <c r="D43" i="17"/>
  <c r="D31" i="17"/>
  <c r="E48" i="17"/>
  <c r="E36" i="17"/>
  <c r="E24" i="17"/>
  <c r="D42" i="17"/>
  <c r="D30" i="17"/>
  <c r="E47" i="17"/>
  <c r="E35" i="17"/>
  <c r="E23" i="17"/>
  <c r="D41" i="17"/>
  <c r="D29" i="17"/>
  <c r="E46" i="17"/>
  <c r="E34" i="17"/>
  <c r="D22" i="17"/>
  <c r="E22" i="17"/>
  <c r="D22" i="16"/>
  <c r="E22" i="16"/>
  <c r="B15" i="20"/>
  <c r="B14" i="20"/>
  <c r="C18" i="12"/>
  <c r="D60" i="12"/>
  <c r="C66" i="12"/>
  <c r="J10" i="26"/>
  <c r="D14" i="26"/>
  <c r="D218" i="17" l="1"/>
  <c r="D218" i="16"/>
  <c r="D218" i="14"/>
  <c r="C9" i="20" l="1"/>
  <c r="C20" i="12"/>
  <c r="C54" i="12"/>
  <c r="C42" i="12"/>
  <c r="D8" i="25"/>
  <c r="C7" i="17" l="1"/>
  <c r="C6" i="17"/>
  <c r="C7" i="16"/>
  <c r="C6" i="16"/>
  <c r="C6" i="14"/>
  <c r="L12" i="15" l="1"/>
  <c r="C7" i="14" l="1"/>
  <c r="O218" i="17" l="1"/>
  <c r="O217" i="17"/>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J10" i="23"/>
  <c r="D39" i="20" l="1"/>
  <c r="H39" i="20" s="1"/>
  <c r="L5" i="15" l="1"/>
  <c r="P26" i="14" l="1"/>
  <c r="I18" i="15"/>
  <c r="H30" i="15"/>
  <c r="N39" i="20" l="1"/>
  <c r="L11" i="19"/>
  <c r="G6" i="19"/>
  <c r="D24" i="22" l="1"/>
  <c r="P217" i="14" l="1"/>
  <c r="F217" i="14"/>
  <c r="P216" i="14"/>
  <c r="F216" i="14"/>
  <c r="P215" i="14"/>
  <c r="F215" i="14"/>
  <c r="P214" i="14"/>
  <c r="F214" i="14"/>
  <c r="P213" i="14"/>
  <c r="F213" i="14"/>
  <c r="P212" i="14"/>
  <c r="F212" i="14"/>
  <c r="P211" i="14"/>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217" i="16"/>
  <c r="F217" i="16"/>
  <c r="P216" i="16"/>
  <c r="F216" i="16"/>
  <c r="P215" i="16"/>
  <c r="F215" i="16"/>
  <c r="P214" i="16"/>
  <c r="F214" i="16"/>
  <c r="P213" i="16"/>
  <c r="F213" i="16"/>
  <c r="P212" i="16"/>
  <c r="F212" i="16"/>
  <c r="P211" i="16"/>
  <c r="F211" i="16"/>
  <c r="P210" i="16"/>
  <c r="F210" i="16"/>
  <c r="P209" i="16"/>
  <c r="F209" i="16"/>
  <c r="P208" i="16"/>
  <c r="F208" i="16"/>
  <c r="P207" i="16"/>
  <c r="F207" i="16"/>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AL15" i="19" l="1"/>
  <c r="D38" i="12" l="1"/>
  <c r="C40" i="12"/>
  <c r="D81" i="12"/>
  <c r="D73" i="12"/>
  <c r="D72" i="12"/>
  <c r="D48" i="12"/>
  <c r="F218" i="17" l="1"/>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P218"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218"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F218"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P218"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5" i="14"/>
  <c r="P24" i="14"/>
  <c r="F218"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4" i="14"/>
  <c r="AG11" i="19" l="1"/>
  <c r="AD11" i="19"/>
  <c r="AA11" i="19"/>
  <c r="X11" i="19"/>
  <c r="U11" i="19"/>
  <c r="R11" i="19"/>
  <c r="P21" i="14" l="1"/>
  <c r="O21" i="14"/>
  <c r="N21" i="14"/>
  <c r="P21" i="17"/>
  <c r="O21" i="17"/>
  <c r="N21" i="17"/>
  <c r="O21" i="16"/>
  <c r="N21" i="16"/>
  <c r="J33" i="19" l="1"/>
  <c r="J34" i="19"/>
  <c r="M19" i="19"/>
  <c r="G12" i="19"/>
  <c r="M39" i="19"/>
  <c r="J37" i="19"/>
  <c r="D14" i="23"/>
  <c r="L18" i="15" l="1"/>
  <c r="H20" i="22"/>
  <c r="K20" i="22" s="1"/>
  <c r="D32" i="12" l="1"/>
  <c r="D31" i="12"/>
  <c r="D30" i="12"/>
  <c r="D28" i="12"/>
  <c r="D29" i="12"/>
  <c r="K8" i="25" l="1"/>
  <c r="P21" i="16"/>
  <c r="AJ19" i="19"/>
  <c r="O11" i="19" s="1"/>
  <c r="O39"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6" i="20" l="1"/>
  <c r="A11" i="20"/>
  <c r="C11" i="20" s="1"/>
  <c r="C35" i="20" l="1"/>
  <c r="S47" i="19" l="1"/>
  <c r="E15" i="17"/>
  <c r="E16" i="16"/>
  <c r="F24" i="16" s="1"/>
  <c r="E15" i="16"/>
  <c r="E16" i="14"/>
  <c r="E15" i="14"/>
  <c r="F48" i="17" l="1"/>
  <c r="F36" i="17"/>
  <c r="F24" i="17"/>
  <c r="F47" i="17"/>
  <c r="F35" i="17"/>
  <c r="F46" i="17"/>
  <c r="F34" i="17"/>
  <c r="F45" i="17"/>
  <c r="F33" i="17"/>
  <c r="F44" i="17"/>
  <c r="F32" i="17"/>
  <c r="F43" i="17"/>
  <c r="F31" i="17"/>
  <c r="F42" i="17"/>
  <c r="F30" i="17"/>
  <c r="F41" i="17"/>
  <c r="F29" i="17"/>
  <c r="F40" i="17"/>
  <c r="F28" i="17"/>
  <c r="F51" i="17"/>
  <c r="F39" i="17"/>
  <c r="F27" i="17"/>
  <c r="F50" i="17"/>
  <c r="F38" i="17"/>
  <c r="F26" i="17"/>
  <c r="F49" i="17"/>
  <c r="F37" i="17"/>
  <c r="F25" i="17"/>
  <c r="F25" i="14"/>
  <c r="F26" i="14"/>
  <c r="F22" i="14"/>
  <c r="F23" i="14"/>
  <c r="F23" i="16"/>
  <c r="F22" i="16"/>
  <c r="F2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D40" i="20"/>
  <c r="N40" i="20" l="1"/>
  <c r="O40" i="20" s="1"/>
  <c r="H40" i="20"/>
  <c r="E39" i="20"/>
  <c r="C13" i="19"/>
  <c r="D13" i="19" s="1"/>
  <c r="D41" i="20"/>
  <c r="N41" i="20" l="1"/>
  <c r="O41" i="20" s="1"/>
  <c r="H41" i="20"/>
  <c r="E40" i="20"/>
  <c r="L41" i="20"/>
  <c r="C14" i="19"/>
  <c r="D14" i="19" s="1"/>
  <c r="D42" i="20"/>
  <c r="N42" i="20" l="1"/>
  <c r="O42" i="20" s="1"/>
  <c r="H42" i="20"/>
  <c r="E41" i="20"/>
  <c r="C15" i="19"/>
  <c r="D15" i="19" s="1"/>
  <c r="E42" i="20" s="1"/>
  <c r="D43" i="20"/>
  <c r="N43" i="20" l="1"/>
  <c r="O43" i="20" s="1"/>
  <c r="H43" i="20"/>
  <c r="L43" i="20"/>
  <c r="C16" i="19"/>
  <c r="D44" i="20"/>
  <c r="N44" i="20" l="1"/>
  <c r="O44" i="20" s="1"/>
  <c r="H44" i="20"/>
  <c r="D16" i="19"/>
  <c r="E43" i="20" s="1"/>
  <c r="L44" i="20"/>
  <c r="C17" i="19"/>
  <c r="D17" i="19" s="1"/>
  <c r="E44" i="20" s="1"/>
  <c r="D45" i="20"/>
  <c r="N45" i="20" l="1"/>
  <c r="O45" i="20" s="1"/>
  <c r="H45" i="20"/>
  <c r="L45" i="20"/>
  <c r="D46" i="20"/>
  <c r="C18" i="19"/>
  <c r="D18" i="19" s="1"/>
  <c r="E45" i="20" s="1"/>
  <c r="N46" i="20" l="1"/>
  <c r="O46" i="20" s="1"/>
  <c r="H46" i="20"/>
  <c r="L46" i="20"/>
  <c r="D47" i="20"/>
  <c r="C19" i="19"/>
  <c r="D19" i="19" s="1"/>
  <c r="E46" i="20" s="1"/>
  <c r="N47" i="20" l="1"/>
  <c r="O47" i="20" s="1"/>
  <c r="H47" i="20"/>
  <c r="L47" i="20"/>
  <c r="D48" i="20"/>
  <c r="C20" i="19"/>
  <c r="D20" i="19" s="1"/>
  <c r="E47" i="20" s="1"/>
  <c r="N48" i="20" l="1"/>
  <c r="O48" i="20" s="1"/>
  <c r="H48" i="20"/>
  <c r="L48" i="20"/>
  <c r="D49" i="20"/>
  <c r="C21" i="19"/>
  <c r="D21" i="19" l="1"/>
  <c r="E48" i="20" s="1"/>
  <c r="N49" i="20"/>
  <c r="O49" i="20" s="1"/>
  <c r="H49" i="20"/>
  <c r="D50" i="20"/>
  <c r="C22" i="19"/>
  <c r="D22" i="19" s="1"/>
  <c r="N50" i="20" l="1"/>
  <c r="O50" i="20" s="1"/>
  <c r="H50" i="20"/>
  <c r="E49" i="20"/>
  <c r="L50" i="20"/>
  <c r="C23" i="19"/>
  <c r="D51" i="20"/>
  <c r="D23" i="19" l="1"/>
  <c r="E50" i="20" s="1"/>
  <c r="N51" i="20"/>
  <c r="O51" i="20" s="1"/>
  <c r="H51" i="20"/>
  <c r="L51" i="20"/>
  <c r="D52" i="20"/>
  <c r="C24" i="19"/>
  <c r="D24" i="19" s="1"/>
  <c r="N52" i="20" l="1"/>
  <c r="O52" i="20" s="1"/>
  <c r="H52" i="20"/>
  <c r="L52" i="20"/>
  <c r="E51" i="20"/>
  <c r="D53" i="20"/>
  <c r="C25" i="19"/>
  <c r="D25" i="19" s="1"/>
  <c r="N53" i="20" l="1"/>
  <c r="O53" i="20" s="1"/>
  <c r="H53" i="20"/>
  <c r="E52" i="20"/>
  <c r="L53" i="20"/>
  <c r="D54" i="20"/>
  <c r="C26" i="19"/>
  <c r="D26" i="19" l="1"/>
  <c r="E53" i="20" s="1"/>
  <c r="N54" i="20"/>
  <c r="O54" i="20" s="1"/>
  <c r="H54" i="20"/>
  <c r="L54" i="20"/>
  <c r="C27" i="19"/>
  <c r="D27" i="19" s="1"/>
  <c r="D55" i="20"/>
  <c r="N55" i="20" l="1"/>
  <c r="O55" i="20" s="1"/>
  <c r="H55" i="20"/>
  <c r="L55" i="20"/>
  <c r="E54" i="20"/>
  <c r="C28" i="19"/>
  <c r="D28" i="19" s="1"/>
  <c r="D56" i="20"/>
  <c r="N56" i="20" l="1"/>
  <c r="O56" i="20" s="1"/>
  <c r="H56" i="20"/>
  <c r="L56" i="20"/>
  <c r="E55" i="20"/>
  <c r="D57" i="20"/>
  <c r="C29" i="19"/>
  <c r="D29" i="19" s="1"/>
  <c r="N57" i="20" l="1"/>
  <c r="O57" i="20" s="1"/>
  <c r="H57" i="20"/>
  <c r="E56" i="20"/>
  <c r="L57" i="20"/>
  <c r="C30" i="19"/>
  <c r="D30" i="19" s="1"/>
  <c r="E57" i="20" s="1"/>
  <c r="D58" i="20"/>
  <c r="N58" i="20" l="1"/>
  <c r="O58" i="20" s="1"/>
  <c r="H58" i="20"/>
  <c r="L58" i="20"/>
  <c r="D59" i="20"/>
  <c r="C31" i="19"/>
  <c r="D31" i="19" s="1"/>
  <c r="E58" i="20" s="1"/>
  <c r="N59" i="20" l="1"/>
  <c r="O59" i="20" s="1"/>
  <c r="H59" i="20"/>
  <c r="L59" i="20"/>
  <c r="C32" i="19"/>
  <c r="D32" i="19" s="1"/>
  <c r="D60" i="20"/>
  <c r="N60" i="20" l="1"/>
  <c r="H60" i="20"/>
  <c r="L60" i="20"/>
  <c r="E59" i="20"/>
  <c r="C33" i="19"/>
  <c r="D33" i="19" s="1"/>
  <c r="D61" i="20"/>
  <c r="N61" i="20" l="1"/>
  <c r="H61" i="20"/>
  <c r="E60" i="20"/>
  <c r="C34" i="19"/>
  <c r="D34" i="19" s="1"/>
  <c r="E61" i="20" s="1"/>
  <c r="D62" i="20"/>
  <c r="L62" i="20" l="1"/>
  <c r="D63" i="20"/>
  <c r="N63" i="20" s="1"/>
  <c r="C35" i="19"/>
  <c r="D35" i="19" s="1"/>
  <c r="L63" i="20" l="1"/>
  <c r="E62" i="20"/>
  <c r="D64" i="20"/>
  <c r="N64" i="20" s="1"/>
  <c r="C36" i="19"/>
  <c r="D36" i="19" s="1"/>
  <c r="L64" i="20" l="1"/>
  <c r="E63" i="20"/>
  <c r="C37" i="19"/>
  <c r="D37" i="19" s="1"/>
  <c r="E64" i="20" s="1"/>
  <c r="D65" i="20"/>
  <c r="N65" i="20" s="1"/>
  <c r="D66" i="20" l="1"/>
  <c r="N66" i="20" s="1"/>
  <c r="C38" i="19"/>
  <c r="D38" i="19" s="1"/>
  <c r="E65" i="20" l="1"/>
  <c r="D67" i="20"/>
  <c r="N67" i="20" s="1"/>
  <c r="C39" i="19"/>
  <c r="D39" i="19" s="1"/>
  <c r="E66" i="20" l="1"/>
  <c r="D68" i="20"/>
  <c r="C40" i="19"/>
  <c r="D40" i="19" s="1"/>
  <c r="L68" i="20" l="1"/>
  <c r="E67" i="20"/>
  <c r="D69" i="20"/>
  <c r="C41" i="19"/>
  <c r="D41" i="19" s="1"/>
  <c r="E68" i="20" s="1"/>
  <c r="L69" i="20" l="1"/>
  <c r="D70" i="20"/>
  <c r="C42" i="19"/>
  <c r="D42" i="19" s="1"/>
  <c r="E69" i="20" s="1"/>
  <c r="L70" i="20" l="1"/>
  <c r="C43" i="19"/>
  <c r="D43" i="19" s="1"/>
  <c r="D71" i="20"/>
  <c r="L71" i="20" l="1"/>
  <c r="E70" i="20"/>
  <c r="D72" i="20"/>
  <c r="C44" i="19"/>
  <c r="D44" i="19" s="1"/>
  <c r="L72" i="20" l="1"/>
  <c r="E71" i="20"/>
  <c r="C45" i="19"/>
  <c r="D45" i="19" s="1"/>
  <c r="D73" i="20"/>
  <c r="E72" i="20" l="1"/>
  <c r="L73" i="20"/>
  <c r="D74" i="20"/>
  <c r="C46" i="19"/>
  <c r="D46" i="19" s="1"/>
  <c r="E73" i="20" s="1"/>
  <c r="L74" i="20" l="1"/>
  <c r="D75" i="20"/>
  <c r="C47" i="19"/>
  <c r="D47" i="19" s="1"/>
  <c r="E74" i="20" l="1"/>
  <c r="L75" i="20"/>
  <c r="D76" i="20"/>
  <c r="C48" i="19"/>
  <c r="D48" i="19" s="1"/>
  <c r="E75" i="20" s="1"/>
  <c r="L76" i="20" l="1"/>
  <c r="D77" i="20"/>
  <c r="C49" i="19"/>
  <c r="D49" i="19" s="1"/>
  <c r="E76" i="20" s="1"/>
  <c r="L77" i="20" l="1"/>
  <c r="D78" i="20"/>
  <c r="C50" i="19"/>
  <c r="D50" i="19" s="1"/>
  <c r="E77" i="20" s="1"/>
  <c r="L78" i="20" l="1"/>
  <c r="C51" i="19"/>
  <c r="D51" i="19" s="1"/>
  <c r="E78" i="20" s="1"/>
  <c r="D79" i="20"/>
  <c r="L79" i="20" l="1"/>
  <c r="D80" i="20"/>
  <c r="C52" i="19"/>
  <c r="D52" i="19" s="1"/>
  <c r="L80" i="20" l="1"/>
  <c r="E79" i="20"/>
  <c r="D81" i="20"/>
  <c r="C53" i="19"/>
  <c r="D53" i="19" s="1"/>
  <c r="E80" i="20" s="1"/>
  <c r="L81" i="20" l="1"/>
  <c r="D82" i="20"/>
  <c r="C54" i="19"/>
  <c r="D54" i="19" s="1"/>
  <c r="E81" i="20" s="1"/>
  <c r="L82" i="20" l="1"/>
  <c r="D83" i="20"/>
  <c r="C55" i="19"/>
  <c r="D55" i="19" s="1"/>
  <c r="L83" i="20" l="1"/>
  <c r="E82" i="20"/>
  <c r="D84" i="20"/>
  <c r="C56" i="19"/>
  <c r="D56" i="19" s="1"/>
  <c r="L84" i="20" l="1"/>
  <c r="E83" i="20"/>
  <c r="D85" i="20"/>
  <c r="C57" i="19"/>
  <c r="D57" i="19" s="1"/>
  <c r="E84" i="20" s="1"/>
  <c r="L85" i="20" l="1"/>
  <c r="D86" i="20"/>
  <c r="C58" i="19"/>
  <c r="D58" i="19" s="1"/>
  <c r="L86" i="20" l="1"/>
  <c r="E85" i="20"/>
  <c r="D87" i="20"/>
  <c r="C59" i="19"/>
  <c r="D59" i="19" s="1"/>
  <c r="E86" i="20" s="1"/>
  <c r="L87" i="20" l="1"/>
  <c r="D88" i="20"/>
  <c r="C60" i="19"/>
  <c r="D60" i="19" s="1"/>
  <c r="E87" i="20" s="1"/>
  <c r="L88" i="20" l="1"/>
  <c r="C61" i="19"/>
  <c r="D61" i="19" s="1"/>
  <c r="E88" i="20" s="1"/>
  <c r="D89" i="20"/>
  <c r="L89" i="20" l="1"/>
  <c r="D90" i="20"/>
  <c r="C62" i="19"/>
  <c r="D62" i="19" s="1"/>
  <c r="E89" i="20" s="1"/>
  <c r="L90" i="20" l="1"/>
  <c r="D91" i="20"/>
  <c r="C63" i="19"/>
  <c r="D63" i="19" s="1"/>
  <c r="E90" i="20" s="1"/>
  <c r="L91" i="20" l="1"/>
  <c r="D92" i="20"/>
  <c r="C64" i="19"/>
  <c r="D64" i="19" s="1"/>
  <c r="L92" i="20" l="1"/>
  <c r="E91" i="20"/>
  <c r="D93" i="20"/>
  <c r="C65" i="19"/>
  <c r="D65" i="19" s="1"/>
  <c r="E92" i="20" s="1"/>
  <c r="L93" i="20" l="1"/>
  <c r="C66" i="19"/>
  <c r="D94" i="20"/>
  <c r="D66" i="19" l="1"/>
  <c r="E93" i="20" s="1"/>
  <c r="L94" i="20"/>
  <c r="D95" i="20"/>
  <c r="C67" i="19"/>
  <c r="D67" i="19" l="1"/>
  <c r="E94" i="20" s="1"/>
  <c r="L95" i="20"/>
  <c r="C68" i="19"/>
  <c r="D68" i="19" s="1"/>
  <c r="E95" i="20" s="1"/>
  <c r="D96" i="20"/>
  <c r="L96" i="20" l="1"/>
  <c r="D97" i="20"/>
  <c r="C69" i="19"/>
  <c r="D69" i="19" s="1"/>
  <c r="E96" i="20" s="1"/>
  <c r="L97" i="20" l="1"/>
  <c r="D98" i="20"/>
  <c r="C70" i="19"/>
  <c r="D70" i="19" s="1"/>
  <c r="E97" i="20" s="1"/>
  <c r="N98" i="20" l="1"/>
  <c r="H98" i="20"/>
  <c r="L98" i="20"/>
  <c r="M98" i="20" s="1"/>
  <c r="F98" i="20"/>
  <c r="E98" i="20"/>
  <c r="R98" i="20"/>
  <c r="U98" i="20"/>
  <c r="G98" i="20"/>
  <c r="D99" i="20"/>
  <c r="C71" i="19"/>
  <c r="D71" i="19" s="1"/>
  <c r="N99" i="20" l="1"/>
  <c r="H99" i="20"/>
  <c r="L99" i="20"/>
  <c r="M99" i="20" s="1"/>
  <c r="R99" i="20"/>
  <c r="U99" i="20"/>
  <c r="G99" i="20"/>
  <c r="F99" i="20"/>
  <c r="E99" i="20"/>
  <c r="C72" i="19"/>
  <c r="D72" i="19" s="1"/>
  <c r="D100" i="20"/>
  <c r="N100" i="20" l="1"/>
  <c r="H100" i="20"/>
  <c r="L100" i="20"/>
  <c r="M100" i="20" s="1"/>
  <c r="F100" i="20"/>
  <c r="R100" i="20"/>
  <c r="G100" i="20"/>
  <c r="E100" i="20"/>
  <c r="U100" i="20"/>
  <c r="C73" i="19"/>
  <c r="D73" i="19" s="1"/>
  <c r="D101" i="20"/>
  <c r="N101" i="20" l="1"/>
  <c r="H101" i="20"/>
  <c r="L101" i="20"/>
  <c r="M101" i="20" s="1"/>
  <c r="R101" i="20"/>
  <c r="G101" i="20"/>
  <c r="U101" i="20"/>
  <c r="E101" i="20"/>
  <c r="F101" i="20"/>
  <c r="C74" i="19"/>
  <c r="D74" i="19" s="1"/>
  <c r="D102" i="20"/>
  <c r="N102" i="20" l="1"/>
  <c r="H102" i="20"/>
  <c r="L102" i="20"/>
  <c r="M102" i="20" s="1"/>
  <c r="F102" i="20"/>
  <c r="R102" i="20"/>
  <c r="E102" i="20"/>
  <c r="U102" i="20"/>
  <c r="G102" i="20"/>
  <c r="C75" i="19"/>
  <c r="D75" i="19" s="1"/>
  <c r="D103" i="20"/>
  <c r="N103" i="20" l="1"/>
  <c r="H103" i="20"/>
  <c r="L103" i="20"/>
  <c r="M103" i="20" s="1"/>
  <c r="U103" i="20"/>
  <c r="G103" i="20"/>
  <c r="R103" i="20"/>
  <c r="E103" i="20"/>
  <c r="F103" i="20"/>
  <c r="C76" i="19"/>
  <c r="D76" i="19" s="1"/>
  <c r="D104" i="20"/>
  <c r="N104" i="20" l="1"/>
  <c r="H104" i="20"/>
  <c r="L104" i="20"/>
  <c r="M104" i="20" s="1"/>
  <c r="F104" i="20"/>
  <c r="U104" i="20"/>
  <c r="E104" i="20"/>
  <c r="R104" i="20"/>
  <c r="G104" i="20"/>
  <c r="C77" i="19"/>
  <c r="D77" i="19" s="1"/>
  <c r="D105" i="20"/>
  <c r="N105" i="20" l="1"/>
  <c r="H105" i="20"/>
  <c r="L105" i="20"/>
  <c r="M105" i="20" s="1"/>
  <c r="U105" i="20"/>
  <c r="G105" i="20"/>
  <c r="R105" i="20"/>
  <c r="F105" i="20"/>
  <c r="E105" i="20"/>
  <c r="C78" i="19"/>
  <c r="D78" i="19" s="1"/>
  <c r="D106" i="20"/>
  <c r="N106" i="20" l="1"/>
  <c r="H106" i="20"/>
  <c r="L106" i="20"/>
  <c r="M106" i="20" s="1"/>
  <c r="F106" i="20"/>
  <c r="G106" i="20"/>
  <c r="E106" i="20"/>
  <c r="R106" i="20"/>
  <c r="U106" i="20"/>
  <c r="C79" i="19"/>
  <c r="D79" i="19" s="1"/>
  <c r="D107" i="20"/>
  <c r="H107" i="20" s="1"/>
  <c r="D17" i="22" l="1"/>
  <c r="N107" i="20"/>
  <c r="L107" i="20"/>
  <c r="M107" i="20" s="1"/>
  <c r="R107" i="20"/>
  <c r="G107" i="20"/>
  <c r="E107" i="20"/>
  <c r="U107" i="20"/>
  <c r="F107" i="20"/>
  <c r="C80" i="19"/>
  <c r="D80" i="19" s="1"/>
  <c r="D108" i="20"/>
  <c r="N108" i="20" l="1"/>
  <c r="H108" i="20"/>
  <c r="L108" i="20"/>
  <c r="M108" i="20" s="1"/>
  <c r="F108" i="20"/>
  <c r="R108" i="20"/>
  <c r="E108" i="20"/>
  <c r="G108" i="20"/>
  <c r="U108" i="20"/>
  <c r="C81" i="19"/>
  <c r="D81" i="19" s="1"/>
  <c r="D109" i="20"/>
  <c r="N109" i="20" l="1"/>
  <c r="H109" i="20"/>
  <c r="L109" i="20"/>
  <c r="M109" i="20" s="1"/>
  <c r="E109" i="20"/>
  <c r="G109" i="20"/>
  <c r="U109" i="20"/>
  <c r="F109" i="20"/>
  <c r="R109" i="20"/>
  <c r="C82" i="19"/>
  <c r="D82" i="19" s="1"/>
  <c r="D110" i="20"/>
  <c r="N110" i="20" l="1"/>
  <c r="H110" i="20"/>
  <c r="L110" i="20"/>
  <c r="M110" i="20" s="1"/>
  <c r="F110" i="20"/>
  <c r="E110" i="20"/>
  <c r="U110" i="20"/>
  <c r="G110" i="20"/>
  <c r="R110" i="20"/>
  <c r="C83" i="19"/>
  <c r="D83" i="19" s="1"/>
  <c r="D111" i="20"/>
  <c r="N111" i="20" l="1"/>
  <c r="H111" i="20"/>
  <c r="L111" i="20"/>
  <c r="M111" i="20" s="1"/>
  <c r="U111" i="20"/>
  <c r="G111" i="20"/>
  <c r="E111" i="20"/>
  <c r="R111" i="20"/>
  <c r="F111" i="20"/>
  <c r="C84" i="19"/>
  <c r="D84" i="19" s="1"/>
  <c r="D112" i="20"/>
  <c r="N112" i="20" l="1"/>
  <c r="H112" i="20"/>
  <c r="L112" i="20"/>
  <c r="M112" i="20" s="1"/>
  <c r="F112" i="20"/>
  <c r="U112" i="20"/>
  <c r="E112" i="20"/>
  <c r="R112" i="20"/>
  <c r="G112" i="20"/>
  <c r="C85" i="19"/>
  <c r="D85" i="19" s="1"/>
  <c r="D113" i="20"/>
  <c r="N113" i="20" l="1"/>
  <c r="H113" i="20"/>
  <c r="L113" i="20"/>
  <c r="M113" i="20" s="1"/>
  <c r="R113" i="20"/>
  <c r="E113" i="20"/>
  <c r="G113" i="20"/>
  <c r="U113" i="20"/>
  <c r="F113" i="20"/>
  <c r="C86" i="19"/>
  <c r="D86" i="19" s="1"/>
  <c r="D114" i="20"/>
  <c r="N114" i="20" l="1"/>
  <c r="H114" i="20"/>
  <c r="L114" i="20"/>
  <c r="M114" i="20" s="1"/>
  <c r="F114" i="20"/>
  <c r="U114" i="20"/>
  <c r="G114" i="20"/>
  <c r="E114" i="20"/>
  <c r="R114" i="20"/>
  <c r="C87" i="19"/>
  <c r="D87" i="19" s="1"/>
  <c r="D115" i="20"/>
  <c r="N115" i="20" l="1"/>
  <c r="H115" i="20"/>
  <c r="L115" i="20"/>
  <c r="M115" i="20" s="1"/>
  <c r="R115" i="20"/>
  <c r="G115" i="20"/>
  <c r="E115" i="20"/>
  <c r="F115" i="20"/>
  <c r="U115" i="20"/>
  <c r="C88" i="19"/>
  <c r="D88" i="19" s="1"/>
  <c r="D116" i="20"/>
  <c r="N116" i="20" l="1"/>
  <c r="H116" i="20"/>
  <c r="L116" i="20"/>
  <c r="M116" i="20" s="1"/>
  <c r="F116" i="20"/>
  <c r="R116" i="20"/>
  <c r="E116" i="20"/>
  <c r="G116" i="20"/>
  <c r="U116" i="20"/>
  <c r="C89" i="19"/>
  <c r="D89" i="19" s="1"/>
  <c r="D117" i="20"/>
  <c r="N117" i="20" l="1"/>
  <c r="H117" i="20"/>
  <c r="L117" i="20"/>
  <c r="M117" i="20" s="1"/>
  <c r="G117" i="20"/>
  <c r="U117" i="20"/>
  <c r="R117" i="20"/>
  <c r="F117" i="20"/>
  <c r="E117" i="20"/>
  <c r="C90" i="19"/>
  <c r="D90" i="19" s="1"/>
  <c r="D118" i="20"/>
  <c r="N118" i="20" l="1"/>
  <c r="H118" i="20"/>
  <c r="L118" i="20"/>
  <c r="M118" i="20" s="1"/>
  <c r="F118" i="20"/>
  <c r="E118" i="20"/>
  <c r="U118" i="20"/>
  <c r="R118" i="20"/>
  <c r="G118" i="20"/>
  <c r="C91" i="19"/>
  <c r="D91" i="19" s="1"/>
  <c r="D119" i="20"/>
  <c r="N119" i="20" l="1"/>
  <c r="H119" i="20"/>
  <c r="L119" i="20"/>
  <c r="M119" i="20" s="1"/>
  <c r="U119" i="20"/>
  <c r="R119" i="20"/>
  <c r="G119" i="20"/>
  <c r="E119" i="20"/>
  <c r="F119" i="20"/>
  <c r="C92" i="19"/>
  <c r="D92" i="19" s="1"/>
  <c r="D120" i="20"/>
  <c r="N120" i="20" l="1"/>
  <c r="H120" i="20"/>
  <c r="L120" i="20"/>
  <c r="M120" i="20" s="1"/>
  <c r="F120" i="20"/>
  <c r="U120" i="20"/>
  <c r="E120" i="20"/>
  <c r="G120" i="20"/>
  <c r="R120" i="20"/>
  <c r="C93" i="19"/>
  <c r="D93" i="19" s="1"/>
  <c r="D121" i="20"/>
  <c r="N121" i="20" l="1"/>
  <c r="H121" i="20"/>
  <c r="L121" i="20"/>
  <c r="M121" i="20" s="1"/>
  <c r="U121" i="20"/>
  <c r="G121" i="20"/>
  <c r="R121" i="20"/>
  <c r="E121" i="20"/>
  <c r="F121" i="20"/>
  <c r="C94" i="19"/>
  <c r="D94" i="19" s="1"/>
  <c r="D122" i="20"/>
  <c r="N122" i="20" l="1"/>
  <c r="H122" i="20"/>
  <c r="L122" i="20"/>
  <c r="M122" i="20" s="1"/>
  <c r="F122" i="20"/>
  <c r="E122" i="20"/>
  <c r="R122" i="20"/>
  <c r="U122" i="20"/>
  <c r="G122" i="20"/>
  <c r="C95" i="19"/>
  <c r="D95" i="19" s="1"/>
  <c r="D123" i="20"/>
  <c r="N123" i="20" l="1"/>
  <c r="H123" i="20"/>
  <c r="L123" i="20"/>
  <c r="M123" i="20" s="1"/>
  <c r="R123" i="20"/>
  <c r="U123" i="20"/>
  <c r="G123" i="20"/>
  <c r="E123" i="20"/>
  <c r="F123" i="20"/>
  <c r="C96" i="19"/>
  <c r="D96" i="19" s="1"/>
  <c r="D124" i="20"/>
  <c r="N124" i="20" l="1"/>
  <c r="H124" i="20"/>
  <c r="L124" i="20"/>
  <c r="M124" i="20" s="1"/>
  <c r="F124" i="20"/>
  <c r="R124" i="20"/>
  <c r="G124" i="20"/>
  <c r="E124" i="20"/>
  <c r="U124" i="20"/>
  <c r="C97" i="19"/>
  <c r="D97" i="19" s="1"/>
  <c r="D125" i="20"/>
  <c r="N125" i="20" l="1"/>
  <c r="H125" i="20"/>
  <c r="L125" i="20"/>
  <c r="M125" i="20" s="1"/>
  <c r="U125" i="20"/>
  <c r="G125" i="20"/>
  <c r="E125" i="20"/>
  <c r="R125" i="20"/>
  <c r="F125" i="20"/>
  <c r="C98" i="19"/>
  <c r="D98" i="19" s="1"/>
  <c r="D126" i="20"/>
  <c r="N126" i="20" l="1"/>
  <c r="H126" i="20"/>
  <c r="L126" i="20"/>
  <c r="M126" i="20" s="1"/>
  <c r="F126" i="20"/>
  <c r="R126" i="20"/>
  <c r="E126" i="20"/>
  <c r="U126" i="20"/>
  <c r="G126" i="20"/>
  <c r="C99" i="19"/>
  <c r="D99" i="19" s="1"/>
  <c r="D127" i="20"/>
  <c r="N127" i="20" l="1"/>
  <c r="H127" i="20"/>
  <c r="L127" i="20"/>
  <c r="M127" i="20" s="1"/>
  <c r="U127" i="20"/>
  <c r="G127" i="20"/>
  <c r="E127" i="20"/>
  <c r="F127" i="20"/>
  <c r="R127" i="20"/>
  <c r="C100" i="19"/>
  <c r="D100" i="19" s="1"/>
  <c r="D128" i="20"/>
  <c r="N128" i="20" l="1"/>
  <c r="H128" i="20"/>
  <c r="L128" i="20"/>
  <c r="M128" i="20" s="1"/>
  <c r="F128" i="20"/>
  <c r="U128" i="20"/>
  <c r="E128" i="20"/>
  <c r="R128" i="20"/>
  <c r="G128" i="20"/>
  <c r="C101" i="19"/>
  <c r="D101" i="19" s="1"/>
  <c r="D129" i="20"/>
  <c r="N129" i="20" l="1"/>
  <c r="H129" i="20"/>
  <c r="D18" i="22"/>
  <c r="L129" i="20"/>
  <c r="M129" i="20" s="1"/>
  <c r="R129" i="20"/>
  <c r="G129" i="20"/>
  <c r="E129" i="20"/>
  <c r="E29" i="20" s="1"/>
  <c r="J22" i="14" s="1"/>
  <c r="P22" i="14" s="1"/>
  <c r="F129" i="20"/>
  <c r="U129" i="20"/>
  <c r="C102" i="19"/>
  <c r="D102" i="19" s="1"/>
  <c r="B33" i="20" l="1"/>
  <c r="J156" i="14"/>
  <c r="J148" i="14"/>
  <c r="J140" i="14"/>
  <c r="J132" i="14"/>
  <c r="J124" i="14"/>
  <c r="J214" i="16"/>
  <c r="J206" i="16"/>
  <c r="J198" i="16"/>
  <c r="J190" i="16"/>
  <c r="J182" i="16"/>
  <c r="J163" i="17"/>
  <c r="J155" i="17"/>
  <c r="J217" i="14"/>
  <c r="J215" i="14"/>
  <c r="J213" i="14"/>
  <c r="J211" i="14"/>
  <c r="J209" i="14"/>
  <c r="J207" i="14"/>
  <c r="J205" i="14"/>
  <c r="J203" i="14"/>
  <c r="J201" i="14"/>
  <c r="J199" i="14"/>
  <c r="J197" i="14"/>
  <c r="J195" i="14"/>
  <c r="J193" i="14"/>
  <c r="J191" i="14"/>
  <c r="J189" i="14"/>
  <c r="J187" i="14"/>
  <c r="J185" i="14"/>
  <c r="J183" i="14"/>
  <c r="J181" i="14"/>
  <c r="J179" i="14"/>
  <c r="J177" i="14"/>
  <c r="J175" i="14"/>
  <c r="J173" i="14"/>
  <c r="J171" i="14"/>
  <c r="J169" i="14"/>
  <c r="J167" i="14"/>
  <c r="J165" i="14"/>
  <c r="J163" i="14"/>
  <c r="J161" i="14"/>
  <c r="J153" i="14"/>
  <c r="J145" i="14"/>
  <c r="J137" i="14"/>
  <c r="J129" i="14"/>
  <c r="J121" i="14"/>
  <c r="J211" i="16"/>
  <c r="J203" i="16"/>
  <c r="J195" i="16"/>
  <c r="J187" i="16"/>
  <c r="J179" i="16"/>
  <c r="J174" i="16"/>
  <c r="J172" i="16"/>
  <c r="J170" i="16"/>
  <c r="J168" i="16"/>
  <c r="J166" i="16"/>
  <c r="J164" i="16"/>
  <c r="J162" i="16"/>
  <c r="J160" i="16"/>
  <c r="J158" i="16"/>
  <c r="J156" i="16"/>
  <c r="J154" i="16"/>
  <c r="J152" i="16"/>
  <c r="J150" i="16"/>
  <c r="J148" i="16"/>
  <c r="J146" i="16"/>
  <c r="J144" i="16"/>
  <c r="J142" i="16"/>
  <c r="J140" i="16"/>
  <c r="J138" i="16"/>
  <c r="J136" i="16"/>
  <c r="J134" i="16"/>
  <c r="J132" i="16"/>
  <c r="J130" i="16"/>
  <c r="J128" i="16"/>
  <c r="J126" i="16"/>
  <c r="J124" i="16"/>
  <c r="J122" i="16"/>
  <c r="J120" i="16"/>
  <c r="J216" i="17"/>
  <c r="J214" i="17"/>
  <c r="J212" i="17"/>
  <c r="J210" i="17"/>
  <c r="J208" i="17"/>
  <c r="J206" i="17"/>
  <c r="J204" i="17"/>
  <c r="J202" i="17"/>
  <c r="J200" i="17"/>
  <c r="J198" i="17"/>
  <c r="J196" i="17"/>
  <c r="J194" i="17"/>
  <c r="J192" i="17"/>
  <c r="J190" i="17"/>
  <c r="J188" i="17"/>
  <c r="J186" i="17"/>
  <c r="J184" i="17"/>
  <c r="J158" i="14"/>
  <c r="J150" i="14"/>
  <c r="J142" i="14"/>
  <c r="J134" i="14"/>
  <c r="J126" i="14"/>
  <c r="J216" i="16"/>
  <c r="J208" i="16"/>
  <c r="J200" i="16"/>
  <c r="J192" i="16"/>
  <c r="J216" i="14"/>
  <c r="J214" i="14"/>
  <c r="J212" i="14"/>
  <c r="J210" i="14"/>
  <c r="J208" i="14"/>
  <c r="J206" i="14"/>
  <c r="J204" i="14"/>
  <c r="J202" i="14"/>
  <c r="J200" i="14"/>
  <c r="J198" i="14"/>
  <c r="J196" i="14"/>
  <c r="J194" i="14"/>
  <c r="J192" i="14"/>
  <c r="J190" i="14"/>
  <c r="J188" i="14"/>
  <c r="J186" i="14"/>
  <c r="J184" i="14"/>
  <c r="J182" i="14"/>
  <c r="J180" i="14"/>
  <c r="J178" i="14"/>
  <c r="J176" i="14"/>
  <c r="J174" i="14"/>
  <c r="J172" i="14"/>
  <c r="J170" i="14"/>
  <c r="J168" i="14"/>
  <c r="J166" i="14"/>
  <c r="J164" i="14"/>
  <c r="J162" i="14"/>
  <c r="J157" i="14"/>
  <c r="J149" i="14"/>
  <c r="J141" i="14"/>
  <c r="J133" i="14"/>
  <c r="J125" i="14"/>
  <c r="J215" i="16"/>
  <c r="J207" i="16"/>
  <c r="J199" i="16"/>
  <c r="J191" i="16"/>
  <c r="J183" i="16"/>
  <c r="J175" i="16"/>
  <c r="J173" i="16"/>
  <c r="J171" i="16"/>
  <c r="J169" i="16"/>
  <c r="J167" i="16"/>
  <c r="J165" i="16"/>
  <c r="J163" i="16"/>
  <c r="J161" i="16"/>
  <c r="J159" i="16"/>
  <c r="J157" i="16"/>
  <c r="J155" i="16"/>
  <c r="J153" i="16"/>
  <c r="J151" i="16"/>
  <c r="J149" i="16"/>
  <c r="J147" i="16"/>
  <c r="J145" i="16"/>
  <c r="J143" i="16"/>
  <c r="J141" i="16"/>
  <c r="J139" i="16"/>
  <c r="J137" i="16"/>
  <c r="J135" i="16"/>
  <c r="J133" i="16"/>
  <c r="J131" i="16"/>
  <c r="J129" i="16"/>
  <c r="J127" i="16"/>
  <c r="J125" i="16"/>
  <c r="J123" i="16"/>
  <c r="J121" i="16"/>
  <c r="J217" i="17"/>
  <c r="J215" i="17"/>
  <c r="J213" i="17"/>
  <c r="J211" i="17"/>
  <c r="J209" i="17"/>
  <c r="J207" i="17"/>
  <c r="J205" i="17"/>
  <c r="J203" i="17"/>
  <c r="J201" i="17"/>
  <c r="J199" i="17"/>
  <c r="J197" i="17"/>
  <c r="J195" i="17"/>
  <c r="J193" i="17"/>
  <c r="J191" i="17"/>
  <c r="J189" i="17"/>
  <c r="J187" i="17"/>
  <c r="J185" i="17"/>
  <c r="J183" i="17"/>
  <c r="J181" i="17"/>
  <c r="J167" i="17"/>
  <c r="J156" i="17"/>
  <c r="J153" i="17"/>
  <c r="J145" i="17"/>
  <c r="J137" i="17"/>
  <c r="J129" i="17"/>
  <c r="J121" i="17"/>
  <c r="J213" i="16"/>
  <c r="J166" i="17"/>
  <c r="J144" i="17"/>
  <c r="J120" i="17"/>
  <c r="J178" i="16"/>
  <c r="J133" i="17"/>
  <c r="J148" i="17"/>
  <c r="J179" i="17"/>
  <c r="J177" i="17"/>
  <c r="J175" i="17"/>
  <c r="J173" i="17"/>
  <c r="J171" i="17"/>
  <c r="J169" i="17"/>
  <c r="J164" i="17"/>
  <c r="J161" i="17"/>
  <c r="J150" i="17"/>
  <c r="J142" i="17"/>
  <c r="J134" i="17"/>
  <c r="J126" i="17"/>
  <c r="J131" i="17"/>
  <c r="J147" i="14"/>
  <c r="J144" i="14"/>
  <c r="J131" i="14"/>
  <c r="J128" i="14"/>
  <c r="J210" i="16"/>
  <c r="J128" i="17"/>
  <c r="J181" i="16"/>
  <c r="J160" i="17"/>
  <c r="J149" i="17"/>
  <c r="J125" i="17"/>
  <c r="J124" i="17"/>
  <c r="J154" i="14"/>
  <c r="J151" i="14"/>
  <c r="J138" i="14"/>
  <c r="J135" i="14"/>
  <c r="J122" i="14"/>
  <c r="J217" i="16"/>
  <c r="J204" i="16"/>
  <c r="J201" i="16"/>
  <c r="J188" i="16"/>
  <c r="J185" i="16"/>
  <c r="J176" i="16"/>
  <c r="J158" i="17"/>
  <c r="J147" i="17"/>
  <c r="J139" i="17"/>
  <c r="J123" i="17"/>
  <c r="J160" i="14"/>
  <c r="J197" i="16"/>
  <c r="J194" i="16"/>
  <c r="J152" i="17"/>
  <c r="J136" i="17"/>
  <c r="J141" i="17"/>
  <c r="J132" i="17"/>
  <c r="J184" i="16"/>
  <c r="J180" i="17"/>
  <c r="J178" i="17"/>
  <c r="J176" i="17"/>
  <c r="J174" i="17"/>
  <c r="J172" i="17"/>
  <c r="J170" i="17"/>
  <c r="J168" i="17"/>
  <c r="J157" i="17"/>
  <c r="J154" i="17"/>
  <c r="J146" i="17"/>
  <c r="J138" i="17"/>
  <c r="J130" i="17"/>
  <c r="J122" i="17"/>
  <c r="J159" i="14"/>
  <c r="J146" i="14"/>
  <c r="J143" i="14"/>
  <c r="J130" i="14"/>
  <c r="J127" i="14"/>
  <c r="J212" i="16"/>
  <c r="J209" i="16"/>
  <c r="J196" i="16"/>
  <c r="J193" i="16"/>
  <c r="J182" i="17"/>
  <c r="J165" i="17"/>
  <c r="J162" i="17"/>
  <c r="J151" i="17"/>
  <c r="J143" i="17"/>
  <c r="J135" i="17"/>
  <c r="J127" i="17"/>
  <c r="J155" i="14"/>
  <c r="J152" i="14"/>
  <c r="J139" i="14"/>
  <c r="J136" i="14"/>
  <c r="J123" i="14"/>
  <c r="J120" i="14"/>
  <c r="J205" i="16"/>
  <c r="J202" i="16"/>
  <c r="J189" i="16"/>
  <c r="J186" i="16"/>
  <c r="J180" i="16"/>
  <c r="J177" i="16"/>
  <c r="J159" i="17"/>
  <c r="J140" i="17"/>
  <c r="J218" i="17"/>
  <c r="J119" i="17"/>
  <c r="J117" i="17"/>
  <c r="J115" i="17"/>
  <c r="J113" i="17"/>
  <c r="J111" i="17"/>
  <c r="J109" i="17"/>
  <c r="J107" i="17"/>
  <c r="J105" i="17"/>
  <c r="J103" i="17"/>
  <c r="J101" i="17"/>
  <c r="J99" i="17"/>
  <c r="J97" i="17"/>
  <c r="J95" i="17"/>
  <c r="J93" i="17"/>
  <c r="J91" i="17"/>
  <c r="J89" i="17"/>
  <c r="J87" i="17"/>
  <c r="J85" i="17"/>
  <c r="J83" i="17"/>
  <c r="J81" i="17"/>
  <c r="J79" i="17"/>
  <c r="J77" i="17"/>
  <c r="J75" i="17"/>
  <c r="J73" i="17"/>
  <c r="J71" i="17"/>
  <c r="J69" i="17"/>
  <c r="J67" i="17"/>
  <c r="J65" i="17"/>
  <c r="J63" i="17"/>
  <c r="J61" i="17"/>
  <c r="J59" i="17"/>
  <c r="J57" i="17"/>
  <c r="J55" i="17"/>
  <c r="J53" i="17"/>
  <c r="J51" i="17"/>
  <c r="P51" i="17" s="1"/>
  <c r="J49" i="17"/>
  <c r="J47" i="17"/>
  <c r="J45" i="17"/>
  <c r="J43" i="17"/>
  <c r="J41" i="17"/>
  <c r="J39" i="17"/>
  <c r="J37" i="17"/>
  <c r="J35" i="17"/>
  <c r="J33" i="17"/>
  <c r="J31" i="17"/>
  <c r="J29" i="17"/>
  <c r="J27" i="17"/>
  <c r="J25" i="17"/>
  <c r="J23" i="17"/>
  <c r="J22" i="17"/>
  <c r="P22" i="17" s="1"/>
  <c r="J118" i="16"/>
  <c r="J116" i="16"/>
  <c r="J114" i="16"/>
  <c r="J112" i="16"/>
  <c r="J110" i="16"/>
  <c r="J108" i="16"/>
  <c r="J106" i="16"/>
  <c r="J104" i="16"/>
  <c r="J102" i="16"/>
  <c r="J118" i="17"/>
  <c r="J114" i="17"/>
  <c r="J110" i="17"/>
  <c r="J106" i="17"/>
  <c r="J102" i="17"/>
  <c r="J98" i="17"/>
  <c r="J94" i="17"/>
  <c r="J90" i="17"/>
  <c r="J86" i="17"/>
  <c r="J82" i="17"/>
  <c r="J78" i="17"/>
  <c r="J74" i="17"/>
  <c r="J70" i="17"/>
  <c r="J66" i="17"/>
  <c r="J62" i="17"/>
  <c r="J58" i="17"/>
  <c r="J54" i="17"/>
  <c r="J50" i="17"/>
  <c r="J46" i="17"/>
  <c r="J42" i="17"/>
  <c r="J38" i="17"/>
  <c r="J34" i="17"/>
  <c r="J30" i="17"/>
  <c r="J26" i="17"/>
  <c r="J119" i="16"/>
  <c r="J115" i="16"/>
  <c r="J111" i="16"/>
  <c r="J107" i="16"/>
  <c r="J103" i="16"/>
  <c r="J100" i="16"/>
  <c r="J98" i="16"/>
  <c r="J96" i="16"/>
  <c r="J94" i="16"/>
  <c r="J92" i="16"/>
  <c r="J90" i="16"/>
  <c r="J88" i="16"/>
  <c r="J86" i="16"/>
  <c r="J84" i="16"/>
  <c r="J82" i="16"/>
  <c r="J80" i="16"/>
  <c r="J78" i="16"/>
  <c r="J76" i="16"/>
  <c r="J74" i="16"/>
  <c r="J72" i="16"/>
  <c r="J70" i="16"/>
  <c r="J68" i="16"/>
  <c r="J66" i="16"/>
  <c r="J64" i="16"/>
  <c r="J62" i="16"/>
  <c r="J60" i="16"/>
  <c r="J58" i="16"/>
  <c r="J56" i="16"/>
  <c r="J54" i="16"/>
  <c r="J52" i="16"/>
  <c r="J50" i="16"/>
  <c r="J48" i="16"/>
  <c r="J46" i="16"/>
  <c r="J44" i="16"/>
  <c r="J42" i="16"/>
  <c r="J40" i="16"/>
  <c r="J38" i="16"/>
  <c r="J36" i="16"/>
  <c r="J34" i="16"/>
  <c r="J32" i="16"/>
  <c r="J30" i="16"/>
  <c r="J28" i="16"/>
  <c r="J26" i="16"/>
  <c r="J24" i="16"/>
  <c r="P24" i="16" s="1"/>
  <c r="L67" i="20" s="1"/>
  <c r="J22" i="16"/>
  <c r="P22" i="16" s="1"/>
  <c r="L65" i="20" s="1"/>
  <c r="J116" i="17"/>
  <c r="J108" i="17"/>
  <c r="J100" i="17"/>
  <c r="J92" i="17"/>
  <c r="J84" i="17"/>
  <c r="J76" i="17"/>
  <c r="J68" i="17"/>
  <c r="J60" i="17"/>
  <c r="J52" i="17"/>
  <c r="J44" i="17"/>
  <c r="J36" i="17"/>
  <c r="J28" i="17"/>
  <c r="J218" i="16"/>
  <c r="J113" i="16"/>
  <c r="J105" i="16"/>
  <c r="J99" i="16"/>
  <c r="J95" i="16"/>
  <c r="J91" i="16"/>
  <c r="J87" i="16"/>
  <c r="J83" i="16"/>
  <c r="J79" i="16"/>
  <c r="J75" i="16"/>
  <c r="J71" i="16"/>
  <c r="J67" i="16"/>
  <c r="J63" i="16"/>
  <c r="J59" i="16"/>
  <c r="J55" i="16"/>
  <c r="J51" i="16"/>
  <c r="J47" i="16"/>
  <c r="J43" i="16"/>
  <c r="J39" i="16"/>
  <c r="J35" i="16"/>
  <c r="J31" i="16"/>
  <c r="J27" i="16"/>
  <c r="J23" i="16"/>
  <c r="P23" i="16" s="1"/>
  <c r="J118" i="14"/>
  <c r="J116" i="14"/>
  <c r="J114" i="14"/>
  <c r="J112" i="14"/>
  <c r="J110" i="14"/>
  <c r="J108" i="14"/>
  <c r="J106" i="14"/>
  <c r="J104" i="14"/>
  <c r="J102" i="14"/>
  <c r="J100" i="14"/>
  <c r="J98" i="14"/>
  <c r="J96" i="14"/>
  <c r="J94" i="14"/>
  <c r="J92" i="14"/>
  <c r="J90" i="14"/>
  <c r="J88" i="14"/>
  <c r="J86" i="14"/>
  <c r="J84" i="14"/>
  <c r="J82" i="14"/>
  <c r="J80" i="14"/>
  <c r="J78" i="14"/>
  <c r="J76" i="14"/>
  <c r="J74" i="14"/>
  <c r="J72" i="14"/>
  <c r="J70" i="14"/>
  <c r="J68" i="14"/>
  <c r="J66" i="14"/>
  <c r="J64" i="14"/>
  <c r="J62" i="14"/>
  <c r="J60" i="14"/>
  <c r="J58" i="14"/>
  <c r="J56" i="14"/>
  <c r="J54" i="14"/>
  <c r="J52" i="14"/>
  <c r="J50" i="14"/>
  <c r="J48" i="14"/>
  <c r="J46" i="14"/>
  <c r="J44" i="14"/>
  <c r="J42" i="14"/>
  <c r="J40" i="14"/>
  <c r="J38" i="14"/>
  <c r="J36" i="14"/>
  <c r="J34" i="14"/>
  <c r="J32" i="14"/>
  <c r="J30" i="14"/>
  <c r="J28" i="14"/>
  <c r="J26" i="14"/>
  <c r="J24" i="14"/>
  <c r="J112" i="17"/>
  <c r="J104" i="17"/>
  <c r="J96" i="17"/>
  <c r="J88" i="17"/>
  <c r="J80" i="17"/>
  <c r="J72" i="17"/>
  <c r="J64" i="17"/>
  <c r="J56" i="17"/>
  <c r="J48" i="17"/>
  <c r="J40" i="17"/>
  <c r="J32" i="17"/>
  <c r="J24" i="17"/>
  <c r="J117" i="16"/>
  <c r="J109" i="16"/>
  <c r="J101" i="16"/>
  <c r="J97" i="16"/>
  <c r="J93" i="16"/>
  <c r="J89" i="16"/>
  <c r="J85" i="16"/>
  <c r="J81" i="16"/>
  <c r="J77" i="16"/>
  <c r="J73" i="16"/>
  <c r="J69" i="16"/>
  <c r="J65" i="16"/>
  <c r="J61" i="16"/>
  <c r="J57" i="16"/>
  <c r="J53" i="16"/>
  <c r="J49" i="16"/>
  <c r="J45" i="16"/>
  <c r="J41" i="16"/>
  <c r="J37" i="16"/>
  <c r="J33" i="16"/>
  <c r="J29" i="16"/>
  <c r="J25" i="16"/>
  <c r="J218" i="14"/>
  <c r="J119" i="14"/>
  <c r="J117" i="14"/>
  <c r="J115" i="14"/>
  <c r="J113" i="14"/>
  <c r="J111" i="14"/>
  <c r="J109" i="14"/>
  <c r="J107" i="14"/>
  <c r="J105" i="14"/>
  <c r="J103" i="14"/>
  <c r="J101" i="14"/>
  <c r="J99" i="14"/>
  <c r="J97" i="14"/>
  <c r="J95" i="14"/>
  <c r="J93" i="14"/>
  <c r="J91" i="14"/>
  <c r="J89" i="14"/>
  <c r="J87" i="14"/>
  <c r="J85" i="14"/>
  <c r="J83" i="14"/>
  <c r="J81" i="14"/>
  <c r="J79" i="14"/>
  <c r="J77" i="14"/>
  <c r="J75" i="14"/>
  <c r="J73" i="14"/>
  <c r="J71" i="14"/>
  <c r="J69" i="14"/>
  <c r="J67" i="14"/>
  <c r="J65" i="14"/>
  <c r="J63" i="14"/>
  <c r="J61" i="14"/>
  <c r="J59" i="14"/>
  <c r="J57" i="14"/>
  <c r="J55" i="14"/>
  <c r="J51" i="14"/>
  <c r="J47" i="14"/>
  <c r="J43" i="14"/>
  <c r="J39" i="14"/>
  <c r="J35" i="14"/>
  <c r="J31" i="14"/>
  <c r="J27" i="14"/>
  <c r="J23" i="14"/>
  <c r="P23" i="14" s="1"/>
  <c r="P219" i="14" s="1"/>
  <c r="J53" i="14"/>
  <c r="J49" i="14"/>
  <c r="J45" i="14"/>
  <c r="J41" i="14"/>
  <c r="J37" i="14"/>
  <c r="J33" i="14"/>
  <c r="J29" i="14"/>
  <c r="J25" i="14"/>
  <c r="R39" i="20"/>
  <c r="U39" i="20"/>
  <c r="N84" i="20" l="1"/>
  <c r="P38" i="17"/>
  <c r="N71" i="20"/>
  <c r="P25" i="17"/>
  <c r="P41" i="17"/>
  <c r="N87" i="20" s="1"/>
  <c r="P42" i="17"/>
  <c r="N88" i="20" s="1"/>
  <c r="P27" i="17"/>
  <c r="N73" i="20" s="1"/>
  <c r="N89" i="20"/>
  <c r="P43" i="17"/>
  <c r="P32" i="17"/>
  <c r="N78" i="20" s="1"/>
  <c r="P40" i="17"/>
  <c r="N86" i="20" s="1"/>
  <c r="P48" i="17"/>
  <c r="N94" i="20" s="1"/>
  <c r="P28" i="17"/>
  <c r="N74" i="20" s="1"/>
  <c r="P33" i="17"/>
  <c r="N79" i="20" s="1"/>
  <c r="P49" i="17"/>
  <c r="N95" i="20" s="1"/>
  <c r="N75" i="20"/>
  <c r="P29" i="17"/>
  <c r="P50" i="17"/>
  <c r="N96" i="20" s="1"/>
  <c r="P36" i="17"/>
  <c r="N82" i="20" s="1"/>
  <c r="P26" i="17"/>
  <c r="N72" i="20" s="1"/>
  <c r="N81" i="20"/>
  <c r="P35" i="17"/>
  <c r="N70" i="20"/>
  <c r="P24" i="17"/>
  <c r="P31" i="17"/>
  <c r="N77" i="20" s="1"/>
  <c r="P44" i="17"/>
  <c r="N90" i="20" s="1"/>
  <c r="P30" i="17"/>
  <c r="N76" i="20" s="1"/>
  <c r="N83" i="20"/>
  <c r="P37" i="17"/>
  <c r="P46" i="17"/>
  <c r="N92" i="20" s="1"/>
  <c r="P45" i="17"/>
  <c r="N91" i="20" s="1"/>
  <c r="P47" i="17"/>
  <c r="N93" i="20" s="1"/>
  <c r="N80" i="20"/>
  <c r="P34" i="17"/>
  <c r="P23" i="17"/>
  <c r="N69" i="20" s="1"/>
  <c r="P39" i="17"/>
  <c r="N85" i="20" s="1"/>
  <c r="N62" i="20"/>
  <c r="N68" i="20"/>
  <c r="L61" i="20"/>
  <c r="L66" i="20"/>
  <c r="L40" i="20"/>
  <c r="L39" i="20"/>
  <c r="J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H62" i="20" l="1"/>
  <c r="R62" i="20"/>
  <c r="U62" i="20"/>
  <c r="O62" i="20"/>
  <c r="H63" i="20" l="1"/>
  <c r="R63" i="20"/>
  <c r="U63" i="20"/>
  <c r="O63" i="20"/>
  <c r="O61" i="20"/>
  <c r="H64" i="20" l="1"/>
  <c r="R64" i="20"/>
  <c r="O64" i="20"/>
  <c r="U64" i="20"/>
  <c r="O60" i="20"/>
  <c r="H65" i="20" l="1"/>
  <c r="R65" i="20"/>
  <c r="O65" i="20"/>
  <c r="U65" i="20"/>
  <c r="H66" i="20" l="1"/>
  <c r="U66" i="20"/>
  <c r="R66" i="20"/>
  <c r="O66" i="20"/>
  <c r="O67" i="20" l="1"/>
  <c r="M68" i="20" l="1"/>
  <c r="C67" i="20"/>
  <c r="H67" i="20" l="1"/>
  <c r="R67" i="20"/>
  <c r="C68" i="20"/>
  <c r="U67" i="20"/>
  <c r="M67" i="20"/>
  <c r="F67" i="20"/>
  <c r="C66" i="20"/>
  <c r="G67" i="20"/>
  <c r="H68" i="20" l="1"/>
  <c r="O68" i="20"/>
  <c r="C69" i="20"/>
  <c r="G68" i="20"/>
  <c r="F68" i="20"/>
  <c r="M66" i="20"/>
  <c r="F66" i="20"/>
  <c r="C65" i="20"/>
  <c r="G66" i="20"/>
  <c r="M69" i="20" l="1"/>
  <c r="O69" i="20"/>
  <c r="F69" i="20"/>
  <c r="C70" i="20"/>
  <c r="G69" i="20"/>
  <c r="H69" i="20"/>
  <c r="M65" i="20"/>
  <c r="F65" i="20"/>
  <c r="C64" i="20"/>
  <c r="G65" i="20"/>
  <c r="M70" i="20" l="1"/>
  <c r="C71" i="20"/>
  <c r="G70" i="20"/>
  <c r="F70" i="20"/>
  <c r="O70" i="20"/>
  <c r="H70" i="20"/>
  <c r="M64" i="20"/>
  <c r="F64" i="20"/>
  <c r="C63" i="20"/>
  <c r="G64" i="20"/>
  <c r="M71" i="20" l="1"/>
  <c r="H71" i="20"/>
  <c r="O71" i="20"/>
  <c r="F71" i="20"/>
  <c r="C72" i="20"/>
  <c r="G71" i="20"/>
  <c r="M63" i="20"/>
  <c r="G63" i="20"/>
  <c r="C62" i="20"/>
  <c r="F63" i="20"/>
  <c r="M72" i="20" l="1"/>
  <c r="H72" i="20"/>
  <c r="G72" i="20"/>
  <c r="F72" i="20"/>
  <c r="O72" i="20"/>
  <c r="C73" i="20"/>
  <c r="M62" i="20"/>
  <c r="C61" i="20"/>
  <c r="G62" i="20"/>
  <c r="F62" i="20"/>
  <c r="M73" i="20" l="1"/>
  <c r="H73" i="20"/>
  <c r="F73" i="20"/>
  <c r="C74" i="20"/>
  <c r="G73" i="20"/>
  <c r="O73" i="20"/>
  <c r="M61" i="20"/>
  <c r="F61" i="20"/>
  <c r="G61" i="20"/>
  <c r="C60" i="20"/>
  <c r="M74" i="20" l="1"/>
  <c r="H74" i="20"/>
  <c r="O74" i="20"/>
  <c r="C75" i="20"/>
  <c r="G74" i="20"/>
  <c r="F74" i="20"/>
  <c r="F60" i="20"/>
  <c r="M60" i="20"/>
  <c r="G60" i="20"/>
  <c r="C59" i="20"/>
  <c r="M75" i="20" l="1"/>
  <c r="H75" i="20"/>
  <c r="O75" i="20"/>
  <c r="C76" i="20"/>
  <c r="F75" i="20"/>
  <c r="G75" i="20"/>
  <c r="G59" i="20"/>
  <c r="C58" i="20"/>
  <c r="F59" i="20"/>
  <c r="M59" i="20"/>
  <c r="M76" i="20" l="1"/>
  <c r="H76" i="20"/>
  <c r="O76" i="20"/>
  <c r="C77" i="20"/>
  <c r="G76" i="20"/>
  <c r="F76" i="20"/>
  <c r="C57" i="20"/>
  <c r="M58" i="20"/>
  <c r="G58" i="20"/>
  <c r="F58" i="20"/>
  <c r="M77" i="20" l="1"/>
  <c r="H77" i="20"/>
  <c r="C78" i="20"/>
  <c r="G77" i="20"/>
  <c r="F77" i="20"/>
  <c r="O77" i="20"/>
  <c r="F57" i="20"/>
  <c r="M57" i="20"/>
  <c r="C56" i="20"/>
  <c r="G57" i="20"/>
  <c r="M78" i="20" l="1"/>
  <c r="H78" i="20"/>
  <c r="G78" i="20"/>
  <c r="C79" i="20"/>
  <c r="O78" i="20"/>
  <c r="F78" i="20"/>
  <c r="G56" i="20"/>
  <c r="C55" i="20"/>
  <c r="M56" i="20"/>
  <c r="F56" i="20"/>
  <c r="M79" i="20" l="1"/>
  <c r="H79" i="20"/>
  <c r="O79" i="20"/>
  <c r="F79" i="20"/>
  <c r="C80" i="20"/>
  <c r="G79" i="20"/>
  <c r="C54" i="20"/>
  <c r="M55" i="20"/>
  <c r="F55" i="20"/>
  <c r="G55" i="20"/>
  <c r="M80" i="20" l="1"/>
  <c r="H80" i="20"/>
  <c r="F80" i="20"/>
  <c r="G80" i="20"/>
  <c r="C81" i="20"/>
  <c r="O80" i="20"/>
  <c r="F54" i="20"/>
  <c r="G54" i="20"/>
  <c r="M54" i="20"/>
  <c r="C53" i="20"/>
  <c r="M81" i="20" l="1"/>
  <c r="H81" i="20"/>
  <c r="G81" i="20"/>
  <c r="F81" i="20"/>
  <c r="O81" i="20"/>
  <c r="C82" i="20"/>
  <c r="F53" i="20"/>
  <c r="M53" i="20"/>
  <c r="G53" i="20"/>
  <c r="C52" i="20"/>
  <c r="M82" i="20" l="1"/>
  <c r="H82" i="20"/>
  <c r="F82" i="20"/>
  <c r="G82" i="20"/>
  <c r="O82" i="20"/>
  <c r="C83" i="20"/>
  <c r="M52" i="20"/>
  <c r="C51" i="20"/>
  <c r="F52" i="20"/>
  <c r="G52" i="20"/>
  <c r="M83" i="20" l="1"/>
  <c r="H83" i="20"/>
  <c r="O83" i="20"/>
  <c r="G83" i="20"/>
  <c r="F83" i="20"/>
  <c r="C84" i="20"/>
  <c r="G51" i="20"/>
  <c r="C50" i="20"/>
  <c r="F51" i="20"/>
  <c r="M51" i="20"/>
  <c r="M84" i="20" l="1"/>
  <c r="H84" i="20"/>
  <c r="G84" i="20"/>
  <c r="C85" i="20"/>
  <c r="F84" i="20"/>
  <c r="O84" i="20"/>
  <c r="F50" i="20"/>
  <c r="G50" i="20"/>
  <c r="M50" i="20"/>
  <c r="C49" i="20"/>
  <c r="M85" i="20" l="1"/>
  <c r="H85" i="20"/>
  <c r="C86" i="20"/>
  <c r="F85" i="20"/>
  <c r="O85" i="20"/>
  <c r="G85" i="20"/>
  <c r="F49" i="20"/>
  <c r="G49" i="20"/>
  <c r="C48" i="20"/>
  <c r="M49" i="20"/>
  <c r="M86" i="20" l="1"/>
  <c r="H86" i="20"/>
  <c r="O86" i="20"/>
  <c r="F86" i="20"/>
  <c r="C87" i="20"/>
  <c r="G86" i="20"/>
  <c r="G48" i="20"/>
  <c r="M48" i="20"/>
  <c r="F48" i="20"/>
  <c r="C47" i="20"/>
  <c r="M87" i="20" l="1"/>
  <c r="H87" i="20"/>
  <c r="G87" i="20"/>
  <c r="F87" i="20"/>
  <c r="C88" i="20"/>
  <c r="O87" i="20"/>
  <c r="F47" i="20"/>
  <c r="G47" i="20"/>
  <c r="M47" i="20"/>
  <c r="C46" i="20"/>
  <c r="M88" i="20" l="1"/>
  <c r="H88" i="20"/>
  <c r="C89" i="20"/>
  <c r="G88" i="20"/>
  <c r="O88" i="20"/>
  <c r="F88" i="20"/>
  <c r="C45" i="20"/>
  <c r="M46" i="20"/>
  <c r="F46" i="20"/>
  <c r="G46" i="20"/>
  <c r="M89" i="20" l="1"/>
  <c r="H89" i="20"/>
  <c r="O89" i="20"/>
  <c r="F89" i="20"/>
  <c r="C90" i="20"/>
  <c r="G89" i="20"/>
  <c r="C44" i="20"/>
  <c r="G45" i="20"/>
  <c r="F45" i="20"/>
  <c r="M45" i="20"/>
  <c r="M90" i="20" l="1"/>
  <c r="H90" i="20"/>
  <c r="F90" i="20"/>
  <c r="G90" i="20"/>
  <c r="O90" i="20"/>
  <c r="C91" i="20"/>
  <c r="G44" i="20"/>
  <c r="F44" i="20"/>
  <c r="M44" i="20"/>
  <c r="C43" i="20"/>
  <c r="M92" i="20"/>
  <c r="M91" i="20" l="1"/>
  <c r="H91" i="20"/>
  <c r="F91" i="20"/>
  <c r="G91" i="20"/>
  <c r="O91" i="20"/>
  <c r="C92" i="20"/>
  <c r="F43" i="20"/>
  <c r="M43" i="20"/>
  <c r="C42" i="20"/>
  <c r="G43" i="20"/>
  <c r="M93" i="20"/>
  <c r="C93" i="20" l="1"/>
  <c r="O92" i="20"/>
  <c r="F92" i="20"/>
  <c r="H92" i="20"/>
  <c r="G92" i="20"/>
  <c r="C41" i="20"/>
  <c r="F42" i="20"/>
  <c r="G42" i="20"/>
  <c r="M42" i="20"/>
  <c r="M94" i="20"/>
  <c r="H93" i="20" l="1"/>
  <c r="G93" i="20"/>
  <c r="C94" i="20"/>
  <c r="O93" i="20"/>
  <c r="F93" i="20"/>
  <c r="F41" i="20"/>
  <c r="G41" i="20"/>
  <c r="C40" i="20"/>
  <c r="M41" i="20"/>
  <c r="M95" i="20"/>
  <c r="H94" i="20" l="1"/>
  <c r="G94" i="20"/>
  <c r="F94" i="20"/>
  <c r="C95" i="20"/>
  <c r="O94" i="20"/>
  <c r="C39" i="20"/>
  <c r="M40" i="20"/>
  <c r="G40" i="20"/>
  <c r="F40" i="20"/>
  <c r="M96" i="20"/>
  <c r="F95" i="20" l="1"/>
  <c r="C96" i="20"/>
  <c r="G95" i="20"/>
  <c r="O95" i="20"/>
  <c r="H95" i="20"/>
  <c r="M97" i="20"/>
  <c r="F39" i="20"/>
  <c r="M39" i="20"/>
  <c r="G39" i="20"/>
  <c r="K39" i="20"/>
  <c r="K29" i="20" s="1"/>
  <c r="H20" i="20" s="1"/>
  <c r="G21" i="25" s="1"/>
  <c r="M29" i="20" l="1"/>
  <c r="J20" i="20" s="1"/>
  <c r="F96" i="20"/>
  <c r="C97" i="20"/>
  <c r="H96" i="20"/>
  <c r="O96" i="20"/>
  <c r="G96" i="20"/>
  <c r="G97" i="20" l="1"/>
  <c r="F97" i="20"/>
  <c r="F29" i="20" s="1"/>
  <c r="H21" i="20" s="1"/>
  <c r="G23" i="25" s="1"/>
  <c r="H97" i="20"/>
  <c r="H29" i="20" s="1"/>
  <c r="L21" i="20" s="1"/>
  <c r="G25" i="25" s="1"/>
  <c r="G29" i="20"/>
  <c r="J21" i="20" s="1"/>
  <c r="C98" i="20"/>
  <c r="G24" i="25" l="1"/>
  <c r="J22" i="20"/>
  <c r="K21" i="20"/>
  <c r="H22" i="20"/>
  <c r="O98" i="20"/>
  <c r="C99" i="20"/>
  <c r="C100" i="20" l="1"/>
  <c r="O99" i="20"/>
  <c r="C101" i="20" l="1"/>
  <c r="O100" i="20"/>
  <c r="O101" i="20" l="1"/>
  <c r="C102" i="20"/>
  <c r="C103" i="20" l="1"/>
  <c r="O102" i="20"/>
  <c r="C104" i="20" l="1"/>
  <c r="O103" i="20"/>
  <c r="C105" i="20" l="1"/>
  <c r="O104" i="20"/>
  <c r="O105" i="20" l="1"/>
  <c r="C106" i="20"/>
  <c r="C107" i="20" l="1"/>
  <c r="O106" i="20"/>
  <c r="G28" i="25" l="1"/>
  <c r="C108" i="20"/>
  <c r="O107" i="20"/>
  <c r="C109" i="20" l="1"/>
  <c r="O108" i="20"/>
  <c r="C110" i="20" l="1"/>
  <c r="O109" i="20"/>
  <c r="C111" i="20" l="1"/>
  <c r="O110" i="20"/>
  <c r="O111" i="20" l="1"/>
  <c r="C112" i="20"/>
  <c r="O112" i="20" l="1"/>
  <c r="C113" i="20"/>
  <c r="C114" i="20" l="1"/>
  <c r="O113" i="20"/>
  <c r="O114" i="20" l="1"/>
  <c r="C115" i="20"/>
  <c r="C116" i="20" l="1"/>
  <c r="O115" i="20"/>
  <c r="C117" i="20" l="1"/>
  <c r="O116" i="20"/>
  <c r="C118" i="20" l="1"/>
  <c r="O117" i="20"/>
  <c r="C119" i="20" l="1"/>
  <c r="O118" i="20"/>
  <c r="C120" i="20" l="1"/>
  <c r="O119" i="20"/>
  <c r="C121" i="20" l="1"/>
  <c r="O120" i="20"/>
  <c r="C122" i="20" l="1"/>
  <c r="O121" i="20"/>
  <c r="C123" i="20" l="1"/>
  <c r="O122" i="20"/>
  <c r="O123" i="20" l="1"/>
  <c r="C124" i="20"/>
  <c r="C125" i="20" l="1"/>
  <c r="O124" i="20"/>
  <c r="C126" i="20" l="1"/>
  <c r="O125" i="20"/>
  <c r="C127" i="20" l="1"/>
  <c r="O126" i="20"/>
  <c r="C128" i="20" l="1"/>
  <c r="O127" i="20"/>
  <c r="O128" i="20" l="1"/>
  <c r="C129" i="20"/>
  <c r="O129" i="20" s="1"/>
  <c r="U69" i="20" l="1"/>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7" i="20"/>
  <c r="U96" i="20"/>
  <c r="T36" i="20" l="1"/>
  <c r="U68" i="20"/>
  <c r="U29" i="20" s="1"/>
  <c r="G27" i="25" s="1"/>
  <c r="N97" i="20" l="1"/>
  <c r="O97" i="20" s="1"/>
  <c r="O29" i="20" s="1"/>
  <c r="K20" i="20" s="1"/>
  <c r="K22" i="20" l="1"/>
  <c r="G22" i="25"/>
  <c r="R69" i="20" l="1"/>
  <c r="R70" i="20"/>
  <c r="R71" i="20"/>
  <c r="R72" i="20"/>
  <c r="R73" i="20"/>
  <c r="R74" i="20"/>
  <c r="R75" i="20"/>
  <c r="R76" i="20"/>
  <c r="R77" i="20"/>
  <c r="R78" i="20"/>
  <c r="R79" i="20"/>
  <c r="R80" i="20"/>
  <c r="R81" i="20"/>
  <c r="R82" i="20"/>
  <c r="R83" i="20"/>
  <c r="R84" i="20"/>
  <c r="R85" i="20"/>
  <c r="R86" i="20"/>
  <c r="R87" i="20"/>
  <c r="R88" i="20"/>
  <c r="R89" i="20"/>
  <c r="R90" i="20"/>
  <c r="R91" i="20"/>
  <c r="R92" i="20"/>
  <c r="R93" i="20"/>
  <c r="R94" i="20"/>
  <c r="R95" i="20"/>
  <c r="R97" i="20"/>
  <c r="R96" i="20"/>
  <c r="Q36" i="20" l="1"/>
  <c r="R68" i="20"/>
  <c r="R29" i="20" s="1"/>
  <c r="G26" i="25" l="1"/>
  <c r="L20" i="20"/>
  <c r="L22" i="20" s="1"/>
  <c r="C22" i="20" s="1"/>
  <c r="G20" i="25" s="1"/>
  <c r="J8" i="25" s="1"/>
  <c r="J9" i="25" l="1"/>
  <c r="J1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<sst xmlns="http://schemas.openxmlformats.org/spreadsheetml/2006/main" count="418" uniqueCount="278">
  <si>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</si>
  <si>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</si>
  <si>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</si>
  <si>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</si>
  <si>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</si>
  <si>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</si>
  <si>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</si>
  <si>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</si>
  <si>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</si>
  <si>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</si>
  <si>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</si>
  <si>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</si>
  <si>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</si>
  <si>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</si>
  <si>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</si>
  <si>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</si>
  <si>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</si>
  <si>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</si>
  <si>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</si>
  <si>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</si>
  <si>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</si>
  <si>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</si>
  <si>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</si>
  <si>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</si>
  <si>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</si>
  <si>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</si>
  <si>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</si>
  <si>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</si>
  <si>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</si>
  <si>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</si>
  <si>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</si>
  <si>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</si>
  <si>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</si>
  <si>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</si>
  <si>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</si>
  <si>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</si>
  <si>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</si>
  <si>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</si>
  <si>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</si>
  <si>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</si>
  <si>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</si>
  <si>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</si>
  <si>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</si>
  <si>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</si>
  <si>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</si>
  <si>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</si>
  <si>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</si>
  <si>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</si>
  <si>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</si>
  <si>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</si>
  <si>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</si>
  <si>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</si>
  <si>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</si>
  <si>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</si>
  <si>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</si>
  <si>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</si>
  <si>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</si>
  <si>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</si>
  <si>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</si>
  <si>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</si>
  <si>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</si>
  <si>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Summary of maximum price for a new development</t>
  </si>
  <si>
    <t>Where the New Development is connecting to a Recycled Water System, the variables may be modified by Schedule 1 or Schedule 2 of the Recycled Water Developer Charges Determination.</t>
  </si>
  <si>
    <t>Developer charges and backlog sewerage charges for metropolitan water agencies 2018 | IPART (nsw.gov.au)</t>
  </si>
  <si>
    <t>of which:</t>
  </si>
  <si>
    <t>is the headworks charge</t>
  </si>
  <si>
    <t>Maximum price formula:</t>
  </si>
  <si>
    <t>in $, $2023-24, where:</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</si>
  <si>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</si>
  <si>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</si>
  <si>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</si>
  <si>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</si>
  <si>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</si>
  <si>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</si>
  <si>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</si>
  <si>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</si>
  <si>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</si>
  <si>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</si>
  <si>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</si>
  <si>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</si>
  <si>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</si>
  <si>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</si>
  <si>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</si>
  <si>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</si>
  <si>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</si>
  <si>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</si>
  <si>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</si>
  <si>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</si>
  <si>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</si>
  <si>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</si>
  <si>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</si>
  <si>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</si>
  <si>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</si>
  <si>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</si>
  <si>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</si>
  <si>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</si>
  <si>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</si>
  <si>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</si>
  <si>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</si>
  <si>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</si>
  <si>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</si>
  <si>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</si>
  <si>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</si>
  <si>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</si>
  <si>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</si>
  <si>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</si>
  <si>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</si>
  <si>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</si>
  <si>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</si>
  <si>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</si>
  <si>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</si>
  <si>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</si>
  <si>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</si>
  <si>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</si>
  <si>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</si>
  <si>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</si>
  <si>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</si>
  <si>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</si>
  <si>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</si>
  <si>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</si>
  <si>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</si>
  <si>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</si>
  <si>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</si>
  <si>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</si>
  <si>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</si>
  <si>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</si>
  <si>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</si>
  <si>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</si>
  <si>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</si>
  <si>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</si>
  <si>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</si>
  <si>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</si>
  <si>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</si>
  <si>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</si>
  <si>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</si>
  <si>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Mamre Road</t>
  </si>
  <si>
    <t>Central Coast Council</t>
  </si>
  <si>
    <t>Hunter Water Corporation</t>
  </si>
  <si>
    <t>System name (allows cross checking of headworks costs)</t>
  </si>
  <si>
    <t>IWCM System</t>
  </si>
  <si>
    <t xml:space="preserve">Service this DSP relates to </t>
  </si>
  <si>
    <t>Stormwater</t>
  </si>
  <si>
    <t>Water</t>
  </si>
  <si>
    <t>Timeframes</t>
  </si>
  <si>
    <t>Relevant financial year</t>
  </si>
  <si>
    <t>Sewerage</t>
  </si>
  <si>
    <t>Financial year of registration for the DSP</t>
  </si>
  <si>
    <t>2023-24</t>
  </si>
  <si>
    <t>Final date where assets can be commissioned</t>
  </si>
  <si>
    <t>2018-19</t>
  </si>
  <si>
    <t>2019-20</t>
  </si>
  <si>
    <t>Date range for pre 1996 assets</t>
  </si>
  <si>
    <t>2020-21</t>
  </si>
  <si>
    <t>2021-22</t>
  </si>
  <si>
    <t>First day</t>
  </si>
  <si>
    <t>2022-23</t>
  </si>
  <si>
    <t>Last day</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</si>
  <si>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</si>
  <si>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</si>
  <si>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</si>
  <si>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</si>
  <si>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</si>
  <si>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</si>
  <si>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</si>
  <si>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</si>
  <si>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</si>
  <si>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</si>
  <si>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</si>
  <si>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of development that is located on Y hectares of developable land, where Y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</si>
  <si>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</si>
  <si>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</si>
  <si>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</si>
  <si>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</si>
  <si>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</si>
  <si>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</si>
  <si>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</si>
  <si>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</si>
  <si>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</si>
  <si>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</si>
  <si>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</si>
  <si>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</si>
  <si>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</si>
  <si>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</si>
  <si>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End date</t>
  </si>
  <si>
    <t>Register of pre-1996 assets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</si>
  <si>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</si>
  <si>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</si>
  <si>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</si>
  <si>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</si>
  <si>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</si>
  <si>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</si>
  <si>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</si>
  <si>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</si>
  <si>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</si>
  <si>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</si>
  <si>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</si>
  <si>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</si>
  <si>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Total</t>
  </si>
  <si>
    <t>POST-1996 COMMISSIONED ASSETS WITH A NEXUS TO THE SERVICE FOR WHICH THE MAXIMUM PRICE IS BEING CALCULATED</t>
  </si>
  <si>
    <t>Register of post-1996 commissioned assets</t>
  </si>
  <si>
    <t>Financial year of commissioning</t>
  </si>
  <si>
    <t>POST-1996 UNCOMMISSIONED ASSETS WITH A NEXUS TO THE SERVICE FOR WHICH THE MAXIMUM PRICE IS BEING CALCULATED</t>
  </si>
  <si>
    <t>Register of uncommissioned assets</t>
  </si>
  <si>
    <t>EQUIVALENT TENEMENTS (ETs) SINCE 1 JULY 1996 RELATING TO THE DSP UNDER CONSIDERATION</t>
  </si>
  <si>
    <t>ET consumption assumption (kL/year)</t>
  </si>
  <si>
    <t>Single dwelling</t>
  </si>
  <si>
    <t>Multi dwelling</t>
  </si>
  <si>
    <t>Schools</t>
  </si>
  <si>
    <t>Commercial</t>
  </si>
  <si>
    <t>Light industrial</t>
  </si>
  <si>
    <t>Non-res 4</t>
  </si>
  <si>
    <t>Non-res 5</t>
  </si>
  <si>
    <t>Non-res 6</t>
  </si>
  <si>
    <t>Non-res 7</t>
  </si>
  <si>
    <t>Non-res 8</t>
  </si>
  <si>
    <t>Consumption assumption</t>
  </si>
  <si>
    <t>kL/year/ property</t>
  </si>
  <si>
    <t>kL/hectare/year</t>
  </si>
  <si>
    <t>kL/property/year</t>
  </si>
  <si>
    <t>Total new ETs in DSP area</t>
  </si>
  <si>
    <t>Annual take-up of single residential dwellings</t>
  </si>
  <si>
    <t>Annual take-up of multi-dwelling residential units</t>
  </si>
  <si>
    <t>Do not delete section below - this is where the user can enter alternative consumption assumption options for non-residential customer groups.</t>
  </si>
  <si>
    <t>properties</t>
  </si>
  <si>
    <t>hectares</t>
  </si>
  <si>
    <t>The plural of the units will only affect headings.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</si>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</sst>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0000"/>
  </numFmts>
  <fonts count="2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08">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173" fontId="5" fillId="9" borderId="5" xfId="9" applyNumberFormat="1" applyFill="1" applyBorder="1"/>
    <xf numFmtId="3" fontId="10"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6"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70" fontId="1" fillId="4" borderId="8"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169" fontId="1" fillId="4" borderId="8" xfId="6" applyNumberFormat="1" applyBorder="1" applyAlignment="1">
      <alignment horizontal="center" vertical="top"/>
      <protection locked="0"/>
    </xf>
    <xf numFmtId="4" fontId="1" fillId="4" borderId="6" xfId="6" applyBorder="1" applyAlignment="1">
      <alignment horizontal="left" vertical="top" wrapText="1"/>
      <protection locked="0"/>
    </xf>
    <xf numFmtId="0" fontId="1" fillId="10" borderId="6" xfId="13" applyNumberFormat="1" applyFill="1" applyBorder="1" applyAlignment="1">
      <alignment horizontal="center" vertical="top"/>
      <protection locked="0"/>
    </xf>
    <xf numFmtId="4" fontId="0" fillId="4" borderId="6" xfId="6" applyFont="1" applyBorder="1" applyAlignment="1">
      <alignment horizontal="center" vertical="top" wrapText="1"/>
      <protection locked="0"/>
    </xf>
    <xf numFmtId="165" fontId="1" fillId="0" borderId="6" xfId="18" applyNumberFormat="1" applyFont="1" applyBorder="1" applyAlignment="1" applyProtection="1">
      <alignment horizontal="center" vertical="top"/>
      <protection locked="0"/>
    </xf>
    <xf numFmtId="4" fontId="1" fillId="4" borderId="6" xfId="6" applyBorder="1" applyAlignment="1">
      <alignment horizontal="center" vertical="top"/>
      <protection locked="0"/>
    </xf>
    <xf numFmtId="3" fontId="1" fillId="10" borderId="6" xfId="6" applyNumberFormat="1" applyFill="1" applyBorder="1" applyAlignment="1">
      <alignment horizontal="center" vertical="top"/>
      <protection locked="0"/>
    </xf>
    <xf numFmtId="3" fontId="0" fillId="0" borderId="6" xfId="0" applyNumberFormat="1" applyBorder="1" applyAlignment="1">
      <alignment horizontal="center" vertical="top"/>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3" fontId="1" fillId="10" borderId="7" xfId="6" applyNumberFormat="1" applyFill="1" applyBorder="1" applyAlignment="1">
      <alignment horizontal="center" vertical="top"/>
      <protection locked="0"/>
    </xf>
    <xf numFmtId="3" fontId="0" fillId="0" borderId="7" xfId="0" applyNumberFormat="1" applyBorder="1" applyAlignment="1">
      <alignment horizontal="center" vertical="top"/>
    </xf>
    <xf numFmtId="4" fontId="19" fillId="11" borderId="8" xfId="6" applyFont="1" applyFill="1" applyBorder="1" applyAlignment="1">
      <alignment horizontal="center" vertical="top" wrapText="1"/>
      <protection locked="0"/>
    </xf>
    <xf numFmtId="0" fontId="1" fillId="10" borderId="8" xfId="13" applyNumberFormat="1" applyFill="1" applyBorder="1" applyAlignment="1">
      <alignment horizontal="center" vertical="top"/>
      <protection locked="0"/>
    </xf>
    <xf numFmtId="4" fontId="1" fillId="4" borderId="8" xfId="6" applyBorder="1" applyAlignment="1">
      <alignment vertical="top" wrapText="1"/>
      <protection locked="0"/>
    </xf>
    <xf numFmtId="3" fontId="1" fillId="4" borderId="8" xfId="6" applyNumberFormat="1" applyBorder="1" applyAlignment="1">
      <alignment vertical="top"/>
      <protection locked="0"/>
    </xf>
    <xf numFmtId="165" fontId="1" fillId="0" borderId="8" xfId="18" applyNumberFormat="1" applyFont="1" applyBorder="1" applyAlignment="1" applyProtection="1">
      <alignment horizontal="center" vertical="top"/>
      <protection locked="0"/>
    </xf>
    <xf numFmtId="4" fontId="1" fillId="4" borderId="8" xfId="6" applyBorder="1" applyAlignment="1">
      <alignment vertical="top"/>
      <protection locked="0"/>
    </xf>
    <xf numFmtId="4" fontId="1" fillId="10" borderId="8" xfId="6" applyFill="1" applyBorder="1" applyAlignment="1">
      <alignment horizontal="center" vertical="top"/>
      <protection locked="0"/>
    </xf>
    <xf numFmtId="3" fontId="0" fillId="0" borderId="8" xfId="0" applyNumberFormat="1" applyBorder="1" applyAlignment="1">
      <alignment horizontal="center" vertical="top"/>
    </xf>
    <xf numFmtId="171" fontId="1" fillId="10" borderId="6" xfId="13" applyNumberFormat="1" applyFill="1" applyBorder="1" applyAlignment="1">
      <alignment horizontal="center" vertical="top"/>
      <protection locked="0"/>
    </xf>
    <xf numFmtId="171" fontId="1" fillId="10" borderId="7" xfId="13" applyNumberFormat="1" applyFill="1" applyBorder="1" applyAlignment="1">
      <alignment horizontal="center" vertical="top"/>
      <protection locked="0"/>
    </xf>
    <xf numFmtId="4" fontId="1" fillId="4" borderId="7" xfId="6" applyBorder="1" applyAlignment="1">
      <alignment horizontal="center" vertical="top" wrapText="1"/>
      <protection locked="0"/>
    </xf>
    <xf numFmtId="1" fontId="1" fillId="4" borderId="6" xfId="6" applyNumberFormat="1" applyBorder="1" applyAlignment="1">
      <alignment horizontal="center" vertical="top"/>
      <protection locked="0"/>
    </xf>
    <xf numFmtId="1" fontId="1" fillId="4" borderId="7" xfId="6" applyNumberFormat="1" applyBorder="1" applyAlignment="1">
      <alignment horizontal="center" vertical="top"/>
      <protection locked="0"/>
    </xf>
    <xf numFmtId="175" fontId="1" fillId="10" borderId="5" xfId="6" applyNumberFormat="1" applyFill="1" applyBorder="1" applyAlignment="1">
      <protection locked="0"/>
    </xf>
    <xf numFmtId="173" fontId="1" fillId="4" borderId="5" xfId="6" applyNumberFormat="1" applyBorder="1" applyAlignment="1">
      <alignment horizontal="center"/>
      <protection locked="0"/>
    </xf>
    <xf numFmtId="175" fontId="1" fillId="4" borderId="5" xfId="6" applyNumberFormat="1" applyBorder="1" applyAlignment="1">
      <alignment horizontal="center"/>
      <protection locked="0"/>
    </xf>
    <xf numFmtId="4" fontId="0" fillId="4" borderId="7" xfId="6" applyFont="1" applyBorder="1" applyAlignment="1">
      <alignment horizontal="left" vertical="top" wrapText="1"/>
      <protection locked="0"/>
    </xf>
    <xf numFmtId="170" fontId="0" fillId="4" borderId="7" xfId="6" applyNumberFormat="1" applyFont="1" applyBorder="1" applyAlignment="1">
      <alignment horizontal="center" vertical="top"/>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0" fontId="10" fillId="7" borderId="0" xfId="0" applyFont="1" applyFill="1" applyAlignment="1">
      <alignment horizontal="center" wrapText="1"/>
    </xf>
    <xf numFmtId="0" fontId="10" fillId="7" borderId="11" xfId="0" applyFont="1" applyFill="1" applyBorder="1" applyAlignment="1">
      <alignment horizontal="center" wrapText="1"/>
    </xf>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2" xfId="18" xr:uid="{00000000-0005-0000-0000-000011000000}"/>
    <cellStyle name="Percent 2 2" xfId="19" xr:uid="{00000000-0005-0000-0000-000012000000}"/>
    <cellStyle name="QA" xfId="14" xr:uid="{00000000-0005-0000-0000-000013000000}"/>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12</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296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68" t="s">
        <v>4</v>
      </c>
      <c r="F6" s="8"/>
      <c r="G6" s="8"/>
      <c r="I6" s="8"/>
    </row>
    <row r="8" spans="3:9" ht="15.75" customHeight="1" x14ac:dyDescent="0.25">
      <c r="C8" s="7"/>
      <c r="D8" s="7"/>
      <c r="E8" s="7"/>
      <c r="F8" s="8"/>
      <c r="G8" s="8"/>
    </row>
    <row r="10" spans="3:9" ht="14" x14ac:dyDescent="0.3">
      <c r="C10" s="10" t="s">
        <v>5</v>
      </c>
      <c r="D10" s="10"/>
      <c r="E10" s="11"/>
    </row>
    <row r="12" spans="3:9" ht="27" customHeight="1" x14ac:dyDescent="0.25">
      <c r="C12" s="200" t="s">
        <v>6</v>
      </c>
      <c r="D12" s="200"/>
      <c r="E12" s="200"/>
      <c r="F12" s="8"/>
      <c r="G12" s="8"/>
      <c r="I12" s="8"/>
    </row>
    <row r="13" spans="3:9" x14ac:dyDescent="0.25">
      <c r="C13" s="33"/>
      <c r="D13" s="33"/>
      <c r="E13" s="33"/>
      <c r="F13" s="8"/>
      <c r="G13" s="8"/>
      <c r="I13" s="8"/>
    </row>
    <row r="14" spans="3:9" ht="35.5" customHeight="1" x14ac:dyDescent="0.25">
      <c r="C14" s="200" t="s">
        <v>7</v>
      </c>
      <c r="D14" s="200"/>
      <c r="E14" s="200"/>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5" customHeight="1" x14ac:dyDescent="0.25">
      <c r="C18" s="200"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00"/>
      <c r="E18" s="200"/>
      <c r="F18" s="8"/>
      <c r="G18" s="8"/>
      <c r="I18" s="8"/>
    </row>
    <row r="19" spans="2:9" ht="6" customHeight="1" x14ac:dyDescent="0.25">
      <c r="D19" s="12"/>
      <c r="E19" s="8"/>
      <c r="F19" s="8"/>
      <c r="G19" s="8"/>
      <c r="I19" s="8"/>
    </row>
    <row r="20" spans="2:9" ht="37.5" customHeight="1" x14ac:dyDescent="0.25">
      <c r="B20" s="96"/>
      <c r="C20" s="200"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00"/>
      <c r="E20" s="200"/>
      <c r="F20" s="8"/>
      <c r="G20" s="8"/>
      <c r="I20" s="8"/>
    </row>
    <row r="21" spans="2:9" x14ac:dyDescent="0.25">
      <c r="B21" s="96"/>
      <c r="C21" s="33"/>
      <c r="D21" s="33"/>
      <c r="E21" s="33"/>
      <c r="F21" s="8"/>
      <c r="G21" s="8"/>
      <c r="I21" s="8"/>
    </row>
    <row r="22" spans="2:9" ht="14" x14ac:dyDescent="0.3">
      <c r="B22" s="96"/>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01" t="s">
        <v>11</v>
      </c>
      <c r="D26" s="201"/>
      <c r="E26" s="201"/>
      <c r="F26" s="8"/>
      <c r="G26" s="8"/>
      <c r="H26" s="8"/>
      <c r="I26" s="8"/>
    </row>
    <row r="27" spans="2:9" ht="6" customHeight="1" x14ac:dyDescent="0.25">
      <c r="D27" s="12"/>
      <c r="E27" s="8"/>
      <c r="F27" s="8"/>
      <c r="G27" s="8"/>
      <c r="H27" s="8"/>
      <c r="I27" s="8"/>
    </row>
    <row r="28" spans="2:9" ht="15" customHeight="1" x14ac:dyDescent="0.25">
      <c r="C28" s="97" t="s">
        <v>12</v>
      </c>
      <c r="D28" s="69" t="str">
        <f ca="1">MID(CELL("filename",'General inputs'!$A$1),FIND("]",CELL("filename",'General inputs'!$A$1))+1,255)</f>
        <v>General inputs</v>
      </c>
      <c r="E28" s="8"/>
      <c r="F28" s="8"/>
      <c r="G28" s="8"/>
      <c r="H28" s="8"/>
      <c r="I28" s="8"/>
    </row>
    <row r="29" spans="2:9" ht="15" customHeight="1" x14ac:dyDescent="0.25">
      <c r="C29" s="97" t="s">
        <v>12</v>
      </c>
      <c r="D29" s="8" t="str">
        <f ca="1">MID(CELL("filename",'Pre-1996 assets'!$A$1),FIND("]",CELL("filename",'Pre-1996 assets'!$A$1))+1,255)</f>
        <v>Pre-1996 assets</v>
      </c>
      <c r="E29" s="8"/>
      <c r="F29" s="8"/>
      <c r="G29" s="8"/>
      <c r="H29" s="8"/>
      <c r="I29" s="8"/>
    </row>
    <row r="30" spans="2:9" ht="15" customHeight="1" x14ac:dyDescent="0.25">
      <c r="C30" s="97" t="s">
        <v>12</v>
      </c>
      <c r="D30" s="8" t="str">
        <f ca="1">MID(CELL("filename",'Post-1996 commissioned assets'!$A$1),FIND("]",CELL("filename",'Post-1996 commissioned assets'!$A$1))+1,255)</f>
        <v>Post-1996 commissioned assets</v>
      </c>
      <c r="E30" s="8"/>
      <c r="F30" s="8"/>
      <c r="G30" s="8"/>
      <c r="H30" s="8"/>
      <c r="I30" s="8"/>
    </row>
    <row r="31" spans="2:9" ht="15" customHeight="1" x14ac:dyDescent="0.25">
      <c r="C31" s="97" t="s">
        <v>12</v>
      </c>
      <c r="D31" s="8" t="str">
        <f ca="1">MID(CELL("filename",'Uncommissioned assets'!$A$1),FIND("]",CELL("filename",'Uncommissioned assets'!$A$1))+1,255)</f>
        <v>Uncommissioned assets</v>
      </c>
      <c r="E31" s="8"/>
      <c r="F31" s="8"/>
      <c r="G31" s="8"/>
      <c r="H31" s="8"/>
      <c r="I31" s="8"/>
    </row>
    <row r="32" spans="2:9" ht="15" customHeight="1" x14ac:dyDescent="0.25">
      <c r="C32" s="97"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3"/>
      <c r="D35" s="33"/>
      <c r="E35" s="33"/>
      <c r="F35" s="8"/>
      <c r="G35" s="8"/>
      <c r="H35" s="8"/>
      <c r="I35" s="8"/>
    </row>
    <row r="36" spans="3:9" ht="15" customHeight="1" x14ac:dyDescent="0.25">
      <c r="C36" s="200" t="s">
        <v>14</v>
      </c>
      <c r="D36" s="200"/>
      <c r="E36" s="200"/>
      <c r="F36" s="8"/>
      <c r="G36" s="8"/>
      <c r="H36" s="8"/>
      <c r="I36" s="8"/>
    </row>
    <row r="37" spans="3:9" ht="6" customHeight="1" x14ac:dyDescent="0.25">
      <c r="D37" s="12"/>
      <c r="E37" s="8"/>
      <c r="F37" s="8"/>
      <c r="G37" s="8"/>
      <c r="H37" s="8"/>
      <c r="I37" s="8"/>
    </row>
    <row r="38" spans="3:9" ht="15" customHeight="1" x14ac:dyDescent="0.25">
      <c r="C38" s="98"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00"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00"/>
      <c r="E40" s="200"/>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00" t="s">
        <v>16</v>
      </c>
      <c r="D46" s="200"/>
      <c r="E46" s="200"/>
      <c r="F46" s="8"/>
      <c r="G46" s="8"/>
      <c r="H46" s="8"/>
      <c r="I46" s="8"/>
    </row>
    <row r="47" spans="3:9" ht="6" customHeight="1" x14ac:dyDescent="0.25">
      <c r="C47" s="33"/>
      <c r="D47" s="33"/>
      <c r="E47" s="33"/>
      <c r="F47" s="8"/>
      <c r="G47" s="8"/>
      <c r="H47" s="8"/>
      <c r="I47" s="8"/>
    </row>
    <row r="48" spans="3:9" ht="15" customHeight="1" x14ac:dyDescent="0.25">
      <c r="C48" s="98" t="s">
        <v>12</v>
      </c>
      <c r="D48" s="8" t="str">
        <f ca="1">MID(CELL("filename",'Headwork assets'!$A$1),FIND("]",CELL("filename",'Headwork assets'!$A$1))+1,255)</f>
        <v>Headwork assets</v>
      </c>
      <c r="E48" s="8"/>
      <c r="F48" s="8"/>
      <c r="G48" s="8"/>
      <c r="H48" s="8"/>
      <c r="I48" s="8"/>
    </row>
    <row r="49" spans="3:9" ht="6" customHeight="1" x14ac:dyDescent="0.25">
      <c r="C49" s="98"/>
      <c r="D49" s="8"/>
      <c r="E49" s="8"/>
      <c r="F49" s="8"/>
      <c r="G49" s="8"/>
      <c r="H49" s="8"/>
      <c r="I49" s="8"/>
    </row>
    <row r="50" spans="3:9" ht="15" customHeight="1" x14ac:dyDescent="0.25">
      <c r="C50" s="201" t="s">
        <v>17</v>
      </c>
      <c r="D50" s="201"/>
      <c r="E50" s="201"/>
      <c r="F50" s="8"/>
      <c r="G50" s="8"/>
      <c r="H50" s="8"/>
      <c r="I50" s="8"/>
    </row>
    <row r="51" spans="3:9" ht="6" customHeight="1" x14ac:dyDescent="0.25">
      <c r="F51" s="8"/>
      <c r="G51" s="8"/>
      <c r="H51" s="8"/>
      <c r="I51" s="8"/>
    </row>
    <row r="52" spans="3:9" ht="24" customHeight="1" x14ac:dyDescent="0.25">
      <c r="C52" s="200" t="s">
        <v>18</v>
      </c>
      <c r="D52" s="200"/>
      <c r="E52" s="200"/>
      <c r="F52" s="8"/>
      <c r="G52" s="8"/>
      <c r="H52" s="8"/>
      <c r="I52" s="8"/>
    </row>
    <row r="53" spans="3:9" ht="15" customHeight="1" x14ac:dyDescent="0.25">
      <c r="C53" s="33"/>
      <c r="D53" s="33"/>
      <c r="E53" s="33"/>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5">
      <c r="C55" s="33"/>
      <c r="D55" s="33"/>
      <c r="E55" s="33"/>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00" t="s">
        <v>20</v>
      </c>
      <c r="D58" s="200"/>
      <c r="E58" s="200"/>
      <c r="F58" s="8"/>
      <c r="G58" s="8"/>
      <c r="H58" s="8"/>
      <c r="I58" s="8"/>
    </row>
    <row r="59" spans="3:9" ht="6" customHeight="1" x14ac:dyDescent="0.25">
      <c r="C59" s="33"/>
      <c r="D59" s="33"/>
      <c r="E59" s="33"/>
      <c r="F59" s="8"/>
      <c r="G59" s="8"/>
      <c r="H59" s="8"/>
      <c r="I59" s="8"/>
    </row>
    <row r="60" spans="3:9" ht="15" customHeight="1" x14ac:dyDescent="0.25">
      <c r="C60" s="98" t="s">
        <v>12</v>
      </c>
      <c r="D60" s="8" t="str">
        <f ca="1">MID(CELL("filename",'Scheme cost allocation'!$A$1),FIND("]",CELL("filename",'Scheme cost allocation'!$A$1))+1,255)</f>
        <v>Scheme cost allocation</v>
      </c>
      <c r="E60" s="8"/>
      <c r="F60" s="8"/>
      <c r="G60" s="8"/>
      <c r="H60" s="8"/>
      <c r="I60" s="8"/>
    </row>
    <row r="61" spans="3:9" ht="6" customHeight="1" x14ac:dyDescent="0.25">
      <c r="C61" s="98"/>
      <c r="D61" s="8"/>
      <c r="E61" s="8"/>
      <c r="F61" s="8"/>
      <c r="G61" s="8"/>
      <c r="H61" s="8"/>
      <c r="I61" s="8"/>
    </row>
    <row r="62" spans="3:9" ht="15" customHeight="1" x14ac:dyDescent="0.25">
      <c r="C62" s="201" t="s">
        <v>21</v>
      </c>
      <c r="D62" s="201"/>
      <c r="E62" s="201"/>
      <c r="F62" s="8"/>
      <c r="G62" s="8"/>
      <c r="H62" s="8"/>
      <c r="I62" s="8"/>
    </row>
    <row r="63" spans="3:9" ht="6" customHeight="1" x14ac:dyDescent="0.25">
      <c r="F63" s="8"/>
      <c r="G63" s="8"/>
      <c r="H63" s="8"/>
      <c r="I63" s="8"/>
    </row>
    <row r="64" spans="3:9" ht="24" customHeight="1" x14ac:dyDescent="0.25">
      <c r="C64" s="200" t="s">
        <v>18</v>
      </c>
      <c r="D64" s="200"/>
      <c r="E64" s="200"/>
      <c r="F64" s="8"/>
      <c r="G64" s="8"/>
      <c r="H64" s="8"/>
      <c r="I64" s="8"/>
    </row>
    <row r="65" spans="3:9" ht="6" customHeight="1" x14ac:dyDescent="0.25">
      <c r="C65" s="33"/>
      <c r="D65" s="33"/>
      <c r="E65" s="33"/>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5">
      <c r="C67" s="33"/>
      <c r="D67" s="33"/>
      <c r="E67" s="33"/>
      <c r="F67" s="8"/>
      <c r="G67" s="8"/>
      <c r="H67" s="8"/>
      <c r="I67" s="8"/>
    </row>
    <row r="68" spans="3:9" ht="15" customHeight="1" x14ac:dyDescent="0.25">
      <c r="C68" s="6" t="s">
        <v>22</v>
      </c>
      <c r="D68" s="6"/>
      <c r="E68" s="99"/>
      <c r="F68" s="8"/>
      <c r="G68" s="8"/>
      <c r="H68" s="8"/>
      <c r="I68" s="8"/>
    </row>
    <row r="69" spans="3:9" ht="6" customHeight="1" x14ac:dyDescent="0.25">
      <c r="C69" s="6"/>
      <c r="D69" s="6"/>
      <c r="E69" s="99"/>
      <c r="F69" s="8"/>
      <c r="G69" s="8"/>
      <c r="H69" s="8"/>
      <c r="I69" s="8"/>
    </row>
    <row r="70" spans="3:9" ht="15" customHeight="1" x14ac:dyDescent="0.25">
      <c r="C70" s="4" t="s">
        <v>23</v>
      </c>
      <c r="D70" s="6"/>
      <c r="E70" s="99"/>
      <c r="F70" s="8"/>
      <c r="G70" s="8"/>
      <c r="H70" s="8"/>
      <c r="I70" s="8"/>
    </row>
    <row r="71" spans="3:9" ht="6" customHeight="1" x14ac:dyDescent="0.25">
      <c r="C71" s="4"/>
      <c r="D71" s="6"/>
      <c r="E71" s="99"/>
      <c r="F71" s="8"/>
      <c r="G71" s="8"/>
      <c r="H71" s="8"/>
      <c r="I71" s="8"/>
    </row>
    <row r="72" spans="3:9" x14ac:dyDescent="0.25">
      <c r="C72" s="98" t="s">
        <v>12</v>
      </c>
      <c r="D72" s="69" t="str">
        <f ca="1">MID(CELL("filename",'MP Calculations'!A8),FIND("]",CELL("filename",'MP Calculations'!A8))+1,255)</f>
        <v>MP Calculations</v>
      </c>
      <c r="E72" s="99"/>
      <c r="F72" s="8"/>
      <c r="G72" s="8"/>
      <c r="H72" s="8"/>
      <c r="I72" s="8"/>
    </row>
    <row r="73" spans="3:9" x14ac:dyDescent="0.25">
      <c r="C73" s="98" t="s">
        <v>12</v>
      </c>
      <c r="D73" s="69" t="str">
        <f ca="1">MID(CELL("filename",'Summary of result'!A12),FIND("]",CELL("filename",'Summary of result'!A12))+1,255)</f>
        <v>Summary of result</v>
      </c>
      <c r="E73" s="99"/>
      <c r="F73" s="8"/>
      <c r="G73" s="8"/>
      <c r="H73" s="8"/>
      <c r="I73" s="8"/>
    </row>
    <row r="74" spans="3:9" ht="6" customHeight="1" x14ac:dyDescent="0.25">
      <c r="C74" s="98"/>
      <c r="D74" s="69"/>
      <c r="E74" s="99"/>
      <c r="F74" s="8"/>
      <c r="G74" s="8"/>
      <c r="H74" s="8"/>
      <c r="I74" s="8"/>
    </row>
    <row r="75" spans="3:9" x14ac:dyDescent="0.25">
      <c r="C75" s="200" t="s">
        <v>24</v>
      </c>
      <c r="D75" s="200"/>
      <c r="E75" s="200"/>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98" t="s">
        <v>12</v>
      </c>
      <c r="D81" s="69"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99" t="s">
        <v>27</v>
      </c>
      <c r="D83" s="12"/>
      <c r="E83" s="8"/>
      <c r="F83" s="8"/>
      <c r="G83" s="8"/>
      <c r="H83" s="8"/>
      <c r="I83" s="8"/>
    </row>
    <row r="84" spans="3:9" ht="15" customHeight="1" x14ac:dyDescent="0.25">
      <c r="C84" s="98" t="s">
        <v>12</v>
      </c>
      <c r="D84" s="102" t="s">
        <v>28</v>
      </c>
      <c r="F84" s="8"/>
      <c r="G84" s="8"/>
      <c r="H84" s="8"/>
      <c r="I84" s="8"/>
    </row>
    <row r="85" spans="3:9" ht="15" customHeight="1" x14ac:dyDescent="0.25">
      <c r="C85" s="98" t="s">
        <v>12</v>
      </c>
      <c r="D85" s="158" t="s">
        <v>29</v>
      </c>
      <c r="F85" s="8"/>
      <c r="G85" s="8"/>
      <c r="H85" s="8"/>
      <c r="I85" s="8"/>
    </row>
    <row r="86" spans="3:9" ht="15" customHeight="1" x14ac:dyDescent="0.25">
      <c r="C86" s="98"/>
      <c r="D86" s="158"/>
      <c r="F86" s="8"/>
      <c r="G86" s="8"/>
      <c r="H86" s="8"/>
      <c r="I86" s="8"/>
    </row>
    <row r="87" spans="3:9" ht="15" customHeight="1" x14ac:dyDescent="0.25">
      <c r="C87" s="8" t="s">
        <v>30</v>
      </c>
      <c r="D87" s="158"/>
      <c r="F87" s="8"/>
      <c r="G87" s="8"/>
      <c r="H87" s="8"/>
      <c r="I87" s="8"/>
    </row>
    <row r="88" spans="3:9" ht="15" customHeight="1" x14ac:dyDescent="0.25">
      <c r="C88" s="8"/>
      <c r="D88" s="158"/>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92" t="s">
        <v>36</v>
      </c>
      <c r="D95" s="93"/>
      <c r="E95" s="93"/>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54" t="s">
        <v>48</v>
      </c>
      <c r="D6" s="154" t="s">
        <v>49</v>
      </c>
      <c r="E6" s="154" t="s">
        <v>50</v>
      </c>
      <c r="F6" s="155" t="s">
        <v>51</v>
      </c>
      <c r="G6" s="156">
        <v>43678</v>
      </c>
    </row>
    <row r="7" spans="3:7" ht="23" x14ac:dyDescent="0.25">
      <c r="C7" s="154" t="s">
        <v>48</v>
      </c>
      <c r="D7" s="154" t="s">
        <v>52</v>
      </c>
      <c r="E7" s="154" t="s">
        <v>53</v>
      </c>
      <c r="F7" s="155" t="s">
        <v>51</v>
      </c>
      <c r="G7" s="156">
        <v>43678</v>
      </c>
    </row>
    <row r="8" spans="3:7" ht="46" x14ac:dyDescent="0.25">
      <c r="C8" s="154" t="s">
        <v>54</v>
      </c>
      <c r="D8" s="154" t="s">
        <v>55</v>
      </c>
      <c r="E8" s="154" t="s">
        <v>56</v>
      </c>
      <c r="F8" s="155" t="s">
        <v>51</v>
      </c>
      <c r="G8" s="156">
        <v>43678</v>
      </c>
    </row>
    <row r="9" spans="3:7" ht="34.5" x14ac:dyDescent="0.25">
      <c r="C9" s="154" t="s">
        <v>57</v>
      </c>
      <c r="D9" s="154" t="s">
        <v>58</v>
      </c>
      <c r="E9" s="154" t="s">
        <v>59</v>
      </c>
      <c r="F9" s="155" t="s">
        <v>60</v>
      </c>
      <c r="G9" s="156">
        <v>44805</v>
      </c>
    </row>
    <row r="10" spans="3:7" x14ac:dyDescent="0.25">
      <c r="C10" s="154"/>
      <c r="D10" s="154"/>
      <c r="E10" s="154"/>
      <c r="F10" s="155"/>
      <c r="G10" s="156"/>
    </row>
    <row r="11" spans="3:7" x14ac:dyDescent="0.25">
      <c r="C11" s="154"/>
      <c r="D11" s="154"/>
      <c r="E11" s="154"/>
      <c r="F11" s="155"/>
      <c r="G11" s="156"/>
    </row>
    <row r="12" spans="3:7" x14ac:dyDescent="0.25">
      <c r="C12" s="154"/>
      <c r="D12" s="154"/>
      <c r="E12" s="154"/>
      <c r="F12" s="155"/>
      <c r="G12" s="156"/>
    </row>
    <row r="13" spans="3:7" x14ac:dyDescent="0.25">
      <c r="C13" s="154"/>
      <c r="D13" s="154"/>
      <c r="E13" s="154"/>
      <c r="F13" s="155"/>
      <c r="G13" s="156"/>
    </row>
    <row r="14" spans="3:7" x14ac:dyDescent="0.25">
      <c r="C14" s="154"/>
      <c r="D14" s="154"/>
      <c r="E14" s="154"/>
      <c r="F14" s="155"/>
      <c r="G14" s="156"/>
    </row>
    <row r="15" spans="3:7" x14ac:dyDescent="0.25">
      <c r="C15" s="154"/>
      <c r="D15" s="154"/>
      <c r="E15" s="154"/>
      <c r="F15" s="155"/>
      <c r="G15" s="156"/>
    </row>
    <row r="16" spans="3:7" x14ac:dyDescent="0.25">
      <c r="C16" s="154"/>
      <c r="D16" s="154"/>
      <c r="E16" s="154"/>
      <c r="F16" s="155"/>
      <c r="G16" s="156"/>
    </row>
    <row r="17" spans="3:7" x14ac:dyDescent="0.25">
      <c r="C17" s="154"/>
      <c r="D17" s="154"/>
      <c r="E17" s="154"/>
      <c r="F17" s="155"/>
      <c r="G17" s="156"/>
    </row>
    <row r="18" spans="3:7" x14ac:dyDescent="0.25">
      <c r="C18" s="154"/>
      <c r="D18" s="154"/>
      <c r="E18" s="154"/>
      <c r="F18" s="155"/>
      <c r="G18" s="156"/>
    </row>
    <row r="19" spans="3:7" x14ac:dyDescent="0.25">
      <c r="C19" s="154"/>
      <c r="D19" s="154"/>
      <c r="E19" s="154"/>
      <c r="F19" s="155"/>
      <c r="G19" s="156"/>
    </row>
    <row r="20" spans="3:7" x14ac:dyDescent="0.25">
      <c r="C20" s="154"/>
      <c r="D20" s="154"/>
      <c r="E20" s="154"/>
      <c r="F20" s="155"/>
      <c r="G20" s="156"/>
    </row>
    <row r="21" spans="3:7" x14ac:dyDescent="0.25">
      <c r="C21" s="154"/>
      <c r="D21" s="154"/>
      <c r="E21" s="154"/>
      <c r="F21" s="155"/>
      <c r="G21" s="156"/>
    </row>
    <row r="22" spans="3:7" x14ac:dyDescent="0.25">
      <c r="C22" s="154"/>
      <c r="D22" s="154"/>
      <c r="E22" s="154"/>
      <c r="F22" s="155"/>
      <c r="G22" s="156"/>
    </row>
    <row r="23" spans="3:7" x14ac:dyDescent="0.25">
      <c r="C23" s="154"/>
      <c r="D23" s="154"/>
      <c r="E23" s="154"/>
      <c r="F23" s="155"/>
      <c r="G23" s="1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8"/>
  <sheetViews>
    <sheetView showGridLines="0" tabSelected="1" zoomScaleNormal="100" workbookViewId="0"/>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296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47" t="s">
        <v>61</v>
      </c>
    </row>
    <row r="5" spans="1:17" x14ac:dyDescent="0.25">
      <c r="D5" t="s">
        <v>62</v>
      </c>
      <c r="Q5" s="157" t="s">
        <v>63</v>
      </c>
    </row>
    <row r="6" spans="1:17" x14ac:dyDescent="0.25">
      <c r="Q6" s="158"/>
    </row>
    <row r="8" spans="1:17" x14ac:dyDescent="0.25">
      <c r="D8" s="1" t="str">
        <f>"The maximum price for the new development area '"&amp;'General inputs'!H7&amp;"' is:"</f>
        <v>The maximum price for the new development area 'Mamre Road' is:</v>
      </c>
      <c r="J8" s="65">
        <f>G20</f>
        <v>107223.79049672639</v>
      </c>
      <c r="K8" t="str">
        <f>"per ET ($"&amp;'General inputs'!$I$40&amp;")."</f>
        <v>per ET ($2023-24).</v>
      </c>
    </row>
    <row r="9" spans="1:17" x14ac:dyDescent="0.25">
      <c r="J9" s="65">
        <f>J8/'General inputs'!H36</f>
        <v>1021577.6933170431</v>
      </c>
      <c r="K9" t="str">
        <f>"per hectare ($"&amp;'General inputs'!$I$40&amp;")."</f>
        <v>per hectare ($2023-24).</v>
      </c>
    </row>
    <row r="10" spans="1:17" x14ac:dyDescent="0.25">
      <c r="J10" s="101"/>
    </row>
    <row r="11" spans="1:17" x14ac:dyDescent="0.25">
      <c r="A11" s="90"/>
      <c r="B11" s="90"/>
      <c r="C11" s="1"/>
      <c r="D11" s="91" t="s">
        <v>64</v>
      </c>
      <c r="E11" s="1"/>
      <c r="F11" s="1"/>
      <c r="G11" s="1"/>
      <c r="H11" s="1"/>
      <c r="J11" s="137">
        <f>IF($J$8&lt;=0,0,IF('General inputs'!$H$42='General inputs'!$L$37,'MP Calculations'!F22,IF('General inputs'!$H$42='General inputs'!$L$38,'MP Calculations'!F22*1000,'MP Calculations'!F22*1000000)))</f>
        <v>0</v>
      </c>
      <c r="K11" s="1" t="s">
        <v>65</v>
      </c>
      <c r="L11" s="1"/>
      <c r="M11" s="1"/>
    </row>
    <row r="13" spans="1:17" x14ac:dyDescent="0.25">
      <c r="G13" s="1"/>
    </row>
    <row r="14" spans="1:17" x14ac:dyDescent="0.25">
      <c r="D14" s="91" t="s">
        <v>66</v>
      </c>
      <c r="G14" s="1"/>
    </row>
    <row r="15" spans="1:17" x14ac:dyDescent="0.25">
      <c r="G15" s="1"/>
    </row>
    <row r="16" spans="1:17" x14ac:dyDescent="0.25">
      <c r="G16" s="1"/>
    </row>
    <row r="18" spans="4:21" x14ac:dyDescent="0.25">
      <c r="D18" t="s">
        <v>67</v>
      </c>
    </row>
    <row r="20" spans="4:21" x14ac:dyDescent="0.25">
      <c r="E20" t="s">
        <v>68</v>
      </c>
      <c r="F20" s="30" t="s">
        <v>69</v>
      </c>
      <c r="G20" s="101">
        <f>IF('General inputs'!$H$42='General inputs'!$L$37,'MP Calculations'!C22,IF('General inputs'!$H$42='General inputs'!$L$38,'MP Calculations'!C22*1000,'MP Calculations'!C22*1000000))</f>
        <v>107223.79049672639</v>
      </c>
      <c r="H20" s="30" t="s">
        <v>69</v>
      </c>
      <c r="I20" s="150" t="s">
        <v>70</v>
      </c>
      <c r="J20" s="1"/>
      <c r="K20" s="1"/>
      <c r="L20" s="1"/>
      <c r="M20" s="1"/>
      <c r="N20" s="1"/>
      <c r="O20" s="1"/>
      <c r="P20" s="1"/>
      <c r="Q20" s="1"/>
      <c r="R20" s="1"/>
      <c r="S20" s="1"/>
      <c r="T20" s="1"/>
      <c r="U20" s="1"/>
    </row>
    <row r="21" spans="4:21" ht="13.5" x14ac:dyDescent="0.35">
      <c r="E21" t="s">
        <v>71</v>
      </c>
      <c r="F21" s="30" t="s">
        <v>69</v>
      </c>
      <c r="G21" s="101">
        <f>IF('General inputs'!$H$42='General inputs'!$L$37,'MP Calculations'!H20,IF('General inputs'!$H$42='General inputs'!$L$38,'MP Calculations'!H20*1000,'MP Calculations'!H20*1000000))</f>
        <v>0</v>
      </c>
      <c r="H21" s="30" t="s">
        <v>69</v>
      </c>
      <c r="I21" s="1" t="s">
        <v>72</v>
      </c>
      <c r="J21" s="1"/>
      <c r="K21" s="1"/>
      <c r="L21" s="1"/>
      <c r="M21" s="1"/>
      <c r="N21" s="1"/>
      <c r="O21" s="1"/>
      <c r="P21" s="1"/>
      <c r="Q21" s="1"/>
      <c r="R21" s="1"/>
      <c r="S21" s="1"/>
      <c r="T21" s="1"/>
      <c r="U21" s="1"/>
    </row>
    <row r="22" spans="4:21" ht="13.5" x14ac:dyDescent="0.35">
      <c r="E22" t="s">
        <v>73</v>
      </c>
      <c r="F22" s="30" t="s">
        <v>69</v>
      </c>
      <c r="G22" s="101">
        <f>IF('General inputs'!$H$42='General inputs'!$L$37,SUM('MP Calculations'!I20:K20),IF('General inputs'!$H$42='General inputs'!$L$38,SUM('MP Calculations'!I20:K20)*1000,SUM('MP Calculations'!I20:K20)*1000000))</f>
        <v>543126270.0490365</v>
      </c>
      <c r="H22" s="30" t="s">
        <v>69</v>
      </c>
      <c r="I22" s="1" t="s">
        <v>74</v>
      </c>
      <c r="J22" s="1"/>
      <c r="K22" s="1"/>
      <c r="L22" s="1"/>
      <c r="M22" s="1"/>
      <c r="N22" s="1"/>
      <c r="O22" s="1"/>
      <c r="P22" s="1"/>
      <c r="Q22" s="1"/>
      <c r="R22" s="1"/>
      <c r="S22" s="1"/>
      <c r="T22" s="1"/>
      <c r="U22" s="1"/>
    </row>
    <row r="23" spans="4:21" ht="13.5" x14ac:dyDescent="0.35">
      <c r="E23" t="s">
        <v>75</v>
      </c>
      <c r="F23" s="30" t="s">
        <v>69</v>
      </c>
      <c r="G23" s="64">
        <f>'MP Calculations'!H21</f>
        <v>6073.7590935968265</v>
      </c>
      <c r="H23" s="30" t="s">
        <v>69</v>
      </c>
      <c r="I23" s="148" t="s">
        <v>76</v>
      </c>
      <c r="J23" s="149"/>
      <c r="K23" s="149"/>
      <c r="L23" s="149"/>
      <c r="M23" s="149"/>
      <c r="N23" s="149"/>
      <c r="O23" s="149"/>
      <c r="P23" s="149"/>
      <c r="Q23" s="149"/>
      <c r="R23" s="149"/>
      <c r="S23" s="149"/>
      <c r="T23" s="149"/>
      <c r="U23" s="149"/>
    </row>
    <row r="24" spans="4:21" ht="13.5" x14ac:dyDescent="0.35">
      <c r="E24" t="s">
        <v>77</v>
      </c>
      <c r="F24" s="30" t="s">
        <v>69</v>
      </c>
      <c r="G24" s="64">
        <f>'MP Calculations'!J21</f>
        <v>5700.5998047545581</v>
      </c>
      <c r="H24" s="30" t="s">
        <v>69</v>
      </c>
      <c r="I24" s="148" t="s">
        <v>78</v>
      </c>
      <c r="J24" s="149"/>
      <c r="K24" s="149"/>
      <c r="L24" s="149"/>
      <c r="M24" s="149"/>
      <c r="N24" s="149"/>
      <c r="O24" s="149"/>
      <c r="P24" s="149"/>
      <c r="Q24" s="149"/>
      <c r="R24" s="149"/>
      <c r="S24" s="149"/>
      <c r="T24" s="149"/>
      <c r="U24" s="149"/>
    </row>
    <row r="25" spans="4:21" ht="13.5" x14ac:dyDescent="0.35">
      <c r="E25" t="s">
        <v>79</v>
      </c>
      <c r="F25" s="30" t="s">
        <v>69</v>
      </c>
      <c r="G25" s="64">
        <f>'MP Calculations'!L21</f>
        <v>5700.5998047545581</v>
      </c>
      <c r="H25" s="30" t="s">
        <v>69</v>
      </c>
      <c r="I25" s="148" t="s">
        <v>80</v>
      </c>
      <c r="J25" s="149"/>
      <c r="K25" s="149"/>
      <c r="L25" s="149"/>
      <c r="M25" s="149"/>
      <c r="N25" s="149"/>
      <c r="O25" s="149"/>
      <c r="P25" s="149"/>
      <c r="Q25" s="149"/>
      <c r="R25" s="149"/>
      <c r="S25" s="149"/>
      <c r="T25" s="149"/>
      <c r="U25" s="149"/>
    </row>
    <row r="26" spans="4:21" ht="13.5" x14ac:dyDescent="0.35">
      <c r="E26" t="s">
        <v>81</v>
      </c>
      <c r="F26" s="30" t="s">
        <v>69</v>
      </c>
      <c r="G26" s="101">
        <f>'MP Calculations'!R29</f>
        <v>45994.629442078811</v>
      </c>
      <c r="H26" s="30" t="s">
        <v>69</v>
      </c>
      <c r="I26" s="1" t="s">
        <v>82</v>
      </c>
      <c r="J26" s="1"/>
      <c r="K26" s="1"/>
      <c r="L26" s="1"/>
      <c r="M26" s="1"/>
      <c r="N26" s="1"/>
      <c r="O26" s="1"/>
      <c r="P26" s="1"/>
      <c r="Q26" s="1"/>
      <c r="R26" s="1"/>
      <c r="S26" s="1"/>
      <c r="T26" s="1"/>
      <c r="U26" s="1"/>
    </row>
    <row r="27" spans="4:21" ht="13.5" x14ac:dyDescent="0.35">
      <c r="E27" t="s">
        <v>83</v>
      </c>
      <c r="F27" s="30" t="s">
        <v>69</v>
      </c>
      <c r="G27" s="101">
        <f>'MP Calculations'!U29</f>
        <v>114108.27856372441</v>
      </c>
      <c r="H27" s="30" t="s">
        <v>69</v>
      </c>
      <c r="I27" s="1" t="s">
        <v>84</v>
      </c>
      <c r="J27" s="1"/>
      <c r="K27" s="1"/>
      <c r="L27" s="1"/>
      <c r="M27" s="1"/>
      <c r="N27" s="1"/>
      <c r="O27" s="1"/>
      <c r="P27" s="1"/>
      <c r="Q27" s="1"/>
      <c r="R27" s="1"/>
      <c r="S27" s="1"/>
      <c r="T27" s="1"/>
      <c r="U27" s="1"/>
    </row>
    <row r="28" spans="4:21" x14ac:dyDescent="0.25">
      <c r="E28" t="s">
        <v>85</v>
      </c>
      <c r="F28" s="30" t="s">
        <v>69</v>
      </c>
      <c r="G28" s="26" t="str">
        <f>INDEX('MP Calculations'!$D$39:$D$129,MATCH('General inputs'!$H$38-1,'MP Calculations'!C39:C129))</f>
        <v>2053-54</v>
      </c>
      <c r="H28" s="30" t="s">
        <v>69</v>
      </c>
      <c r="I28" s="1" t="s">
        <v>86</v>
      </c>
      <c r="J28" s="1"/>
      <c r="K28" s="1"/>
      <c r="L28" s="1"/>
      <c r="M28" s="1"/>
      <c r="N28" s="1"/>
      <c r="O28" s="1"/>
      <c r="P28" s="1"/>
      <c r="Q28" s="1"/>
      <c r="R28" s="1"/>
      <c r="S28" s="1"/>
      <c r="T28" s="1"/>
      <c r="U28"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opLeftCell="A76" zoomScaleNormal="100" workbookViewId="0"/>
  </sheetViews>
  <sheetFormatPr defaultRowHeight="11.5" x14ac:dyDescent="0.25"/>
  <cols>
    <col min="1" max="2" width="2.69921875" customWidth="1"/>
    <col min="3" max="3" width="20.09765625" customWidth="1"/>
    <col min="4" max="4" width="21.59765625" customWidth="1"/>
    <col min="5" max="5" width="28.296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87</v>
      </c>
    </row>
    <row r="3" spans="1:11" ht="20" x14ac:dyDescent="0.4">
      <c r="C3" s="51" t="s">
        <v>88</v>
      </c>
    </row>
    <row r="6" spans="1:11" ht="15.5" x14ac:dyDescent="0.35">
      <c r="C6" s="2" t="s">
        <v>89</v>
      </c>
      <c r="E6" s="35"/>
    </row>
    <row r="7" spans="1:11" x14ac:dyDescent="0.25">
      <c r="B7" s="45"/>
      <c r="C7" s="34"/>
      <c r="D7" s="34"/>
      <c r="E7" s="34"/>
      <c r="F7" s="34"/>
      <c r="G7" s="34"/>
      <c r="H7" s="34"/>
      <c r="I7" s="34"/>
      <c r="J7" s="34"/>
      <c r="K7" s="46"/>
    </row>
    <row r="8" spans="1:11" x14ac:dyDescent="0.25">
      <c r="B8" s="47"/>
      <c r="J8" s="26" t="s">
        <v>90</v>
      </c>
      <c r="K8" s="48"/>
    </row>
    <row r="9" spans="1:11" x14ac:dyDescent="0.25">
      <c r="A9" s="53">
        <v>1</v>
      </c>
      <c r="B9" s="47"/>
      <c r="C9" t="str">
        <f>"Table "&amp;A9&amp;":  Calculation of maximum price ("&amp;'General inputs'!H42&amp;", $"&amp;'General inputs'!I40&amp;")"</f>
        <v>Table 1:  Calculation of maximum price ($'000, $2023-24)</v>
      </c>
      <c r="J9">
        <f>ROW(C17)</f>
        <v>17</v>
      </c>
      <c r="K9" s="48"/>
    </row>
    <row r="10" spans="1:11" x14ac:dyDescent="0.25">
      <c r="A10" s="71">
        <f>A9+1</f>
        <v>2</v>
      </c>
      <c r="B10" s="47"/>
      <c r="C10" t="str">
        <f>"Table "&amp;A10&amp;":  Key variables used in maximum price calculation ("&amp;'General inputs'!H42&amp;", $"&amp;'General inputs'!I40&amp;")"</f>
        <v>Table 2:  Key variables used in maximum price calculation ($'000, $2023-24)</v>
      </c>
      <c r="J10">
        <f>ROW(C26)</f>
        <v>26</v>
      </c>
      <c r="K10" s="48"/>
    </row>
    <row r="11" spans="1:11" x14ac:dyDescent="0.25">
      <c r="A11" s="71">
        <f>A10+1</f>
        <v>3</v>
      </c>
      <c r="B11" s="47"/>
      <c r="C11" t="str">
        <f>"Table "&amp;A11&amp;":  Annual calculation over analysis horizon ("&amp;'General inputs'!H42&amp;", $"&amp;'General inputs'!I40&amp;")"</f>
        <v>Table 3:  Annual calculation over analysis horizon ($'000, $2023-24)</v>
      </c>
      <c r="J11">
        <f>ROW(C35)</f>
        <v>35</v>
      </c>
      <c r="K11" s="48"/>
    </row>
    <row r="12" spans="1:11" x14ac:dyDescent="0.25">
      <c r="B12" s="49"/>
      <c r="C12" s="35"/>
      <c r="D12" s="35"/>
      <c r="E12" s="35"/>
      <c r="F12" s="35"/>
      <c r="G12" s="35"/>
      <c r="H12" s="35"/>
      <c r="I12" s="35"/>
      <c r="J12" s="35"/>
      <c r="K12" s="50"/>
    </row>
    <row r="13" spans="1:11" x14ac:dyDescent="0.25">
      <c r="E13" s="34"/>
    </row>
    <row r="14" spans="1:11" x14ac:dyDescent="0.25">
      <c r="B14" s="105" t="str">
        <f>"Note:  an input is required in "&amp;ADDRESS(ROW($G$22),COLUMN($G$22))&amp;" to incorporate the Headwork costs per ET into the maximum price."</f>
        <v>Note:  an input is required in $G$22 to incorporate the Headwork costs per ET into the maximum price.</v>
      </c>
    </row>
    <row r="15" spans="1:11" x14ac:dyDescent="0.25">
      <c r="B15" s="105"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70" t="str">
        <f>C9</f>
        <v>Table 1:  Calculation of maximum price ($'000, $2023-24)</v>
      </c>
      <c r="E17" s="35"/>
    </row>
    <row r="18" spans="2:22" x14ac:dyDescent="0.25">
      <c r="B18" s="45"/>
      <c r="C18" s="115"/>
      <c r="D18" s="103"/>
      <c r="E18" s="103"/>
      <c r="F18" s="115"/>
      <c r="G18" s="115"/>
      <c r="H18" s="115"/>
      <c r="I18" s="103"/>
      <c r="J18" s="115"/>
      <c r="K18" s="115"/>
      <c r="L18" s="34"/>
      <c r="M18" s="46"/>
    </row>
    <row r="19" spans="2:22" ht="46" x14ac:dyDescent="0.25">
      <c r="B19" s="47"/>
      <c r="C19" s="40" t="s">
        <v>91</v>
      </c>
      <c r="F19" s="122" t="s">
        <v>92</v>
      </c>
      <c r="G19" s="122" t="s">
        <v>93</v>
      </c>
      <c r="H19" s="121" t="s">
        <v>94</v>
      </c>
      <c r="I19" s="123"/>
      <c r="J19" s="121" t="s">
        <v>95</v>
      </c>
      <c r="K19" s="121" t="s">
        <v>96</v>
      </c>
      <c r="L19" s="121" t="s">
        <v>97</v>
      </c>
      <c r="M19" s="48"/>
    </row>
    <row r="20" spans="2:22" x14ac:dyDescent="0.25">
      <c r="B20" s="47"/>
      <c r="E20" s="6" t="s">
        <v>98</v>
      </c>
      <c r="H20" s="124">
        <f>K29</f>
        <v>0</v>
      </c>
      <c r="I20" s="126"/>
      <c r="J20" s="127">
        <f>M29</f>
        <v>2056.209623750874</v>
      </c>
      <c r="K20" s="127">
        <f>O29</f>
        <v>541070.0604252856</v>
      </c>
      <c r="L20" s="124">
        <f>R29-U29</f>
        <v>-68113.649121645605</v>
      </c>
      <c r="M20" s="48"/>
    </row>
    <row r="21" spans="2:22" x14ac:dyDescent="0.25">
      <c r="B21" s="47"/>
      <c r="E21" s="6" t="s">
        <v>99</v>
      </c>
      <c r="F21" s="35"/>
      <c r="H21" s="124">
        <f>F29</f>
        <v>6073.7590935968265</v>
      </c>
      <c r="I21" s="126"/>
      <c r="J21" s="127">
        <f>G29</f>
        <v>5700.5998047545581</v>
      </c>
      <c r="K21" s="127">
        <f>G29</f>
        <v>5700.5998047545581</v>
      </c>
      <c r="L21" s="124">
        <f>H29</f>
        <v>5700.5998047545581</v>
      </c>
      <c r="M21" s="48"/>
    </row>
    <row r="22" spans="2:22" ht="12" customHeight="1" x14ac:dyDescent="0.25">
      <c r="B22" s="47"/>
      <c r="C22" s="72">
        <f>IF(SUM(F22:K22,-L22)&lt;0,0,SUM(F22:K22,-L22))</f>
        <v>107.22379049672639</v>
      </c>
      <c r="E22" s="6" t="s">
        <v>100</v>
      </c>
      <c r="F22" s="125">
        <v>0</v>
      </c>
      <c r="G22" s="125">
        <v>0</v>
      </c>
      <c r="H22" s="75">
        <f>H20/H21</f>
        <v>0</v>
      </c>
      <c r="I22" s="129"/>
      <c r="J22" s="128">
        <f>J20/J21</f>
        <v>0.36070057435638653</v>
      </c>
      <c r="K22" s="128">
        <f>K20/K21</f>
        <v>94.9145842467329</v>
      </c>
      <c r="L22" s="75">
        <f>L20/L21</f>
        <v>-11.948505675637104</v>
      </c>
      <c r="M22" s="48"/>
    </row>
    <row r="23" spans="2:22" x14ac:dyDescent="0.25">
      <c r="B23" s="49"/>
      <c r="C23" s="52"/>
      <c r="D23" s="35"/>
      <c r="E23" s="35"/>
      <c r="F23" s="35"/>
      <c r="G23" s="35"/>
      <c r="H23" s="35"/>
      <c r="I23" s="35"/>
      <c r="J23" s="35"/>
      <c r="K23" s="35"/>
      <c r="L23" s="35"/>
      <c r="M23" s="50"/>
    </row>
    <row r="24" spans="2:22" x14ac:dyDescent="0.25">
      <c r="E24" s="34"/>
    </row>
    <row r="25" spans="2:22" x14ac:dyDescent="0.25">
      <c r="C25" s="33"/>
      <c r="D25" s="44"/>
    </row>
    <row r="26" spans="2:22" ht="18" x14ac:dyDescent="0.4">
      <c r="C26" s="70" t="str">
        <f>C10</f>
        <v>Table 2:  Key variables used in maximum price calculation ($'000, $2023-24)</v>
      </c>
      <c r="D26" s="44"/>
    </row>
    <row r="27" spans="2:22" ht="18" x14ac:dyDescent="0.4">
      <c r="B27" s="45"/>
      <c r="C27" s="73"/>
      <c r="D27" s="74"/>
      <c r="E27" s="34"/>
      <c r="F27" s="34"/>
      <c r="G27" s="34"/>
      <c r="H27" s="34"/>
      <c r="I27" s="34"/>
      <c r="J27" s="34"/>
      <c r="K27" s="34"/>
      <c r="L27" s="34"/>
      <c r="M27" s="34"/>
      <c r="N27" s="34"/>
      <c r="O27" s="34"/>
      <c r="P27" s="34"/>
      <c r="Q27" s="34"/>
      <c r="R27" s="34"/>
      <c r="S27" s="34"/>
      <c r="T27" s="34"/>
      <c r="U27" s="34"/>
      <c r="V27" s="46"/>
    </row>
    <row r="28" spans="2:22" ht="92" x14ac:dyDescent="0.25">
      <c r="B28" s="47"/>
      <c r="E28" s="130" t="s">
        <v>101</v>
      </c>
      <c r="F28" s="130" t="s">
        <v>102</v>
      </c>
      <c r="G28" s="130" t="s">
        <v>103</v>
      </c>
      <c r="H28" s="130" t="s">
        <v>104</v>
      </c>
      <c r="I28" s="131"/>
      <c r="J28" s="131"/>
      <c r="K28" s="130" t="s">
        <v>105</v>
      </c>
      <c r="L28" s="131"/>
      <c r="M28" s="130" t="s">
        <v>106</v>
      </c>
      <c r="N28" s="131"/>
      <c r="O28" s="130" t="s">
        <v>107</v>
      </c>
      <c r="P28" s="131"/>
      <c r="Q28" s="131"/>
      <c r="R28" s="130" t="s">
        <v>108</v>
      </c>
      <c r="U28" s="130" t="s">
        <v>109</v>
      </c>
      <c r="V28" s="48"/>
    </row>
    <row r="29" spans="2:22" x14ac:dyDescent="0.25">
      <c r="B29" s="47"/>
      <c r="E29" s="113">
        <f>SUM(E39:E129)</f>
        <v>7189.7586453201966</v>
      </c>
      <c r="F29" s="75">
        <f t="shared" ref="F29:H29" si="0">SUM(F39:F129)</f>
        <v>6073.7590935968265</v>
      </c>
      <c r="G29" s="75">
        <f t="shared" si="0"/>
        <v>5700.5998047545581</v>
      </c>
      <c r="H29" s="72">
        <f t="shared" si="0"/>
        <v>5700.5998047545581</v>
      </c>
      <c r="K29" s="75">
        <f>K39</f>
        <v>0</v>
      </c>
      <c r="M29" s="75">
        <f>SUM(M39:M129)</f>
        <v>2056.209623750874</v>
      </c>
      <c r="O29" s="75">
        <f>SUM(O39:O129)</f>
        <v>541070.0604252856</v>
      </c>
      <c r="R29" s="75">
        <f>SUM(R39:R129)</f>
        <v>45994.629442078811</v>
      </c>
      <c r="U29" s="75">
        <f>SUM(U39:U129)</f>
        <v>114108.27856372441</v>
      </c>
      <c r="V29" s="48"/>
    </row>
    <row r="30" spans="2:22" x14ac:dyDescent="0.25">
      <c r="B30" s="49"/>
      <c r="C30" s="35"/>
      <c r="D30" s="35"/>
      <c r="E30" s="35"/>
      <c r="F30" s="35"/>
      <c r="G30" s="35"/>
      <c r="H30" s="35"/>
      <c r="I30" s="35"/>
      <c r="J30" s="35"/>
      <c r="K30" s="35"/>
      <c r="L30" s="35"/>
      <c r="M30" s="35"/>
      <c r="N30" s="35"/>
      <c r="O30" s="35"/>
      <c r="P30" s="35"/>
      <c r="Q30" s="35"/>
      <c r="R30" s="35"/>
      <c r="S30" s="35"/>
      <c r="T30" s="35"/>
      <c r="U30" s="35"/>
      <c r="V30" s="50"/>
    </row>
    <row r="33" spans="2:27" x14ac:dyDescent="0.25">
      <c r="B33" s="105" t="str">
        <f>"Note:  inputs are required in "&amp;'Reduction amount'!D17&amp;" and "&amp;'Reduction amount'!D18&amp;" to calculate the 'Reduction amount'."</f>
        <v>Note:  inputs are required in $Q$67:$Q$97 and $T$67:$T$97 to calculate the 'Reduction amount'.</v>
      </c>
    </row>
    <row r="35" spans="2:27" ht="18" x14ac:dyDescent="0.4">
      <c r="C35" s="70" t="str">
        <f>C11</f>
        <v>Table 3:  Annual calculation over analysis horizon ($'000, $2023-24)</v>
      </c>
      <c r="D35" s="116"/>
      <c r="E35" s="116"/>
      <c r="F35" s="116"/>
      <c r="G35" s="116"/>
      <c r="H35" s="116"/>
      <c r="I35" s="116"/>
      <c r="J35" s="116"/>
      <c r="K35" s="116"/>
      <c r="L35" s="116"/>
      <c r="M35" s="116"/>
      <c r="N35" s="116"/>
      <c r="O35" s="116"/>
      <c r="P35" s="1"/>
      <c r="Q35" s="116"/>
      <c r="R35" s="116"/>
      <c r="S35" s="1"/>
      <c r="T35" s="116"/>
      <c r="U35" s="116"/>
    </row>
    <row r="36" spans="2:27" ht="36" x14ac:dyDescent="0.4">
      <c r="B36" s="45"/>
      <c r="C36" s="73"/>
      <c r="D36" s="115"/>
      <c r="E36" s="115"/>
      <c r="F36" s="115"/>
      <c r="G36" s="115"/>
      <c r="H36" s="115"/>
      <c r="I36" s="115"/>
      <c r="J36" s="115"/>
      <c r="K36" s="34"/>
      <c r="L36" s="115"/>
      <c r="M36" s="34"/>
      <c r="N36" s="34"/>
      <c r="O36" s="34"/>
      <c r="P36" s="34"/>
      <c r="Q36" s="117" t="str">
        <f>IF(COUNT(Q39:Q129)&lt;&gt;'General inputs'!H38,"Data required in input range "&amp;'Reduction amount'!D17,"OK")</f>
        <v>Data required in input range $Q$67:$Q$97</v>
      </c>
      <c r="R36" s="103"/>
      <c r="S36" s="34"/>
      <c r="T36" s="117" t="str">
        <f>IF(COUNT(T39:T129)&lt;&gt;'General inputs'!H38,"Data required in input range "&amp;'Reduction amount'!D18,"OK")</f>
        <v>Data required in input range $T$67:$T$97</v>
      </c>
      <c r="U36" s="34"/>
      <c r="V36" s="46"/>
    </row>
    <row r="37" spans="2:27" ht="18" x14ac:dyDescent="0.4">
      <c r="B37" s="47"/>
      <c r="C37" s="70"/>
      <c r="D37" s="116"/>
      <c r="E37" s="119" t="s">
        <v>110</v>
      </c>
      <c r="F37" s="116"/>
      <c r="G37" s="116"/>
      <c r="H37" s="116"/>
      <c r="I37" s="116"/>
      <c r="J37" s="119" t="s">
        <v>111</v>
      </c>
      <c r="L37" s="116"/>
      <c r="Q37" s="119" t="s">
        <v>112</v>
      </c>
      <c r="R37" s="104"/>
      <c r="T37" s="119" t="s">
        <v>113</v>
      </c>
      <c r="V37" s="48"/>
    </row>
    <row r="38" spans="2:27" ht="82" x14ac:dyDescent="0.4">
      <c r="B38" s="47"/>
      <c r="C38" s="70"/>
      <c r="D38" s="138" t="s">
        <v>114</v>
      </c>
      <c r="E38" s="118" t="s">
        <v>115</v>
      </c>
      <c r="F38" s="118" t="s">
        <v>116</v>
      </c>
      <c r="G38" s="118" t="s">
        <v>117</v>
      </c>
      <c r="H38" s="24" t="s">
        <v>118</v>
      </c>
      <c r="I38" s="30"/>
      <c r="J38" s="24" t="s">
        <v>119</v>
      </c>
      <c r="K38" s="118" t="s">
        <v>120</v>
      </c>
      <c r="L38" s="24" t="s">
        <v>121</v>
      </c>
      <c r="M38" s="24" t="s">
        <v>122</v>
      </c>
      <c r="N38" s="24" t="s">
        <v>123</v>
      </c>
      <c r="O38" s="24" t="s">
        <v>124</v>
      </c>
      <c r="P38" s="30"/>
      <c r="Q38" s="24" t="s">
        <v>125</v>
      </c>
      <c r="R38" s="24" t="s">
        <v>126</v>
      </c>
      <c r="S38" s="120"/>
      <c r="T38" s="24" t="s">
        <v>127</v>
      </c>
      <c r="U38" s="24" t="s">
        <v>128</v>
      </c>
      <c r="V38" s="48"/>
    </row>
    <row r="39" spans="2:27" ht="12" hidden="1" thickBot="1" x14ac:dyDescent="0.3">
      <c r="B39" s="47"/>
      <c r="C39" s="26">
        <f>IF(D39='General inputs'!$I$16,0,IF(D39&lt;'General inputs'!$I$16,C40-1,C38+1))</f>
        <v>-28</v>
      </c>
      <c r="D39" s="139" t="str">
        <f>RIGHT(YEAR('General inputs'!$H$24),4)&amp;"-"&amp;RIGHT(YEAR('General inputs'!H24),2)+1</f>
        <v>1995-96</v>
      </c>
      <c r="E39" s="77">
        <f>IF(LEFT(D39,4)*1&gt;LEFT('General inputs'!$I$16,4)+'General inputs'!$H$38-1,"",'ET inputs'!D12)</f>
        <v>0</v>
      </c>
      <c r="F39" s="77">
        <f>IF(LEFT(D39,4)*1&gt;LEFT('General inputs'!$I$16,4)+'General inputs'!$H$38-1,"",E39/(1+'General inputs'!$H$30)^C39)</f>
        <v>0</v>
      </c>
      <c r="G39" s="77">
        <f>IF(LEFT(D39,4)*1&gt;LEFT('General inputs'!$I$16,4)+'General inputs'!$H$38-1,"",E39/(1+'General inputs'!$H$32)^C39)</f>
        <v>0</v>
      </c>
      <c r="H39" s="76" t="str">
        <f>IF(LEFT(D39,4)*1&lt;LEFT('General inputs'!$I$16,4)*1,"",IF(LEFT(D39,4)*1&gt;LEFT('General inputs'!$I$16,4)+'General inputs'!$H$38-1,"",E39/(1+'General inputs'!$H$34)^C39))</f>
        <v/>
      </c>
      <c r="J39" s="77">
        <f>'Pre-1996 assets'!P219</f>
        <v>0</v>
      </c>
      <c r="K39" s="77">
        <f>J39/(1+'General inputs'!$H$30)^C39</f>
        <v>0</v>
      </c>
      <c r="L39" s="140">
        <f>IF(LEFT(D39,4)*1&gt;LEFT('General inputs'!$I$18,4)*1,"",SUMIF('Post-1996 commissioned assets'!$F$22:$F$218,$D39,'Post-1996 commissioned assets'!$P$22:$P$218))</f>
        <v>0</v>
      </c>
      <c r="M39" s="140">
        <f>IF(L39="","",L39/(1+'General inputs'!$H$32)^C39)</f>
        <v>0</v>
      </c>
      <c r="N39" s="77" t="str">
        <f>IF(LEFT(D39,4)*1&lt;LEFT('General inputs'!$I$18,4)*1+1,"",SUMIF('Uncommissioned assets'!$F$22:$F$218,$D39,'Uncommissioned assets'!$P$22:$P$218))</f>
        <v/>
      </c>
      <c r="O39" s="77" t="str">
        <f>IF(N39="","",N39/(1+'General inputs'!$H$32)^C39)</f>
        <v/>
      </c>
      <c r="Q39" s="32"/>
      <c r="R39" s="76" t="str">
        <f>IF(OR(LEFT(D39,4)*1&lt;LEFT('General inputs'!$I$16,4)*1,LEFT(D39,4)*1&gt;LEFT('General inputs'!$I$16,4)+'General inputs'!$H$38-1),"",Q39/(1+'General inputs'!$H$34)^C39)</f>
        <v/>
      </c>
      <c r="T39" s="32"/>
      <c r="U39" s="76" t="str">
        <f>IF(OR(LEFT(D39,4)*1&lt;LEFT('General inputs'!$I$16,4)*1,LEFT(D39,4)*1&gt;LEFT('General inputs'!$I$16,4)+'General inputs'!$H$38-1),"",T39/(1+'General inputs'!$H$34)^C39)</f>
        <v/>
      </c>
      <c r="V39" s="48"/>
      <c r="X39" s="43"/>
      <c r="Y39" s="43"/>
      <c r="Z39" s="43"/>
      <c r="AA39" s="43"/>
    </row>
    <row r="40" spans="2:27" ht="12" hidden="1" thickTop="1" x14ac:dyDescent="0.25">
      <c r="B40" s="47"/>
      <c r="C40" s="26">
        <f>IF(D40='General inputs'!$I$16,0,IF(D40&lt;'General inputs'!$I$16,C41-1,C39+1))</f>
        <v>-27</v>
      </c>
      <c r="D40" s="26" t="str">
        <f>LEFT(D39,4)+1&amp;"-"&amp;RIGHT(D39,2)+1</f>
        <v>1996-97</v>
      </c>
      <c r="E40" s="76">
        <f>IF(LEFT(D40,4)*1&gt;LEFT('General inputs'!$I$16,4)+'General inputs'!$H$38-1,"",'ET inputs'!D13)</f>
        <v>0</v>
      </c>
      <c r="F40" s="76">
        <f>IF(LEFT(D40,4)*1&gt;LEFT('General inputs'!$I$16,4)+'General inputs'!$H$38-1,"",E40/(1+'General inputs'!$H$30)^C40)</f>
        <v>0</v>
      </c>
      <c r="G40" s="76">
        <f>IF(LEFT(D40,4)*1&gt;LEFT('General inputs'!$I$16,4)+'General inputs'!$H$38-1,"",E40/(1+'General inputs'!$H$32)^C40)</f>
        <v>0</v>
      </c>
      <c r="H40" s="76" t="str">
        <f>IF(LEFT(D40,4)*1&lt;LEFT('General inputs'!$I$16,4)*1,"",IF(LEFT(D40,4)*1&gt;LEFT('General inputs'!$I$16,4)+'General inputs'!$H$38-1,"",E40/(1+'General inputs'!$H$34)^C40))</f>
        <v/>
      </c>
      <c r="J40" s="94"/>
      <c r="K40" s="94"/>
      <c r="L40" s="76">
        <f>IF(LEFT(D40,4)*1&gt;LEFT('General inputs'!$I$18,4)*1,"",SUMIF('Post-1996 commissioned assets'!$F$22:$F$218,$D40,'Post-1996 commissioned assets'!$P$22:$P$218))</f>
        <v>0</v>
      </c>
      <c r="M40" s="76">
        <f>IF(L40="","",L40/(1+'General inputs'!$H$32)^C40)</f>
        <v>0</v>
      </c>
      <c r="N40" s="76" t="str">
        <f>IF(LEFT(D40,4)*1&lt;LEFT('General inputs'!$I$18,4)*1+1,"",SUMIF('Uncommissioned assets'!$F$22:$F$218,$D40,'Uncommissioned assets'!$P$22:$P$218))</f>
        <v/>
      </c>
      <c r="O40" s="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8"/>
    </row>
    <row r="41" spans="2:27" hidden="1" x14ac:dyDescent="0.25">
      <c r="B41" s="47"/>
      <c r="C41" s="26">
        <f>IF(D41='General inputs'!$I$16,0,IF(D41&lt;'General inputs'!$I$16,C42-1,C40+1))</f>
        <v>-26</v>
      </c>
      <c r="D41" s="26" t="str">
        <f t="shared" ref="D41:D99" si="1">LEFT(D40,4)+1&amp;"-"&amp;RIGHT(D40,2)+1</f>
        <v>1997-98</v>
      </c>
      <c r="E41" s="76">
        <f>IF(LEFT(D41,4)*1&gt;LEFT('General inputs'!$I$16,4)+'General inputs'!$H$38-1,"",'ET inputs'!D14)</f>
        <v>0</v>
      </c>
      <c r="F41" s="76">
        <f>IF(LEFT(D41,4)*1&gt;LEFT('General inputs'!$I$16,4)+'General inputs'!$H$38-1,"",E41/(1+'General inputs'!$H$30)^C41)</f>
        <v>0</v>
      </c>
      <c r="G41" s="76">
        <f>IF(LEFT(D41,4)*1&gt;LEFT('General inputs'!$I$16,4)+'General inputs'!$H$38-1,"",E41/(1+'General inputs'!$H$32)^C41)</f>
        <v>0</v>
      </c>
      <c r="H41" s="76" t="str">
        <f>IF(LEFT(D41,4)*1&lt;LEFT('General inputs'!$I$16,4)*1,"",IF(LEFT(D41,4)*1&gt;LEFT('General inputs'!$I$16,4)+'General inputs'!$H$38-1,"",E41/(1+'General inputs'!$H$34)^C41))</f>
        <v/>
      </c>
      <c r="J41" s="94"/>
      <c r="K41" s="94"/>
      <c r="L41" s="76">
        <f>IF(LEFT(D41,4)*1&gt;LEFT('General inputs'!$I$18,4)*1,"",SUMIF('Post-1996 commissioned assets'!$F$22:$F$218,$D41,'Post-1996 commissioned assets'!$P$22:$P$218))</f>
        <v>0</v>
      </c>
      <c r="M41" s="76">
        <f>IF(L41="","",L41/(1+'General inputs'!$H$32)^C41)</f>
        <v>0</v>
      </c>
      <c r="N41" s="76" t="str">
        <f>IF(LEFT(D41,4)*1&lt;LEFT('General inputs'!$I$18,4)*1+1,"",SUMIF('Uncommissioned assets'!$F$22:$F$218,$D41,'Uncommissioned assets'!$P$22:$P$218))</f>
        <v/>
      </c>
      <c r="O41" s="76"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8"/>
      <c r="X41" s="31"/>
      <c r="Y41" s="31"/>
      <c r="Z41" s="31"/>
    </row>
    <row r="42" spans="2:27" ht="12" hidden="1" thickBot="1" x14ac:dyDescent="0.3">
      <c r="B42" s="47"/>
      <c r="C42" s="26">
        <f>IF(D42='General inputs'!$I$16,0,IF(D42&lt;'General inputs'!$I$16,C43-1,C41+1))</f>
        <v>-25</v>
      </c>
      <c r="D42" s="78" t="str">
        <f t="shared" si="1"/>
        <v>1998-99</v>
      </c>
      <c r="E42" s="76">
        <f>IF(LEFT(D42,4)*1&gt;LEFT('General inputs'!$I$16,4)+'General inputs'!$H$38-1,"",'ET inputs'!D15)</f>
        <v>0</v>
      </c>
      <c r="F42" s="76">
        <f>IF(LEFT(D42,4)*1&gt;LEFT('General inputs'!$I$16,4)+'General inputs'!$H$38-1,"",E42/(1+'General inputs'!$H$30)^C42)</f>
        <v>0</v>
      </c>
      <c r="G42" s="76">
        <f>IF(LEFT(D42,4)*1&gt;LEFT('General inputs'!$I$16,4)+'General inputs'!$H$38-1,"",E42/(1+'General inputs'!$H$32)^C42)</f>
        <v>0</v>
      </c>
      <c r="H42" s="76" t="str">
        <f>IF(LEFT(D42,4)*1&lt;LEFT('General inputs'!$I$16,4)*1,"",IF(LEFT(D42,4)*1&gt;LEFT('General inputs'!$I$16,4)+'General inputs'!$H$38-1,"",E42/(1+'General inputs'!$H$34)^C42))</f>
        <v/>
      </c>
      <c r="J42" s="94"/>
      <c r="K42" s="94"/>
      <c r="L42" s="76">
        <f>IF(LEFT(D42,4)*1&gt;LEFT('General inputs'!$I$18,4)*1,"",SUMIF('Post-1996 commissioned assets'!$F$22:$F$218,$D42,'Post-1996 commissioned assets'!$P$22:$P$218))</f>
        <v>0</v>
      </c>
      <c r="M42" s="76">
        <f>IF(L42="","",L42/(1+'General inputs'!$H$32)^C42)</f>
        <v>0</v>
      </c>
      <c r="N42" s="76" t="str">
        <f>IF(LEFT(D42,4)*1&lt;LEFT('General inputs'!$I$18,4)*1+1,"",SUMIF('Uncommissioned assets'!$F$22:$F$218,$D42,'Uncommissioned assets'!$P$22:$P$218))</f>
        <v/>
      </c>
      <c r="O42" s="76"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8"/>
      <c r="X42" s="31"/>
      <c r="Y42" s="31"/>
      <c r="Z42" s="31"/>
    </row>
    <row r="43" spans="2:27" ht="12.5" hidden="1" thickTop="1" thickBot="1" x14ac:dyDescent="0.3">
      <c r="B43" s="47"/>
      <c r="C43" s="26">
        <f>IF(D43='General inputs'!$I$16,0,IF(D43&lt;'General inputs'!$I$16,C44-1,C42+1))</f>
        <v>-24</v>
      </c>
      <c r="D43" s="79" t="str">
        <f>LEFT(D42,4)+1&amp;"-00"</f>
        <v>1999-00</v>
      </c>
      <c r="E43" s="76">
        <f>IF(LEFT(D43,4)*1&gt;LEFT('General inputs'!$I$16,4)+'General inputs'!$H$38-1,"",'ET inputs'!D16)</f>
        <v>0</v>
      </c>
      <c r="F43" s="76">
        <f>IF(LEFT(D43,4)*1&gt;LEFT('General inputs'!$I$16,4)+'General inputs'!$H$38-1,"",E43/(1+'General inputs'!$H$30)^C43)</f>
        <v>0</v>
      </c>
      <c r="G43" s="76">
        <f>IF(LEFT(D43,4)*1&gt;LEFT('General inputs'!$I$16,4)+'General inputs'!$H$38-1,"",E43/(1+'General inputs'!$H$32)^C43)</f>
        <v>0</v>
      </c>
      <c r="H43" s="76" t="str">
        <f>IF(LEFT(D43,4)*1&lt;LEFT('General inputs'!$I$16,4)*1,"",IF(LEFT(D43,4)*1&gt;LEFT('General inputs'!$I$16,4)+'General inputs'!$H$38-1,"",E43/(1+'General inputs'!$H$34)^C43))</f>
        <v/>
      </c>
      <c r="J43" s="94"/>
      <c r="K43" s="94"/>
      <c r="L43" s="76">
        <f>IF(LEFT(D43,4)*1&gt;LEFT('General inputs'!$I$18,4)*1,"",SUMIF('Post-1996 commissioned assets'!$F$22:$F$218,$D43,'Post-1996 commissioned assets'!$P$22:$P$218))</f>
        <v>0</v>
      </c>
      <c r="M43" s="76">
        <f>IF(L43="","",L43/(1+'General inputs'!$H$32)^C43)</f>
        <v>0</v>
      </c>
      <c r="N43" s="76" t="str">
        <f>IF(LEFT(D43,4)*1&lt;LEFT('General inputs'!$I$18,4)*1+1,"",SUMIF('Uncommissioned assets'!$F$22:$F$218,$D43,'Uncommissioned assets'!$P$22:$P$218))</f>
        <v/>
      </c>
      <c r="O43" s="76"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8"/>
      <c r="X43" s="31"/>
      <c r="Y43" s="31"/>
      <c r="Z43" s="31"/>
    </row>
    <row r="44" spans="2:27" ht="12" hidden="1" thickTop="1" x14ac:dyDescent="0.25">
      <c r="B44" s="47"/>
      <c r="C44" s="26">
        <f>IF(D44='General inputs'!$I$16,0,IF(D44&lt;'General inputs'!$I$16,C45-1,C43+1))</f>
        <v>-23</v>
      </c>
      <c r="D44" s="80" t="str">
        <f>LEFT(D43,4)+1&amp;"-0"&amp;RIGHT(D43,2)+1</f>
        <v>2000-01</v>
      </c>
      <c r="E44" s="76">
        <f>IF(LEFT(D44,4)*1&gt;LEFT('General inputs'!$I$16,4)+'General inputs'!$H$38-1,"",'ET inputs'!D17)</f>
        <v>0</v>
      </c>
      <c r="F44" s="76">
        <f>IF(LEFT(D44,4)*1&gt;LEFT('General inputs'!$I$16,4)+'General inputs'!$H$38-1,"",E44/(1+'General inputs'!$H$30)^C44)</f>
        <v>0</v>
      </c>
      <c r="G44" s="76">
        <f>IF(LEFT(D44,4)*1&gt;LEFT('General inputs'!$I$16,4)+'General inputs'!$H$38-1,"",E44/(1+'General inputs'!$H$32)^C44)</f>
        <v>0</v>
      </c>
      <c r="H44" s="76" t="str">
        <f>IF(LEFT(D44,4)*1&lt;LEFT('General inputs'!$I$16,4)*1,"",IF(LEFT(D44,4)*1&gt;LEFT('General inputs'!$I$16,4)+'General inputs'!$H$38-1,"",E44/(1+'General inputs'!$H$34)^C44))</f>
        <v/>
      </c>
      <c r="J44" s="94"/>
      <c r="K44" s="94"/>
      <c r="L44" s="76">
        <f>IF(LEFT(D44,4)*1&gt;LEFT('General inputs'!$I$18,4)*1,"",SUMIF('Post-1996 commissioned assets'!$F$22:$F$218,$D44,'Post-1996 commissioned assets'!$P$22:$P$218))</f>
        <v>0</v>
      </c>
      <c r="M44" s="76">
        <f>IF(L44="","",L44/(1+'General inputs'!$H$32)^C44)</f>
        <v>0</v>
      </c>
      <c r="N44" s="76" t="str">
        <f>IF(LEFT(D44,4)*1&lt;LEFT('General inputs'!$I$18,4)*1+1,"",SUMIF('Uncommissioned assets'!$F$22:$F$218,$D44,'Uncommissioned assets'!$P$22:$P$218))</f>
        <v/>
      </c>
      <c r="O44" s="76"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8"/>
      <c r="X44" s="31"/>
      <c r="Y44" s="31"/>
      <c r="Z44" s="31"/>
    </row>
    <row r="45" spans="2:27" hidden="1" x14ac:dyDescent="0.25">
      <c r="B45" s="47"/>
      <c r="C45" s="26">
        <f>IF(D45='General inputs'!$I$16,0,IF(D45&lt;'General inputs'!$I$16,C46-1,C44+1))</f>
        <v>-22</v>
      </c>
      <c r="D45" s="26" t="str">
        <f t="shared" ref="D45:D52" si="2">LEFT(D44,4)+1&amp;"-0"&amp;RIGHT(D44,2)+1</f>
        <v>2001-02</v>
      </c>
      <c r="E45" s="76">
        <f>IF(LEFT(D45,4)*1&gt;LEFT('General inputs'!$I$16,4)+'General inputs'!$H$38-1,"",'ET inputs'!D18)</f>
        <v>0</v>
      </c>
      <c r="F45" s="76">
        <f>IF(LEFT(D45,4)*1&gt;LEFT('General inputs'!$I$16,4)+'General inputs'!$H$38-1,"",E45/(1+'General inputs'!$H$30)^C45)</f>
        <v>0</v>
      </c>
      <c r="G45" s="76">
        <f>IF(LEFT(D45,4)*1&gt;LEFT('General inputs'!$I$16,4)+'General inputs'!$H$38-1,"",E45/(1+'General inputs'!$H$32)^C45)</f>
        <v>0</v>
      </c>
      <c r="H45" s="76" t="str">
        <f>IF(LEFT(D45,4)*1&lt;LEFT('General inputs'!$I$16,4)*1,"",IF(LEFT(D45,4)*1&gt;LEFT('General inputs'!$I$16,4)+'General inputs'!$H$38-1,"",E45/(1+'General inputs'!$H$34)^C45))</f>
        <v/>
      </c>
      <c r="J45" s="94"/>
      <c r="K45" s="94"/>
      <c r="L45" s="76">
        <f>IF(LEFT(D45,4)*1&gt;LEFT('General inputs'!$I$18,4)*1,"",SUMIF('Post-1996 commissioned assets'!$F$22:$F$218,$D45,'Post-1996 commissioned assets'!$P$22:$P$218))</f>
        <v>0</v>
      </c>
      <c r="M45" s="76">
        <f>IF(L45="","",L45/(1+'General inputs'!$H$32)^C45)</f>
        <v>0</v>
      </c>
      <c r="N45" s="76" t="str">
        <f>IF(LEFT(D45,4)*1&lt;LEFT('General inputs'!$I$18,4)*1+1,"",SUMIF('Uncommissioned assets'!$F$22:$F$218,$D45,'Uncommissioned assets'!$P$22:$P$218))</f>
        <v/>
      </c>
      <c r="O45" s="76"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8"/>
      <c r="X45" s="31"/>
      <c r="Y45" s="31"/>
      <c r="Z45" s="31"/>
    </row>
    <row r="46" spans="2:27" hidden="1" x14ac:dyDescent="0.25">
      <c r="B46" s="47"/>
      <c r="C46" s="26">
        <f>IF(D46='General inputs'!$I$16,0,IF(D46&lt;'General inputs'!$I$16,C47-1,C45+1))</f>
        <v>-21</v>
      </c>
      <c r="D46" s="26" t="str">
        <f t="shared" si="2"/>
        <v>2002-03</v>
      </c>
      <c r="E46" s="76">
        <f>IF(LEFT(D46,4)*1&gt;LEFT('General inputs'!$I$16,4)+'General inputs'!$H$38-1,"",'ET inputs'!D19)</f>
        <v>0</v>
      </c>
      <c r="F46" s="76">
        <f>IF(LEFT(D46,4)*1&gt;LEFT('General inputs'!$I$16,4)+'General inputs'!$H$38-1,"",E46/(1+'General inputs'!$H$30)^C46)</f>
        <v>0</v>
      </c>
      <c r="G46" s="76">
        <f>IF(LEFT(D46,4)*1&gt;LEFT('General inputs'!$I$16,4)+'General inputs'!$H$38-1,"",E46/(1+'General inputs'!$H$32)^C46)</f>
        <v>0</v>
      </c>
      <c r="H46" s="76" t="str">
        <f>IF(LEFT(D46,4)*1&lt;LEFT('General inputs'!$I$16,4)*1,"",IF(LEFT(D46,4)*1&gt;LEFT('General inputs'!$I$16,4)+'General inputs'!$H$38-1,"",E46/(1+'General inputs'!$H$34)^C46))</f>
        <v/>
      </c>
      <c r="J46" s="94"/>
      <c r="K46" s="94"/>
      <c r="L46" s="76">
        <f>IF(LEFT(D46,4)*1&gt;LEFT('General inputs'!$I$18,4)*1,"",SUMIF('Post-1996 commissioned assets'!$F$22:$F$218,$D46,'Post-1996 commissioned assets'!$P$22:$P$218))</f>
        <v>0</v>
      </c>
      <c r="M46" s="76">
        <f>IF(L46="","",L46/(1+'General inputs'!$H$32)^C46)</f>
        <v>0</v>
      </c>
      <c r="N46" s="76" t="str">
        <f>IF(LEFT(D46,4)*1&lt;LEFT('General inputs'!$I$18,4)*1+1,"",SUMIF('Uncommissioned assets'!$F$22:$F$218,$D46,'Uncommissioned assets'!$P$22:$P$218))</f>
        <v/>
      </c>
      <c r="O46" s="76"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8"/>
      <c r="X46" s="31"/>
      <c r="Y46" s="31"/>
      <c r="Z46" s="31"/>
    </row>
    <row r="47" spans="2:27" hidden="1" x14ac:dyDescent="0.25">
      <c r="B47" s="47"/>
      <c r="C47" s="26">
        <f>IF(D47='General inputs'!$I$16,0,IF(D47&lt;'General inputs'!$I$16,C48-1,C46+1))</f>
        <v>-20</v>
      </c>
      <c r="D47" s="26" t="str">
        <f t="shared" si="2"/>
        <v>2003-04</v>
      </c>
      <c r="E47" s="76">
        <f>IF(LEFT(D47,4)*1&gt;LEFT('General inputs'!$I$16,4)+'General inputs'!$H$38-1,"",'ET inputs'!D20)</f>
        <v>0</v>
      </c>
      <c r="F47" s="76">
        <f>IF(LEFT(D47,4)*1&gt;LEFT('General inputs'!$I$16,4)+'General inputs'!$H$38-1,"",E47/(1+'General inputs'!$H$30)^C47)</f>
        <v>0</v>
      </c>
      <c r="G47" s="76">
        <f>IF(LEFT(D47,4)*1&gt;LEFT('General inputs'!$I$16,4)+'General inputs'!$H$38-1,"",E47/(1+'General inputs'!$H$32)^C47)</f>
        <v>0</v>
      </c>
      <c r="H47" s="76" t="str">
        <f>IF(LEFT(D47,4)*1&lt;LEFT('General inputs'!$I$16,4)*1,"",IF(LEFT(D47,4)*1&gt;LEFT('General inputs'!$I$16,4)+'General inputs'!$H$38-1,"",E47/(1+'General inputs'!$H$34)^C47))</f>
        <v/>
      </c>
      <c r="J47" s="94"/>
      <c r="K47" s="94"/>
      <c r="L47" s="76">
        <f>IF(LEFT(D47,4)*1&gt;LEFT('General inputs'!$I$18,4)*1,"",SUMIF('Post-1996 commissioned assets'!$F$22:$F$218,$D47,'Post-1996 commissioned assets'!$P$22:$P$218))</f>
        <v>0</v>
      </c>
      <c r="M47" s="76">
        <f>IF(L47="","",L47/(1+'General inputs'!$H$32)^C47)</f>
        <v>0</v>
      </c>
      <c r="N47" s="76" t="str">
        <f>IF(LEFT(D47,4)*1&lt;LEFT('General inputs'!$I$18,4)*1+1,"",SUMIF('Uncommissioned assets'!$F$22:$F$218,$D47,'Uncommissioned assets'!$P$22:$P$218))</f>
        <v/>
      </c>
      <c r="O47" s="76"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8"/>
      <c r="X47" s="31"/>
      <c r="Y47" s="31"/>
      <c r="Z47" s="31"/>
    </row>
    <row r="48" spans="2:27" hidden="1" x14ac:dyDescent="0.25">
      <c r="B48" s="47"/>
      <c r="C48" s="26">
        <f>IF(D48='General inputs'!$I$16,0,IF(D48&lt;'General inputs'!$I$16,C49-1,C47+1))</f>
        <v>-19</v>
      </c>
      <c r="D48" s="26" t="str">
        <f t="shared" si="2"/>
        <v>2004-05</v>
      </c>
      <c r="E48" s="76">
        <f>IF(LEFT(D48,4)*1&gt;LEFT('General inputs'!$I$16,4)+'General inputs'!$H$38-1,"",'ET inputs'!D21)</f>
        <v>0</v>
      </c>
      <c r="F48" s="76">
        <f>IF(LEFT(D48,4)*1&gt;LEFT('General inputs'!$I$16,4)+'General inputs'!$H$38-1,"",E48/(1+'General inputs'!$H$30)^C48)</f>
        <v>0</v>
      </c>
      <c r="G48" s="76">
        <f>IF(LEFT(D48,4)*1&gt;LEFT('General inputs'!$I$16,4)+'General inputs'!$H$38-1,"",E48/(1+'General inputs'!$H$32)^C48)</f>
        <v>0</v>
      </c>
      <c r="H48" s="76" t="str">
        <f>IF(LEFT(D48,4)*1&lt;LEFT('General inputs'!$I$16,4)*1,"",IF(LEFT(D48,4)*1&gt;LEFT('General inputs'!$I$16,4)+'General inputs'!$H$38-1,"",E48/(1+'General inputs'!$H$34)^C48))</f>
        <v/>
      </c>
      <c r="J48" s="94"/>
      <c r="K48" s="94"/>
      <c r="L48" s="76">
        <f>IF(LEFT(D48,4)*1&gt;LEFT('General inputs'!$I$18,4)*1,"",SUMIF('Post-1996 commissioned assets'!$F$22:$F$218,$D48,'Post-1996 commissioned assets'!$P$22:$P$218))</f>
        <v>0</v>
      </c>
      <c r="M48" s="76">
        <f>IF(L48="","",L48/(1+'General inputs'!$H$32)^C48)</f>
        <v>0</v>
      </c>
      <c r="N48" s="76" t="str">
        <f>IF(LEFT(D48,4)*1&lt;LEFT('General inputs'!$I$18,4)*1+1,"",SUMIF('Uncommissioned assets'!$F$22:$F$218,$D48,'Uncommissioned assets'!$P$22:$P$218))</f>
        <v/>
      </c>
      <c r="O48" s="76" t="str">
        <f>IF(N48="","",N48/(1+'General inputs'!$H$32)^C48)</f>
        <v/>
      </c>
      <c r="Q48" s="81"/>
      <c r="R48" s="76" t="str">
        <f>IF(OR(LEFT(D48,4)*1&lt;LEFT('General inputs'!$I$16,4)*1,LEFT(D48,4)*1&gt;LEFT('General inputs'!$I$16,4)+'General inputs'!$H$38-1),"",Q48/(1+'General inputs'!$H$34)^C48)</f>
        <v/>
      </c>
      <c r="T48" s="81"/>
      <c r="U48" s="76" t="str">
        <f>IF(OR(LEFT(D48,4)*1&lt;LEFT('General inputs'!$I$16,4)*1,LEFT(D48,4)*1&gt;LEFT('General inputs'!$I$16,4)+'General inputs'!$H$38-1),"",T48/(1+'General inputs'!$H$34)^C48)</f>
        <v/>
      </c>
      <c r="V48" s="48"/>
      <c r="X48" s="31"/>
      <c r="Y48" s="31"/>
      <c r="Z48" s="31"/>
    </row>
    <row r="49" spans="2:26" hidden="1" x14ac:dyDescent="0.25">
      <c r="B49" s="47"/>
      <c r="C49" s="26">
        <f>IF(D49='General inputs'!$I$16,0,IF(D49&lt;'General inputs'!$I$16,C50-1,C48+1))</f>
        <v>-18</v>
      </c>
      <c r="D49" s="26" t="str">
        <f t="shared" si="2"/>
        <v>2005-06</v>
      </c>
      <c r="E49" s="76">
        <f>IF(LEFT(D49,4)*1&gt;LEFT('General inputs'!$I$16,4)+'General inputs'!$H$38-1,"",'ET inputs'!D22)</f>
        <v>0</v>
      </c>
      <c r="F49" s="76">
        <f>IF(LEFT(D49,4)*1&gt;LEFT('General inputs'!$I$16,4)+'General inputs'!$H$38-1,"",E49/(1+'General inputs'!$H$30)^C49)</f>
        <v>0</v>
      </c>
      <c r="G49" s="76">
        <f>IF(LEFT(D49,4)*1&gt;LEFT('General inputs'!$I$16,4)+'General inputs'!$H$38-1,"",E49/(1+'General inputs'!$H$32)^C49)</f>
        <v>0</v>
      </c>
      <c r="H49" s="76" t="str">
        <f>IF(LEFT(D49,4)*1&lt;LEFT('General inputs'!$I$16,4)*1,"",IF(LEFT(D49,4)*1&gt;LEFT('General inputs'!$I$16,4)+'General inputs'!$H$38-1,"",E49/(1+'General inputs'!$H$34)^C49))</f>
        <v/>
      </c>
      <c r="J49" s="94"/>
      <c r="K49" s="94"/>
      <c r="L49" s="76">
        <f>IF(LEFT(D49,4)*1&gt;LEFT('General inputs'!$I$18,4)*1,"",SUMIF('Post-1996 commissioned assets'!$F$22:$F$218,$D49,'Post-1996 commissioned assets'!$P$22:$P$218))</f>
        <v>0</v>
      </c>
      <c r="M49" s="76">
        <f>IF(L49="","",L49/(1+'General inputs'!$H$32)^C49)</f>
        <v>0</v>
      </c>
      <c r="N49" s="76" t="str">
        <f>IF(LEFT(D49,4)*1&lt;LEFT('General inputs'!$I$18,4)*1+1,"",SUMIF('Uncommissioned assets'!$F$22:$F$218,$D49,'Uncommissioned assets'!$P$22:$P$218))</f>
        <v/>
      </c>
      <c r="O49" s="76"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8"/>
      <c r="X49" s="31"/>
      <c r="Y49" s="31"/>
      <c r="Z49" s="31"/>
    </row>
    <row r="50" spans="2:26" hidden="1" x14ac:dyDescent="0.25">
      <c r="B50" s="47"/>
      <c r="C50" s="26">
        <f>IF(D50='General inputs'!$I$16,0,IF(D50&lt;'General inputs'!$I$16,C51-1,C49+1))</f>
        <v>-17</v>
      </c>
      <c r="D50" s="26" t="str">
        <f t="shared" si="2"/>
        <v>2006-07</v>
      </c>
      <c r="E50" s="76">
        <f>IF(LEFT(D50,4)*1&gt;LEFT('General inputs'!$I$16,4)+'General inputs'!$H$38-1,"",'ET inputs'!D23)</f>
        <v>0</v>
      </c>
      <c r="F50" s="76">
        <f>IF(LEFT(D50,4)*1&gt;LEFT('General inputs'!$I$16,4)+'General inputs'!$H$38-1,"",E50/(1+'General inputs'!$H$30)^C50)</f>
        <v>0</v>
      </c>
      <c r="G50" s="76">
        <f>IF(LEFT(D50,4)*1&gt;LEFT('General inputs'!$I$16,4)+'General inputs'!$H$38-1,"",E50/(1+'General inputs'!$H$32)^C50)</f>
        <v>0</v>
      </c>
      <c r="H50" s="76" t="str">
        <f>IF(LEFT(D50,4)*1&lt;LEFT('General inputs'!$I$16,4)*1,"",IF(LEFT(D50,4)*1&gt;LEFT('General inputs'!$I$16,4)+'General inputs'!$H$38-1,"",E50/(1+'General inputs'!$H$34)^C50))</f>
        <v/>
      </c>
      <c r="J50" s="94"/>
      <c r="K50" s="94"/>
      <c r="L50" s="76">
        <f>IF(LEFT(D50,4)*1&gt;LEFT('General inputs'!$I$18,4)*1,"",SUMIF('Post-1996 commissioned assets'!$F$22:$F$218,$D50,'Post-1996 commissioned assets'!$P$22:$P$218))</f>
        <v>0</v>
      </c>
      <c r="M50" s="76">
        <f>IF(L50="","",L50/(1+'General inputs'!$H$32)^C50)</f>
        <v>0</v>
      </c>
      <c r="N50" s="76" t="str">
        <f>IF(LEFT(D50,4)*1&lt;LEFT('General inputs'!$I$18,4)*1+1,"",SUMIF('Uncommissioned assets'!$F$22:$F$218,$D50,'Uncommissioned assets'!$P$22:$P$218))</f>
        <v/>
      </c>
      <c r="O50" s="76"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8"/>
      <c r="X50" s="31"/>
      <c r="Y50" s="31"/>
      <c r="Z50" s="31"/>
    </row>
    <row r="51" spans="2:26" hidden="1" x14ac:dyDescent="0.25">
      <c r="B51" s="47"/>
      <c r="C51" s="26">
        <f>IF(D51='General inputs'!$I$16,0,IF(D51&lt;'General inputs'!$I$16,C52-1,C50+1))</f>
        <v>-16</v>
      </c>
      <c r="D51" s="26" t="str">
        <f t="shared" si="2"/>
        <v>2007-08</v>
      </c>
      <c r="E51" s="76">
        <f>IF(LEFT(D51,4)*1&gt;LEFT('General inputs'!$I$16,4)+'General inputs'!$H$38-1,"",'ET inputs'!D24)</f>
        <v>0</v>
      </c>
      <c r="F51" s="76">
        <f>IF(LEFT(D51,4)*1&gt;LEFT('General inputs'!$I$16,4)+'General inputs'!$H$38-1,"",E51/(1+'General inputs'!$H$30)^C51)</f>
        <v>0</v>
      </c>
      <c r="G51" s="76">
        <f>IF(LEFT(D51,4)*1&gt;LEFT('General inputs'!$I$16,4)+'General inputs'!$H$38-1,"",E51/(1+'General inputs'!$H$32)^C51)</f>
        <v>0</v>
      </c>
      <c r="H51" s="76" t="str">
        <f>IF(LEFT(D51,4)*1&lt;LEFT('General inputs'!$I$16,4)*1,"",IF(LEFT(D51,4)*1&gt;LEFT('General inputs'!$I$16,4)+'General inputs'!$H$38-1,"",E51/(1+'General inputs'!$H$34)^C51))</f>
        <v/>
      </c>
      <c r="J51" s="94"/>
      <c r="K51" s="94"/>
      <c r="L51" s="76">
        <f>IF(LEFT(D51,4)*1&gt;LEFT('General inputs'!$I$18,4)*1,"",SUMIF('Post-1996 commissioned assets'!$F$22:$F$218,$D51,'Post-1996 commissioned assets'!$P$22:$P$218))</f>
        <v>0</v>
      </c>
      <c r="M51" s="76">
        <f>IF(L51="","",L51/(1+'General inputs'!$H$32)^C51)</f>
        <v>0</v>
      </c>
      <c r="N51" s="76" t="str">
        <f>IF(LEFT(D51,4)*1&lt;LEFT('General inputs'!$I$18,4)*1+1,"",SUMIF('Uncommissioned assets'!$F$22:$F$218,$D51,'Uncommissioned assets'!$P$22:$P$218))</f>
        <v/>
      </c>
      <c r="O51" s="76"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8"/>
      <c r="X51" s="31"/>
      <c r="Y51" s="31"/>
      <c r="Z51" s="31"/>
    </row>
    <row r="52" spans="2:26" ht="12" hidden="1" thickBot="1" x14ac:dyDescent="0.3">
      <c r="B52" s="47"/>
      <c r="C52" s="26">
        <f>IF(D52='General inputs'!$I$16,0,IF(D52&lt;'General inputs'!$I$16,C53-1,C51+1))</f>
        <v>-15</v>
      </c>
      <c r="D52" s="78" t="str">
        <f t="shared" si="2"/>
        <v>2008-09</v>
      </c>
      <c r="E52" s="76">
        <f>IF(LEFT(D52,4)*1&gt;LEFT('General inputs'!$I$16,4)+'General inputs'!$H$38-1,"",'ET inputs'!D25)</f>
        <v>0</v>
      </c>
      <c r="F52" s="76">
        <f>IF(LEFT(D52,4)*1&gt;LEFT('General inputs'!$I$16,4)+'General inputs'!$H$38-1,"",E52/(1+'General inputs'!$H$30)^C52)</f>
        <v>0</v>
      </c>
      <c r="G52" s="76">
        <f>IF(LEFT(D52,4)*1&gt;LEFT('General inputs'!$I$16,4)+'General inputs'!$H$38-1,"",E52/(1+'General inputs'!$H$32)^C52)</f>
        <v>0</v>
      </c>
      <c r="H52" s="76" t="str">
        <f>IF(LEFT(D52,4)*1&lt;LEFT('General inputs'!$I$16,4)*1,"",IF(LEFT(D52,4)*1&gt;LEFT('General inputs'!$I$16,4)+'General inputs'!$H$38-1,"",E52/(1+'General inputs'!$H$34)^C52))</f>
        <v/>
      </c>
      <c r="J52" s="94"/>
      <c r="K52" s="94"/>
      <c r="L52" s="76">
        <f>IF(LEFT(D52,4)*1&gt;LEFT('General inputs'!$I$18,4)*1,"",SUMIF('Post-1996 commissioned assets'!$F$22:$F$218,$D52,'Post-1996 commissioned assets'!$P$22:$P$218))</f>
        <v>0</v>
      </c>
      <c r="M52" s="76">
        <f>IF(L52="","",L52/(1+'General inputs'!$H$32)^C52)</f>
        <v>0</v>
      </c>
      <c r="N52" s="76" t="str">
        <f>IF(LEFT(D52,4)*1&lt;LEFT('General inputs'!$I$18,4)*1+1,"",SUMIF('Uncommissioned assets'!$F$22:$F$218,$D52,'Uncommissioned assets'!$P$22:$P$218))</f>
        <v/>
      </c>
      <c r="O52" s="76"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8"/>
      <c r="X52" s="31"/>
      <c r="Y52" s="31"/>
      <c r="Z52" s="31"/>
    </row>
    <row r="53" spans="2:26" ht="12" hidden="1" thickTop="1" x14ac:dyDescent="0.25">
      <c r="B53" s="47"/>
      <c r="C53" s="26">
        <f>IF(D53='General inputs'!$I$16,0,IF(D53&lt;'General inputs'!$I$16,C54-1,C52+1))</f>
        <v>-14</v>
      </c>
      <c r="D53" s="80" t="str">
        <f t="shared" si="1"/>
        <v>2009-10</v>
      </c>
      <c r="E53" s="76">
        <f>IF(LEFT(D53,4)*1&gt;LEFT('General inputs'!$I$16,4)+'General inputs'!$H$38-1,"",'ET inputs'!D26)</f>
        <v>0</v>
      </c>
      <c r="F53" s="76">
        <f>IF(LEFT(D53,4)*1&gt;LEFT('General inputs'!$I$16,4)+'General inputs'!$H$38-1,"",E53/(1+'General inputs'!$H$30)^C53)</f>
        <v>0</v>
      </c>
      <c r="G53" s="76">
        <f>IF(LEFT(D53,4)*1&gt;LEFT('General inputs'!$I$16,4)+'General inputs'!$H$38-1,"",E53/(1+'General inputs'!$H$32)^C53)</f>
        <v>0</v>
      </c>
      <c r="H53" s="76" t="str">
        <f>IF(LEFT(D53,4)*1&lt;LEFT('General inputs'!$I$16,4)*1,"",IF(LEFT(D53,4)*1&gt;LEFT('General inputs'!$I$16,4)+'General inputs'!$H$38-1,"",E53/(1+'General inputs'!$H$34)^C53))</f>
        <v/>
      </c>
      <c r="J53" s="94"/>
      <c r="K53" s="94"/>
      <c r="L53" s="76">
        <f>IF(LEFT(D53,4)*1&gt;LEFT('General inputs'!$I$18,4)*1,"",SUMIF('Post-1996 commissioned assets'!$F$22:$F$218,$D53,'Post-1996 commissioned assets'!$P$22:$P$218))</f>
        <v>0</v>
      </c>
      <c r="M53" s="76">
        <f>IF(L53="","",L53/(1+'General inputs'!$H$32)^C53)</f>
        <v>0</v>
      </c>
      <c r="N53" s="76" t="str">
        <f>IF(LEFT(D53,4)*1&lt;LEFT('General inputs'!$I$18,4)*1+1,"",SUMIF('Uncommissioned assets'!$F$22:$F$218,$D53,'Uncommissioned assets'!$P$22:$P$218))</f>
        <v/>
      </c>
      <c r="O53" s="76"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8"/>
      <c r="X53" s="31"/>
      <c r="Y53" s="31"/>
      <c r="Z53" s="31"/>
    </row>
    <row r="54" spans="2:26" hidden="1" x14ac:dyDescent="0.25">
      <c r="B54" s="47"/>
      <c r="C54" s="26">
        <f>IF(D54='General inputs'!$I$16,0,IF(D54&lt;'General inputs'!$I$16,C55-1,C53+1))</f>
        <v>-13</v>
      </c>
      <c r="D54" s="26" t="str">
        <f t="shared" si="1"/>
        <v>2010-11</v>
      </c>
      <c r="E54" s="76">
        <f>IF(LEFT(D54,4)*1&gt;LEFT('General inputs'!$I$16,4)+'General inputs'!$H$38-1,"",'ET inputs'!D27)</f>
        <v>0</v>
      </c>
      <c r="F54" s="76">
        <f>IF(LEFT(D54,4)*1&gt;LEFT('General inputs'!$I$16,4)+'General inputs'!$H$38-1,"",E54/(1+'General inputs'!$H$30)^C54)</f>
        <v>0</v>
      </c>
      <c r="G54" s="76">
        <f>IF(LEFT(D54,4)*1&gt;LEFT('General inputs'!$I$16,4)+'General inputs'!$H$38-1,"",E54/(1+'General inputs'!$H$32)^C54)</f>
        <v>0</v>
      </c>
      <c r="H54" s="76" t="str">
        <f>IF(LEFT(D54,4)*1&lt;LEFT('General inputs'!$I$16,4)*1,"",IF(LEFT(D54,4)*1&gt;LEFT('General inputs'!$I$16,4)+'General inputs'!$H$38-1,"",E54/(1+'General inputs'!$H$34)^C54))</f>
        <v/>
      </c>
      <c r="J54" s="94"/>
      <c r="K54" s="94"/>
      <c r="L54" s="76">
        <f>IF(LEFT(D54,4)*1&gt;LEFT('General inputs'!$I$18,4)*1,"",SUMIF('Post-1996 commissioned assets'!$F$22:$F$218,$D54,'Post-1996 commissioned assets'!$P$22:$P$218))</f>
        <v>0</v>
      </c>
      <c r="M54" s="76">
        <f>IF(L54="","",L54/(1+'General inputs'!$H$32)^C54)</f>
        <v>0</v>
      </c>
      <c r="N54" s="76" t="str">
        <f>IF(LEFT(D54,4)*1&lt;LEFT('General inputs'!$I$18,4)*1+1,"",SUMIF('Uncommissioned assets'!$F$22:$F$218,$D54,'Uncommissioned assets'!$P$22:$P$218))</f>
        <v/>
      </c>
      <c r="O54" s="76"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8"/>
      <c r="X54" s="31"/>
      <c r="Y54" s="31"/>
      <c r="Z54" s="31"/>
    </row>
    <row r="55" spans="2:26" hidden="1" x14ac:dyDescent="0.25">
      <c r="B55" s="47"/>
      <c r="C55" s="26">
        <f>IF(D55='General inputs'!$I$16,0,IF(D55&lt;'General inputs'!$I$16,C56-1,C54+1))</f>
        <v>-12</v>
      </c>
      <c r="D55" s="26" t="str">
        <f t="shared" si="1"/>
        <v>2011-12</v>
      </c>
      <c r="E55" s="76">
        <f>IF(LEFT(D55,4)*1&gt;LEFT('General inputs'!$I$16,4)+'General inputs'!$H$38-1,"",'ET inputs'!D28)</f>
        <v>0</v>
      </c>
      <c r="F55" s="76">
        <f>IF(LEFT(D55,4)*1&gt;LEFT('General inputs'!$I$16,4)+'General inputs'!$H$38-1,"",E55/(1+'General inputs'!$H$30)^C55)</f>
        <v>0</v>
      </c>
      <c r="G55" s="76">
        <f>IF(LEFT(D55,4)*1&gt;LEFT('General inputs'!$I$16,4)+'General inputs'!$H$38-1,"",E55/(1+'General inputs'!$H$32)^C55)</f>
        <v>0</v>
      </c>
      <c r="H55" s="76" t="str">
        <f>IF(LEFT(D55,4)*1&lt;LEFT('General inputs'!$I$16,4)*1,"",IF(LEFT(D55,4)*1&gt;LEFT('General inputs'!$I$16,4)+'General inputs'!$H$38-1,"",E55/(1+'General inputs'!$H$34)^C55))</f>
        <v/>
      </c>
      <c r="J55" s="94"/>
      <c r="K55" s="94"/>
      <c r="L55" s="76">
        <f>IF(LEFT(D55,4)*1&gt;LEFT('General inputs'!$I$18,4)*1,"",SUMIF('Post-1996 commissioned assets'!$F$22:$F$218,$D55,'Post-1996 commissioned assets'!$P$22:$P$218))</f>
        <v>0</v>
      </c>
      <c r="M55" s="76">
        <f>IF(L55="","",L55/(1+'General inputs'!$H$32)^C55)</f>
        <v>0</v>
      </c>
      <c r="N55" s="76" t="str">
        <f>IF(LEFT(D55,4)*1&lt;LEFT('General inputs'!$I$18,4)*1+1,"",SUMIF('Uncommissioned assets'!$F$22:$F$218,$D55,'Uncommissioned assets'!$P$22:$P$218))</f>
        <v/>
      </c>
      <c r="O55" s="76"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8"/>
      <c r="X55" s="31"/>
      <c r="Y55" s="31"/>
      <c r="Z55" s="31"/>
    </row>
    <row r="56" spans="2:26" hidden="1" x14ac:dyDescent="0.25">
      <c r="B56" s="47"/>
      <c r="C56" s="26">
        <f>IF(D56='General inputs'!$I$16,0,IF(D56&lt;'General inputs'!$I$16,C57-1,C55+1))</f>
        <v>-11</v>
      </c>
      <c r="D56" s="26" t="str">
        <f t="shared" si="1"/>
        <v>2012-13</v>
      </c>
      <c r="E56" s="76">
        <f>IF(LEFT(D56,4)*1&gt;LEFT('General inputs'!$I$16,4)+'General inputs'!$H$38-1,"",'ET inputs'!D29)</f>
        <v>0</v>
      </c>
      <c r="F56" s="76">
        <f>IF(LEFT(D56,4)*1&gt;LEFT('General inputs'!$I$16,4)+'General inputs'!$H$38-1,"",E56/(1+'General inputs'!$H$30)^C56)</f>
        <v>0</v>
      </c>
      <c r="G56" s="76">
        <f>IF(LEFT(D56,4)*1&gt;LEFT('General inputs'!$I$16,4)+'General inputs'!$H$38-1,"",E56/(1+'General inputs'!$H$32)^C56)</f>
        <v>0</v>
      </c>
      <c r="H56" s="76" t="str">
        <f>IF(LEFT(D56,4)*1&lt;LEFT('General inputs'!$I$16,4)*1,"",IF(LEFT(D56,4)*1&gt;LEFT('General inputs'!$I$16,4)+'General inputs'!$H$38-1,"",E56/(1+'General inputs'!$H$34)^C56))</f>
        <v/>
      </c>
      <c r="J56" s="94"/>
      <c r="K56" s="94"/>
      <c r="L56" s="76">
        <f>IF(LEFT(D56,4)*1&gt;LEFT('General inputs'!$I$18,4)*1,"",SUMIF('Post-1996 commissioned assets'!$F$22:$F$218,$D56,'Post-1996 commissioned assets'!$P$22:$P$218))</f>
        <v>0</v>
      </c>
      <c r="M56" s="76">
        <f>IF(L56="","",L56/(1+'General inputs'!$H$32)^C56)</f>
        <v>0</v>
      </c>
      <c r="N56" s="76" t="str">
        <f>IF(LEFT(D56,4)*1&lt;LEFT('General inputs'!$I$18,4)*1+1,"",SUMIF('Uncommissioned assets'!$F$22:$F$218,$D56,'Uncommissioned assets'!$P$22:$P$218))</f>
        <v/>
      </c>
      <c r="O56" s="76"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8"/>
      <c r="X56" s="31"/>
      <c r="Y56" s="31"/>
      <c r="Z56" s="31"/>
    </row>
    <row r="57" spans="2:26" hidden="1" x14ac:dyDescent="0.25">
      <c r="B57" s="47"/>
      <c r="C57" s="26">
        <f>IF(D57='General inputs'!$I$16,0,IF(D57&lt;'General inputs'!$I$16,C58-1,C56+1))</f>
        <v>-10</v>
      </c>
      <c r="D57" s="26" t="str">
        <f t="shared" si="1"/>
        <v>2013-14</v>
      </c>
      <c r="E57" s="76">
        <f>IF(LEFT(D57,4)*1&gt;LEFT('General inputs'!$I$16,4)+'General inputs'!$H$38-1,"",'ET inputs'!D30)</f>
        <v>0</v>
      </c>
      <c r="F57" s="76">
        <f>IF(LEFT(D57,4)*1&gt;LEFT('General inputs'!$I$16,4)+'General inputs'!$H$38-1,"",E57/(1+'General inputs'!$H$30)^C57)</f>
        <v>0</v>
      </c>
      <c r="G57" s="76">
        <f>IF(LEFT(D57,4)*1&gt;LEFT('General inputs'!$I$16,4)+'General inputs'!$H$38-1,"",E57/(1+'General inputs'!$H$32)^C57)</f>
        <v>0</v>
      </c>
      <c r="H57" s="76" t="str">
        <f>IF(LEFT(D57,4)*1&lt;LEFT('General inputs'!$I$16,4)*1,"",IF(LEFT(D57,4)*1&gt;LEFT('General inputs'!$I$16,4)+'General inputs'!$H$38-1,"",E57/(1+'General inputs'!$H$34)^C57))</f>
        <v/>
      </c>
      <c r="J57" s="94"/>
      <c r="K57" s="94"/>
      <c r="L57" s="76">
        <f>IF(LEFT(D57,4)*1&gt;LEFT('General inputs'!$I$18,4)*1,"",SUMIF('Post-1996 commissioned assets'!$F$22:$F$218,$D57,'Post-1996 commissioned assets'!$P$22:$P$218))</f>
        <v>0</v>
      </c>
      <c r="M57" s="76">
        <f>IF(L57="","",L57/(1+'General inputs'!$H$32)^C57)</f>
        <v>0</v>
      </c>
      <c r="N57" s="76" t="str">
        <f>IF(LEFT(D57,4)*1&lt;LEFT('General inputs'!$I$18,4)*1+1,"",SUMIF('Uncommissioned assets'!$F$22:$F$218,$D57,'Uncommissioned assets'!$P$22:$P$218))</f>
        <v/>
      </c>
      <c r="O57" s="76"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8"/>
      <c r="X57" s="31"/>
      <c r="Y57" s="31"/>
      <c r="Z57" s="31"/>
    </row>
    <row r="58" spans="2:26" hidden="1" x14ac:dyDescent="0.25">
      <c r="B58" s="47"/>
      <c r="C58" s="26">
        <f>IF(D58='General inputs'!$I$16,0,IF(D58&lt;'General inputs'!$I$16,C59-1,C57+1))</f>
        <v>-9</v>
      </c>
      <c r="D58" s="26" t="str">
        <f t="shared" si="1"/>
        <v>2014-15</v>
      </c>
      <c r="E58" s="76">
        <f>IF(LEFT(D58,4)*1&gt;LEFT('General inputs'!$I$16,4)+'General inputs'!$H$38-1,"",'ET inputs'!D31)</f>
        <v>0</v>
      </c>
      <c r="F58" s="76">
        <f>IF(LEFT(D58,4)*1&gt;LEFT('General inputs'!$I$16,4)+'General inputs'!$H$38-1,"",E58/(1+'General inputs'!$H$30)^C58)</f>
        <v>0</v>
      </c>
      <c r="G58" s="76">
        <f>IF(LEFT(D58,4)*1&gt;LEFT('General inputs'!$I$16,4)+'General inputs'!$H$38-1,"",E58/(1+'General inputs'!$H$32)^C58)</f>
        <v>0</v>
      </c>
      <c r="H58" s="76" t="str">
        <f>IF(LEFT(D58,4)*1&lt;LEFT('General inputs'!$I$16,4)*1,"",IF(LEFT(D58,4)*1&gt;LEFT('General inputs'!$I$16,4)+'General inputs'!$H$38-1,"",E58/(1+'General inputs'!$H$34)^C58))</f>
        <v/>
      </c>
      <c r="J58" s="94"/>
      <c r="K58" s="94"/>
      <c r="L58" s="76">
        <f>IF(LEFT(D58,4)*1&gt;LEFT('General inputs'!$I$18,4)*1,"",SUMIF('Post-1996 commissioned assets'!$F$22:$F$218,$D58,'Post-1996 commissioned assets'!$P$22:$P$218))</f>
        <v>0</v>
      </c>
      <c r="M58" s="76">
        <f>IF(L58="","",L58/(1+'General inputs'!$H$32)^C58)</f>
        <v>0</v>
      </c>
      <c r="N58" s="76" t="str">
        <f>IF(LEFT(D58,4)*1&lt;LEFT('General inputs'!$I$18,4)*1+1,"",SUMIF('Uncommissioned assets'!$F$22:$F$218,$D58,'Uncommissioned assets'!$P$22:$P$218))</f>
        <v/>
      </c>
      <c r="O58" s="76"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8"/>
      <c r="X58" s="31"/>
      <c r="Y58" s="31"/>
      <c r="Z58" s="31"/>
    </row>
    <row r="59" spans="2:26" hidden="1" x14ac:dyDescent="0.25">
      <c r="B59" s="47"/>
      <c r="C59" s="26">
        <f>IF(D59='General inputs'!$I$16,0,IF(D59&lt;'General inputs'!$I$16,C60-1,C58+1))</f>
        <v>-8</v>
      </c>
      <c r="D59" s="26" t="str">
        <f t="shared" si="1"/>
        <v>2015-16</v>
      </c>
      <c r="E59" s="76">
        <f>IF(LEFT(D59,4)*1&gt;LEFT('General inputs'!$I$16,4)+'General inputs'!$H$38-1,"",'ET inputs'!D32)</f>
        <v>0</v>
      </c>
      <c r="F59" s="76">
        <f>IF(LEFT(D59,4)*1&gt;LEFT('General inputs'!$I$16,4)+'General inputs'!$H$38-1,"",E59/(1+'General inputs'!$H$30)^C59)</f>
        <v>0</v>
      </c>
      <c r="G59" s="76">
        <f>IF(LEFT(D59,4)*1&gt;LEFT('General inputs'!$I$16,4)+'General inputs'!$H$38-1,"",E59/(1+'General inputs'!$H$32)^C59)</f>
        <v>0</v>
      </c>
      <c r="H59" s="76" t="str">
        <f>IF(LEFT(D59,4)*1&lt;LEFT('General inputs'!$I$16,4)*1,"",IF(LEFT(D59,4)*1&gt;LEFT('General inputs'!$I$16,4)+'General inputs'!$H$38-1,"",E59/(1+'General inputs'!$H$34)^C59))</f>
        <v/>
      </c>
      <c r="J59" s="94"/>
      <c r="K59" s="94"/>
      <c r="L59" s="76">
        <f>IF(LEFT(D59,4)*1&gt;LEFT('General inputs'!$I$18,4)*1,"",SUMIF('Post-1996 commissioned assets'!$F$22:$F$218,$D59,'Post-1996 commissioned assets'!$P$22:$P$218))</f>
        <v>0</v>
      </c>
      <c r="M59" s="76">
        <f>IF(L59="","",L59/(1+'General inputs'!$H$32)^C59)</f>
        <v>0</v>
      </c>
      <c r="N59" s="76" t="str">
        <f>IF(LEFT(D59,4)*1&lt;LEFT('General inputs'!$I$18,4)*1+1,"",SUMIF('Uncommissioned assets'!$F$22:$F$218,$D59,'Uncommissioned assets'!$P$22:$P$218))</f>
        <v/>
      </c>
      <c r="O59" s="76"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8"/>
      <c r="X59" s="31"/>
      <c r="Y59" s="31"/>
      <c r="Z59" s="31"/>
    </row>
    <row r="60" spans="2:26" hidden="1" x14ac:dyDescent="0.25">
      <c r="B60" s="47"/>
      <c r="C60" s="26">
        <f>IF(D60='General inputs'!$I$16,0,IF(D60&lt;'General inputs'!$I$16,C61-1,C59+1))</f>
        <v>-7</v>
      </c>
      <c r="D60" s="26" t="str">
        <f t="shared" si="1"/>
        <v>2016-17</v>
      </c>
      <c r="E60" s="76">
        <f>IF(LEFT(D60,4)*1&gt;LEFT('General inputs'!$I$16,4)+'General inputs'!$H$38-1,"",'ET inputs'!D33)</f>
        <v>0</v>
      </c>
      <c r="F60" s="76">
        <f>IF(LEFT(D60,4)*1&gt;LEFT('General inputs'!$I$16,4)+'General inputs'!$H$38-1,"",E60/(1+'General inputs'!$H$30)^C60)</f>
        <v>0</v>
      </c>
      <c r="G60" s="76">
        <f>IF(LEFT(D60,4)*1&gt;LEFT('General inputs'!$I$16,4)+'General inputs'!$H$38-1,"",E60/(1+'General inputs'!$H$32)^C60)</f>
        <v>0</v>
      </c>
      <c r="H60" s="76" t="str">
        <f>IF(LEFT(D60,4)*1&lt;LEFT('General inputs'!$I$16,4)*1,"",IF(LEFT(D60,4)*1&gt;LEFT('General inputs'!$I$16,4)+'General inputs'!$H$38-1,"",E60/(1+'General inputs'!$H$34)^C60))</f>
        <v/>
      </c>
      <c r="J60" s="94"/>
      <c r="K60" s="94"/>
      <c r="L60" s="76">
        <f>IF(LEFT(D60,4)*1&gt;LEFT('General inputs'!$I$18,4)*1,"",SUMIF('Post-1996 commissioned assets'!$F$22:$F$218,$D60,'Post-1996 commissioned assets'!$P$22:$P$218))</f>
        <v>0</v>
      </c>
      <c r="M60" s="76">
        <f>IF(L60="","",L60/(1+'General inputs'!$H$32)^C60)</f>
        <v>0</v>
      </c>
      <c r="N60" s="76" t="str">
        <f>IF(LEFT(D60,4)*1&lt;LEFT('General inputs'!$I$18,4)*1+1,"",SUMIF('Uncommissioned assets'!$F$22:$F$218,$D60,'Uncommissioned assets'!$P$22:$P$218))</f>
        <v/>
      </c>
      <c r="O60" s="76"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8"/>
      <c r="X60" s="31"/>
      <c r="Y60" s="31"/>
      <c r="Z60" s="31"/>
    </row>
    <row r="61" spans="2:26" hidden="1" x14ac:dyDescent="0.25">
      <c r="B61" s="47"/>
      <c r="C61" s="26">
        <f>IF(D61='General inputs'!$I$16,0,IF(D61&lt;'General inputs'!$I$16,C62-1,C60+1))</f>
        <v>-6</v>
      </c>
      <c r="D61" s="26" t="str">
        <f t="shared" si="1"/>
        <v>2017-18</v>
      </c>
      <c r="E61" s="76">
        <f>IF(LEFT(D61,4)*1&gt;LEFT('General inputs'!$I$16,4)+'General inputs'!$H$38-1,"",'ET inputs'!D34)</f>
        <v>0</v>
      </c>
      <c r="F61" s="76">
        <f>IF(LEFT(D61,4)*1&gt;LEFT('General inputs'!$I$16,4)+'General inputs'!$H$38-1,"",E61/(1+'General inputs'!$H$30)^C61)</f>
        <v>0</v>
      </c>
      <c r="G61" s="76">
        <f>IF(LEFT(D61,4)*1&gt;LEFT('General inputs'!$I$16,4)+'General inputs'!$H$38-1,"",E61/(1+'General inputs'!$H$32)^C61)</f>
        <v>0</v>
      </c>
      <c r="H61" s="76" t="str">
        <f>IF(LEFT(D61,4)*1&lt;LEFT('General inputs'!$I$16,4)*1,"",IF(LEFT(D61,4)*1&gt;LEFT('General inputs'!$I$16,4)+'General inputs'!$H$38-1,"",E61/(1+'General inputs'!$H$34)^C61))</f>
        <v/>
      </c>
      <c r="J61" s="94"/>
      <c r="K61" s="94"/>
      <c r="L61" s="76">
        <f>IF(LEFT(D61,4)*1&gt;LEFT('General inputs'!$I$18,4)*1,"",SUMIF('Post-1996 commissioned assets'!$F$22:$F$218,$D61,'Post-1996 commissioned assets'!$P$22:$P$218))</f>
        <v>0</v>
      </c>
      <c r="M61" s="76">
        <f>IF(L61="","",L61/(1+'General inputs'!$H$32)^C61)</f>
        <v>0</v>
      </c>
      <c r="N61" s="76" t="str">
        <f>IF(LEFT(D61,4)*1&lt;LEFT('General inputs'!$I$18,4)*1+1,"",SUMIF('Uncommissioned assets'!$F$22:$F$218,$D61,'Uncommissioned assets'!$P$22:$P$218))</f>
        <v/>
      </c>
      <c r="O61" s="76"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8"/>
    </row>
    <row r="62" spans="2:26" hidden="1" x14ac:dyDescent="0.25">
      <c r="B62" s="47"/>
      <c r="C62" s="26">
        <f>IF(D62='General inputs'!$I$16,0,IF(D62&lt;'General inputs'!$I$16,C63-1,C61+1))</f>
        <v>-5</v>
      </c>
      <c r="D62" s="26" t="str">
        <f t="shared" si="1"/>
        <v>2018-19</v>
      </c>
      <c r="E62" s="76">
        <f>IF(LEFT(D62,4)*1&gt;LEFT('General inputs'!$I$16,4)+'General inputs'!$H$38-1,"",'ET inputs'!D35)</f>
        <v>0</v>
      </c>
      <c r="F62" s="76">
        <f>IF(LEFT(D62,4)*1&gt;LEFT('General inputs'!$I$16,4)+'General inputs'!$H$38-1,"",E62/(1+'General inputs'!$H$30)^C62)</f>
        <v>0</v>
      </c>
      <c r="G62" s="76">
        <f>IF(LEFT(D62,4)*1&gt;LEFT('General inputs'!$I$16,4)+'General inputs'!$H$38-1,"",E62/(1+'General inputs'!$H$32)^C62)</f>
        <v>0</v>
      </c>
      <c r="H62" s="76" t="str">
        <f>IF(LEFT(D62,4)*1&lt;LEFT('General inputs'!$I$16,4)*1,"",IF(LEFT(D62,4)*1&gt;LEFT('General inputs'!$I$16,4)+'General inputs'!$H$38-1,"",E62/(1+'General inputs'!$H$34)^C62))</f>
        <v/>
      </c>
      <c r="J62" s="94"/>
      <c r="K62" s="94"/>
      <c r="L62" s="76">
        <f>IF(LEFT(D62,4)*1&gt;LEFT('General inputs'!$I$18,4)*1,"",SUMIF('Post-1996 commissioned assets'!$F$22:$F$218,$D62,'Post-1996 commissioned assets'!$P$22:$P$218))</f>
        <v>0</v>
      </c>
      <c r="M62" s="76">
        <f>IF(L62="","",L62/(1+'General inputs'!$H$32)^C62)</f>
        <v>0</v>
      </c>
      <c r="N62" s="76" t="str">
        <f>IF(LEFT(D62,4)*1&lt;LEFT('General inputs'!$I$18,4)*1+1,"",SUMIF('Uncommissioned assets'!$F$22:$F$218,$D62,'Uncommissioned assets'!$P$22:$P$218))</f>
        <v/>
      </c>
      <c r="O62" s="76"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8"/>
    </row>
    <row r="63" spans="2:26" hidden="1" x14ac:dyDescent="0.25">
      <c r="B63" s="47"/>
      <c r="C63" s="26">
        <f>IF(D63='General inputs'!$I$16,0,IF(D63&lt;'General inputs'!$I$16,C64-1,C62+1))</f>
        <v>-4</v>
      </c>
      <c r="D63" s="26" t="str">
        <f t="shared" si="1"/>
        <v>2019-20</v>
      </c>
      <c r="E63" s="76">
        <f>IF(LEFT(D63,4)*1&gt;LEFT('General inputs'!$I$16,4)+'General inputs'!$H$38-1,"",'ET inputs'!D36)</f>
        <v>0</v>
      </c>
      <c r="F63" s="76">
        <f>IF(LEFT(D63,4)*1&gt;LEFT('General inputs'!$I$16,4)+'General inputs'!$H$38-1,"",E63/(1+'General inputs'!$H$30)^C63)</f>
        <v>0</v>
      </c>
      <c r="G63" s="76">
        <f>IF(LEFT(D63,4)*1&gt;LEFT('General inputs'!$I$16,4)+'General inputs'!$H$38-1,"",E63/(1+'General inputs'!$H$32)^C63)</f>
        <v>0</v>
      </c>
      <c r="H63" s="76" t="str">
        <f>IF(LEFT(D63,4)*1&lt;LEFT('General inputs'!$I$16,4)*1,"",IF(LEFT(D63,4)*1&gt;LEFT('General inputs'!$I$16,4)+'General inputs'!$H$38-1,"",E63/(1+'General inputs'!$H$34)^C63))</f>
        <v/>
      </c>
      <c r="J63" s="94"/>
      <c r="K63" s="94"/>
      <c r="L63" s="76">
        <f>IF(LEFT(D63,4)*1&gt;LEFT('General inputs'!$I$18,4)*1,"",SUMIF('Post-1996 commissioned assets'!$F$22:$F$218,$D63,'Post-1996 commissioned assets'!$P$22:$P$218))</f>
        <v>0</v>
      </c>
      <c r="M63" s="76">
        <f>IF(L63="","",L63/(1+'General inputs'!$H$32)^C63)</f>
        <v>0</v>
      </c>
      <c r="N63" s="76" t="str">
        <f>IF(LEFT(D63,4)*1&lt;LEFT('General inputs'!$I$18,4)*1+1,"",SUMIF('Uncommissioned assets'!$F$22:$F$218,$D63,'Uncommissioned assets'!$P$22:$P$218))</f>
        <v/>
      </c>
      <c r="O63" s="76"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8"/>
    </row>
    <row r="64" spans="2:26" hidden="1" x14ac:dyDescent="0.25">
      <c r="B64" s="47"/>
      <c r="C64" s="26">
        <f>IF(D64='General inputs'!$I$16,0,IF(D64&lt;'General inputs'!$I$16,C65-1,C63+1))</f>
        <v>-3</v>
      </c>
      <c r="D64" s="26" t="str">
        <f t="shared" si="1"/>
        <v>2020-21</v>
      </c>
      <c r="E64" s="76">
        <f>IF(LEFT(D64,4)*1&gt;LEFT('General inputs'!$I$16,4)+'General inputs'!$H$38-1,"",'ET inputs'!D37)</f>
        <v>0</v>
      </c>
      <c r="F64" s="76">
        <f>IF(LEFT(D64,4)*1&gt;LEFT('General inputs'!$I$16,4)+'General inputs'!$H$38-1,"",E64/(1+'General inputs'!$H$30)^C64)</f>
        <v>0</v>
      </c>
      <c r="G64" s="76">
        <f>IF(LEFT(D64,4)*1&gt;LEFT('General inputs'!$I$16,4)+'General inputs'!$H$38-1,"",E64/(1+'General inputs'!$H$32)^C64)</f>
        <v>0</v>
      </c>
      <c r="H64" s="76" t="str">
        <f>IF(LEFT(D64,4)*1&lt;LEFT('General inputs'!$I$16,4)*1,"",IF(LEFT(D64,4)*1&gt;LEFT('General inputs'!$I$16,4)+'General inputs'!$H$38-1,"",E64/(1+'General inputs'!$H$34)^C64))</f>
        <v/>
      </c>
      <c r="J64" s="94"/>
      <c r="K64" s="94"/>
      <c r="L64" s="76">
        <f>IF(LEFT(D64,4)*1&gt;LEFT('General inputs'!$I$18,4)*1,"",SUMIF('Post-1996 commissioned assets'!$F$22:$F$218,$D64,'Post-1996 commissioned assets'!$P$22:$P$218))</f>
        <v>0</v>
      </c>
      <c r="M64" s="76">
        <f>IF(L64="","",L64/(1+'General inputs'!$H$32)^C64)</f>
        <v>0</v>
      </c>
      <c r="N64" s="76" t="str">
        <f>IF(LEFT(D64,4)*1&lt;LEFT('General inputs'!$I$18,4)*1+1,"",SUMIF('Uncommissioned assets'!$F$22:$F$218,$D64,'Uncommissioned assets'!$P$22:$P$218))</f>
        <v/>
      </c>
      <c r="O64" s="76"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8"/>
    </row>
    <row r="65" spans="2:22" x14ac:dyDescent="0.25">
      <c r="B65" s="47"/>
      <c r="C65" s="26">
        <f>IF(D65='General inputs'!$I$16,0,IF(D65&lt;'General inputs'!$I$16,C66-1,C64+1))</f>
        <v>-2</v>
      </c>
      <c r="D65" s="26" t="str">
        <f t="shared" si="1"/>
        <v>2021-22</v>
      </c>
      <c r="E65" s="76">
        <f>IF(LEFT(D65,4)*1&gt;LEFT('General inputs'!$I$16,4)+'General inputs'!$H$38-1,"",'ET inputs'!D38)</f>
        <v>0</v>
      </c>
      <c r="F65" s="76">
        <f>IF(LEFT(D65,4)*1&gt;LEFT('General inputs'!$I$16,4)+'General inputs'!$H$38-1,"",E65/(1+'General inputs'!$H$30)^C65)</f>
        <v>0</v>
      </c>
      <c r="G65" s="76">
        <f>IF(LEFT(D65,4)*1&gt;LEFT('General inputs'!$I$16,4)+'General inputs'!$H$38-1,"",E65/(1+'General inputs'!$H$32)^C65)</f>
        <v>0</v>
      </c>
      <c r="H65" s="76" t="str">
        <f>IF(LEFT(D65,4)*1&lt;LEFT('General inputs'!$I$16,4)*1,"",IF(LEFT(D65,4)*1&gt;LEFT('General inputs'!$I$16,4)+'General inputs'!$H$38-1,"",E65/(1+'General inputs'!$H$34)^C65))</f>
        <v/>
      </c>
      <c r="J65" s="94"/>
      <c r="K65" s="94"/>
      <c r="L65" s="76">
        <f>IF(LEFT(D65,4)*1&gt;LEFT('General inputs'!$I$18,4)*1,"",SUMIF('Post-1996 commissioned assets'!$F$22:$F$218,$D65,'Post-1996 commissioned assets'!$P$22:$P$218))</f>
        <v>403.48166820576654</v>
      </c>
      <c r="M65" s="76">
        <f>IF(L65="","",L65/(1+'General inputs'!$H$32)^C65)</f>
        <v>438.085869997766</v>
      </c>
      <c r="N65" s="76" t="str">
        <f>IF(LEFT(D65,4)*1&lt;LEFT('General inputs'!$I$18,4)*1+1,"",SUMIF('Uncommissioned assets'!$F$22:$F$218,$D65,'Uncommissioned assets'!$P$22:$P$218))</f>
        <v/>
      </c>
      <c r="O65" s="76"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8"/>
    </row>
    <row r="66" spans="2:22" x14ac:dyDescent="0.25">
      <c r="B66" s="47"/>
      <c r="C66" s="26">
        <f>IF(D66='General inputs'!$I$16,0,IF(D66&lt;'General inputs'!$I$16,C67-1,C65+1))</f>
        <v>-1</v>
      </c>
      <c r="D66" s="26" t="str">
        <f t="shared" si="1"/>
        <v>2022-23</v>
      </c>
      <c r="E66" s="76">
        <f>IF(LEFT(D66,4)*1&gt;LEFT('General inputs'!$I$16,4)+'General inputs'!$H$38-1,"",'ET inputs'!D39)</f>
        <v>0</v>
      </c>
      <c r="F66" s="76">
        <f>IF(LEFT(D66,4)*1&gt;LEFT('General inputs'!$I$16,4)+'General inputs'!$H$38-1,"",E66/(1+'General inputs'!$H$30)^C66)</f>
        <v>0</v>
      </c>
      <c r="G66" s="76">
        <f>IF(LEFT(D66,4)*1&gt;LEFT('General inputs'!$I$16,4)+'General inputs'!$H$38-1,"",E66/(1+'General inputs'!$H$32)^C66)</f>
        <v>0</v>
      </c>
      <c r="H66" s="76" t="str">
        <f>IF(LEFT(D66,4)*1&lt;LEFT('General inputs'!$I$16,4)*1,"",IF(LEFT(D66,4)*1&gt;LEFT('General inputs'!$I$16,4)+'General inputs'!$H$38-1,"",E66/(1+'General inputs'!$H$34)^C66))</f>
        <v/>
      </c>
      <c r="J66" s="94"/>
      <c r="K66" s="94"/>
      <c r="L66" s="76">
        <f>IF(LEFT(D66,4)*1&gt;LEFT('General inputs'!$I$18,4)*1,"",SUMIF('Post-1996 commissioned assets'!$F$22:$F$218,$D66,'Post-1996 commissioned assets'!$P$22:$P$218))</f>
        <v>788.50800160567792</v>
      </c>
      <c r="M66" s="76">
        <f>IF(L66="","",L66/(1+'General inputs'!$H$32)^C66)</f>
        <v>821.62533767311641</v>
      </c>
      <c r="N66" s="76" t="str">
        <f>IF(LEFT(D66,4)*1&lt;LEFT('General inputs'!$I$18,4)*1+1,"",SUMIF('Uncommissioned assets'!$F$22:$F$218,$D66,'Uncommissioned assets'!$P$22:$P$218))</f>
        <v/>
      </c>
      <c r="O66" s="76" t="str">
        <f>IF(N66="","",N66/(1+'General inputs'!$H$32)^C66)</f>
        <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8"/>
    </row>
    <row r="67" spans="2:22" x14ac:dyDescent="0.25">
      <c r="B67" s="47"/>
      <c r="C67" s="26">
        <f>IF(D67='General inputs'!$I$16,0,IF(D67&lt;'General inputs'!$I$16,C68-1,C66+1))</f>
        <v>0</v>
      </c>
      <c r="D67" s="26" t="str">
        <f t="shared" si="1"/>
        <v>2023-24</v>
      </c>
      <c r="E67" s="76">
        <f>IF(LEFT(D67,4)*1&gt;LEFT('General inputs'!$I$16,4)+'General inputs'!$H$38-1,"",'ET inputs'!D40)</f>
        <v>0</v>
      </c>
      <c r="F67" s="76">
        <f>IF(LEFT(D67,4)*1&gt;LEFT('General inputs'!$I$16,4)+'General inputs'!$H$38-1,"",E67/(1+'General inputs'!$H$30)^C67)</f>
        <v>0</v>
      </c>
      <c r="G67" s="76">
        <f>IF(LEFT(D67,4)*1&gt;LEFT('General inputs'!$I$16,4)+'General inputs'!$H$38-1,"",E67/(1+'General inputs'!$H$32)^C67)</f>
        <v>0</v>
      </c>
      <c r="H67" s="76">
        <f>IF(LEFT(D67,4)*1&lt;LEFT('General inputs'!$I$16,4)*1,"",IF(LEFT(D67,4)*1&gt;LEFT('General inputs'!$I$16,4)+'General inputs'!$H$38-1,"",E67/(1+'General inputs'!$H$34)^C67))</f>
        <v>0</v>
      </c>
      <c r="J67" s="94"/>
      <c r="K67" s="94"/>
      <c r="L67" s="76">
        <f>IF(LEFT(D67,4)*1&gt;LEFT('General inputs'!$I$18,4)*1,"",SUMIF('Post-1996 commissioned assets'!$F$22:$F$218,$D67,'Post-1996 commissioned assets'!$P$22:$P$218))</f>
        <v>796.49841607999178</v>
      </c>
      <c r="M67" s="76">
        <f>IF(L67="","",L67/(1+'General inputs'!$H$32)^C67)</f>
        <v>796.49841607999178</v>
      </c>
      <c r="N67" s="76" t="str">
        <f>IF(LEFT(D67,4)*1&lt;LEFT('General inputs'!$I$18,4)*1+1,"",SUMIF('Uncommissioned assets'!$F$22:$F$218,$D67,'Uncommissioned assets'!$P$22:$P$218))</f>
        <v/>
      </c>
      <c r="O67" s="76" t="str">
        <f>IF(N67="","",N67/(1+'General inputs'!$H$32)^C67)</f>
        <v/>
      </c>
      <c r="Q67" s="81"/>
      <c r="R67" s="76">
        <f>IF(OR(LEFT(D67,4)*1&lt;LEFT('General inputs'!$I$16,4)*1,LEFT(D67,4)*1&gt;LEFT('General inputs'!$I$16,4)+'General inputs'!$H$38-1),"",Q67/(1+'General inputs'!$H$34)^C67)</f>
        <v>0</v>
      </c>
      <c r="T67" s="81"/>
      <c r="U67" s="76">
        <f>IF(OR(LEFT(D67,4)*1&lt;LEFT('General inputs'!$I$16,4)*1,LEFT(D67,4)*1&gt;LEFT('General inputs'!$I$16,4)+'General inputs'!$H$38-1),"",T67/(1+'General inputs'!$H$34)^C67)</f>
        <v>0</v>
      </c>
      <c r="V67" s="48"/>
    </row>
    <row r="68" spans="2:22" x14ac:dyDescent="0.25">
      <c r="B68" s="47"/>
      <c r="C68" s="26">
        <f>IF(D68='General inputs'!$I$16,0,IF(D68&lt;'General inputs'!$I$16,C69-1,C67+1))</f>
        <v>1</v>
      </c>
      <c r="D68" s="26" t="str">
        <f t="shared" si="1"/>
        <v>2024-25</v>
      </c>
      <c r="E68" s="76">
        <f>IF(LEFT(D68,4)*1&gt;LEFT('General inputs'!$I$16,4)+'General inputs'!$H$38-1,"",'ET inputs'!D41)</f>
        <v>562.1488368636617</v>
      </c>
      <c r="F68" s="76">
        <f>IF(LEFT(D68,4)*1&gt;LEFT('General inputs'!$I$16,4)+'General inputs'!$H$38-1,"",E68/(1+'General inputs'!$H$30)^C68)</f>
        <v>545.7755697705453</v>
      </c>
      <c r="G68" s="76">
        <f>IF(LEFT(D68,4)*1&gt;LEFT('General inputs'!$I$16,4)+'General inputs'!$H$38-1,"",E68/(1+'General inputs'!$H$32)^C68)</f>
        <v>539.49024651023194</v>
      </c>
      <c r="H68" s="76">
        <f>IF(LEFT(D68,4)*1&lt;LEFT('General inputs'!$I$16,4)*1,"",IF(LEFT(D68,4)*1&gt;LEFT('General inputs'!$I$16,4)+'General inputs'!$H$38-1,"",E68/(1+'General inputs'!$H$34)^C68))</f>
        <v>539.49024651023194</v>
      </c>
      <c r="J68" s="94"/>
      <c r="K68" s="94"/>
      <c r="L68" s="76" t="str">
        <f>IF(LEFT(D68,4)*1&gt;LEFT('General inputs'!$I$18,4)*1,"",SUMIF('Post-1996 commissioned assets'!$F$22:$F$218,$D68,'Post-1996 commissioned assets'!$P$22:$P$218))</f>
        <v/>
      </c>
      <c r="M68" s="76" t="str">
        <f>IF(L68="","",L68/(1+'General inputs'!$H$32)^C68)</f>
        <v/>
      </c>
      <c r="N68" s="76">
        <f>IF(LEFT(D68,4)*1&lt;LEFT('General inputs'!$I$18,4)*1+1,"",SUMIF('Uncommissioned assets'!$F$22:$F$218,$D68,'Uncommissioned assets'!$P$22:$P$218))</f>
        <v>61924.008726005457</v>
      </c>
      <c r="O68" s="76">
        <f>IF(N68="","",N68/(1+'General inputs'!$H$32)^C68)</f>
        <v>59428.031406915026</v>
      </c>
      <c r="Q68" s="81">
        <v>0</v>
      </c>
      <c r="R68" s="76">
        <f>IF(OR(LEFT(D68,4)*1&lt;LEFT('General inputs'!$I$16,4)*1,LEFT(D68,4)*1&gt;LEFT('General inputs'!$I$16,4)+'General inputs'!$H$38-1),"",Q68/(1+'General inputs'!$H$34)^C68)</f>
        <v>0</v>
      </c>
      <c r="T68" s="81">
        <v>413.27577712248046</v>
      </c>
      <c r="U68" s="76">
        <f>IF(OR(LEFT(D68,4)*1&lt;LEFT('General inputs'!$I$16,4)*1,LEFT(D68,4)*1&gt;LEFT('General inputs'!$I$16,4)+'General inputs'!$H$38-1),"",T68/(1+'General inputs'!$H$34)^C68)</f>
        <v>396.61782833251482</v>
      </c>
      <c r="V68" s="48"/>
    </row>
    <row r="69" spans="2:22" x14ac:dyDescent="0.25">
      <c r="B69" s="47"/>
      <c r="C69" s="26">
        <f>IF(D69='General inputs'!$I$16,0,IF(D69&lt;'General inputs'!$I$16,C70-1,C68+1))</f>
        <v>2</v>
      </c>
      <c r="D69" s="26" t="str">
        <f t="shared" si="1"/>
        <v>2025-26</v>
      </c>
      <c r="E69" s="76">
        <f>IF(LEFT(D69,4)*1&gt;LEFT('General inputs'!$I$16,4)+'General inputs'!$H$38-1,"",'ET inputs'!D42)</f>
        <v>575.58382854756155</v>
      </c>
      <c r="F69" s="76">
        <f>IF(LEFT(D69,4)*1&gt;LEFT('General inputs'!$I$16,4)+'General inputs'!$H$38-1,"",E69/(1+'General inputs'!$H$30)^C69)</f>
        <v>542.54296215247575</v>
      </c>
      <c r="G69" s="76">
        <f>IF(LEFT(D69,4)*1&gt;LEFT('General inputs'!$I$16,4)+'General inputs'!$H$38-1,"",E69/(1+'General inputs'!$H$32)^C69)</f>
        <v>530.11872612055788</v>
      </c>
      <c r="H69" s="76">
        <f>IF(LEFT(D69,4)*1&lt;LEFT('General inputs'!$I$16,4)*1,"",IF(LEFT(D69,4)*1&gt;LEFT('General inputs'!$I$16,4)+'General inputs'!$H$38-1,"",E69/(1+'General inputs'!$H$34)^C69))</f>
        <v>530.11872612055788</v>
      </c>
      <c r="J69" s="94"/>
      <c r="K69" s="94"/>
      <c r="L69" s="76" t="str">
        <f>IF(LEFT(D69,4)*1&gt;LEFT('General inputs'!$I$18,4)*1,"",SUMIF('Post-1996 commissioned assets'!$F$22:$F$218,$D69,'Post-1996 commissioned assets'!$P$22:$P$218))</f>
        <v/>
      </c>
      <c r="M69" s="76" t="str">
        <f>IF(L69="","",L69/(1+'General inputs'!$H$32)^C69)</f>
        <v/>
      </c>
      <c r="N69" s="76">
        <f>IF(LEFT(D69,4)*1&lt;LEFT('General inputs'!$I$18,4)*1+1,"",SUMIF('Uncommissioned assets'!$F$22:$F$218,$D69,'Uncommissioned assets'!$P$22:$P$218))</f>
        <v>55124.627404826824</v>
      </c>
      <c r="O69" s="76">
        <f>IF(N69="","",N69/(1+'General inputs'!$H$32)^C69)</f>
        <v>50770.358388035354</v>
      </c>
      <c r="Q69" s="81">
        <v>48.551700230112502</v>
      </c>
      <c r="R69" s="76">
        <f>IF(OR(LEFT(D69,4)*1&lt;LEFT('General inputs'!$I$16,4)*1,LEFT(D69,4)*1&gt;LEFT('General inputs'!$I$16,4)+'General inputs'!$H$38-1),"",Q69/(1+'General inputs'!$H$34)^C69)</f>
        <v>44.716623713912504</v>
      </c>
      <c r="T69" s="81">
        <v>-5111.9728379395501</v>
      </c>
      <c r="U69" s="76">
        <f>IF(OR(LEFT(D69,4)*1&lt;LEFT('General inputs'!$I$16,4)*1,LEFT(D69,4)*1&gt;LEFT('General inputs'!$I$16,4)+'General inputs'!$H$38-1),"",T69/(1+'General inputs'!$H$34)^C69)</f>
        <v>-4708.1804498395131</v>
      </c>
      <c r="V69" s="48"/>
    </row>
    <row r="70" spans="2:22" x14ac:dyDescent="0.25">
      <c r="B70" s="47"/>
      <c r="C70" s="26">
        <f>IF(D70='General inputs'!$I$16,0,IF(D70&lt;'General inputs'!$I$16,C71-1,C69+1))</f>
        <v>3</v>
      </c>
      <c r="D70" s="26" t="str">
        <f t="shared" si="1"/>
        <v>2026-27</v>
      </c>
      <c r="E70" s="76">
        <f>IF(LEFT(D70,4)*1&gt;LEFT('General inputs'!$I$16,4)+'General inputs'!$H$38-1,"",'ET inputs'!D43)</f>
        <v>829.9820022532823</v>
      </c>
      <c r="F70" s="76">
        <f>IF(LEFT(D70,4)*1&gt;LEFT('General inputs'!$I$16,4)+'General inputs'!$H$38-1,"",E70/(1+'General inputs'!$H$30)^C70)</f>
        <v>759.55110677532662</v>
      </c>
      <c r="G70" s="76">
        <f>IF(LEFT(D70,4)*1&gt;LEFT('General inputs'!$I$16,4)+'General inputs'!$H$38-1,"",E70/(1+'General inputs'!$H$32)^C70)</f>
        <v>733.61046530968861</v>
      </c>
      <c r="H70" s="76">
        <f>IF(LEFT(D70,4)*1&lt;LEFT('General inputs'!$I$16,4)*1,"",IF(LEFT(D70,4)*1&gt;LEFT('General inputs'!$I$16,4)+'General inputs'!$H$38-1,"",E70/(1+'General inputs'!$H$34)^C70))</f>
        <v>733.61046530968861</v>
      </c>
      <c r="J70" s="94"/>
      <c r="K70" s="94"/>
      <c r="L70" s="76" t="str">
        <f>IF(LEFT(D70,4)*1&gt;LEFT('General inputs'!$I$18,4)*1,"",SUMIF('Post-1996 commissioned assets'!$F$22:$F$218,$D70,'Post-1996 commissioned assets'!$P$22:$P$218))</f>
        <v/>
      </c>
      <c r="M70" s="76" t="str">
        <f>IF(L70="","",L70/(1+'General inputs'!$H$32)^C70)</f>
        <v/>
      </c>
      <c r="N70" s="76">
        <f>IF(LEFT(D70,4)*1&lt;LEFT('General inputs'!$I$18,4)*1+1,"",SUMIF('Uncommissioned assets'!$F$22:$F$218,$D70,'Uncommissioned assets'!$P$22:$P$218))</f>
        <v>73765.358287492942</v>
      </c>
      <c r="O70" s="76">
        <f>IF(N70="","",N70/(1+'General inputs'!$H$32)^C70)</f>
        <v>65200.255752665733</v>
      </c>
      <c r="Q70" s="81">
        <v>98.263754526721044</v>
      </c>
      <c r="R70" s="76">
        <f>IF(OR(LEFT(D70,4)*1&lt;LEFT('General inputs'!$I$16,4)*1,LEFT(D70,4)*1&gt;LEFT('General inputs'!$I$16,4)+'General inputs'!$H$38-1),"",Q70/(1+'General inputs'!$H$34)^C70)</f>
        <v>86.854074528987496</v>
      </c>
      <c r="T70" s="81">
        <v>2353.1387847183209</v>
      </c>
      <c r="U70" s="76">
        <f>IF(OR(LEFT(D70,4)*1&lt;LEFT('General inputs'!$I$16,4)*1,LEFT(D70,4)*1&gt;LEFT('General inputs'!$I$16,4)+'General inputs'!$H$38-1),"",T70/(1+'General inputs'!$H$34)^C70)</f>
        <v>2079.9092439460856</v>
      </c>
      <c r="V70" s="48"/>
    </row>
    <row r="71" spans="2:22" x14ac:dyDescent="0.25">
      <c r="B71" s="47"/>
      <c r="C71" s="26">
        <f>IF(D71='General inputs'!$I$16,0,IF(D71&lt;'General inputs'!$I$16,C72-1,C70+1))</f>
        <v>4</v>
      </c>
      <c r="D71" s="26" t="str">
        <f t="shared" si="1"/>
        <v>2027-28</v>
      </c>
      <c r="E71" s="76">
        <f>IF(LEFT(D71,4)*1&gt;LEFT('General inputs'!$I$16,4)+'General inputs'!$H$38-1,"",'ET inputs'!D44)</f>
        <v>982.68936983326284</v>
      </c>
      <c r="F71" s="76">
        <f>IF(LEFT(D71,4)*1&gt;LEFT('General inputs'!$I$16,4)+'General inputs'!$H$38-1,"",E71/(1+'General inputs'!$H$30)^C71)</f>
        <v>873.10677722128446</v>
      </c>
      <c r="G71" s="76">
        <f>IF(LEFT(D71,4)*1&gt;LEFT('General inputs'!$I$16,4)+'General inputs'!$H$38-1,"",E71/(1+'General inputs'!$H$32)^C71)</f>
        <v>833.5763458352061</v>
      </c>
      <c r="H71" s="76">
        <f>IF(LEFT(D71,4)*1&lt;LEFT('General inputs'!$I$16,4)*1,"",IF(LEFT(D71,4)*1&gt;LEFT('General inputs'!$I$16,4)+'General inputs'!$H$38-1,"",E71/(1+'General inputs'!$H$34)^C71))</f>
        <v>833.5763458352061</v>
      </c>
      <c r="J71" s="94"/>
      <c r="K71" s="94"/>
      <c r="L71" s="76" t="str">
        <f>IF(LEFT(D71,4)*1&gt;LEFT('General inputs'!$I$18,4)*1,"",SUMIF('Post-1996 commissioned assets'!$F$22:$F$218,$D71,'Post-1996 commissioned assets'!$P$22:$P$218))</f>
        <v/>
      </c>
      <c r="M71" s="76" t="str">
        <f>IF(L71="","",L71/(1+'General inputs'!$H$32)^C71)</f>
        <v/>
      </c>
      <c r="N71" s="76">
        <f>IF(LEFT(D71,4)*1&lt;LEFT('General inputs'!$I$18,4)*1+1,"",SUMIF('Uncommissioned assets'!$F$22:$F$218,$D71,'Uncommissioned assets'!$P$22:$P$218))</f>
        <v>86767.942957131367</v>
      </c>
      <c r="O71" s="76">
        <f>IF(N71="","",N71/(1+'General inputs'!$H$32)^C71)</f>
        <v>73601.798336452266</v>
      </c>
      <c r="Q71" s="81">
        <v>169.94768363456188</v>
      </c>
      <c r="R71" s="76">
        <f>IF(OR(LEFT(D71,4)*1&lt;LEFT('General inputs'!$I$16,4)*1,LEFT(D71,4)*1&gt;LEFT('General inputs'!$I$16,4)+'General inputs'!$H$38-1),"",Q71/(1+'General inputs'!$H$34)^C71)</f>
        <v>144.15986725417875</v>
      </c>
      <c r="T71" s="81">
        <v>3259.9696862097717</v>
      </c>
      <c r="U71" s="76">
        <f>IF(OR(LEFT(D71,4)*1&lt;LEFT('General inputs'!$I$16,4)*1,LEFT(D71,4)*1&gt;LEFT('General inputs'!$I$16,4)+'General inputs'!$H$38-1),"",T71/(1+'General inputs'!$H$34)^C71)</f>
        <v>2765.3027517997511</v>
      </c>
      <c r="V71" s="48"/>
    </row>
    <row r="72" spans="2:22" x14ac:dyDescent="0.25">
      <c r="B72" s="47"/>
      <c r="C72" s="26">
        <f>IF(D72='General inputs'!$I$16,0,IF(D72&lt;'General inputs'!$I$16,C73-1,C71+1))</f>
        <v>5</v>
      </c>
      <c r="D72" s="26" t="str">
        <f t="shared" si="1"/>
        <v>2028-29</v>
      </c>
      <c r="E72" s="76">
        <f>IF(LEFT(D72,4)*1&gt;LEFT('General inputs'!$I$16,4)+'General inputs'!$H$38-1,"",'ET inputs'!D45)</f>
        <v>541.22174946289942</v>
      </c>
      <c r="F72" s="76">
        <f>IF(LEFT(D72,4)*1&gt;LEFT('General inputs'!$I$16,4)+'General inputs'!$H$38-1,"",E72/(1+'General inputs'!$H$30)^C72)</f>
        <v>466.86263538646227</v>
      </c>
      <c r="G72" s="76">
        <f>IF(LEFT(D72,4)*1&gt;LEFT('General inputs'!$I$16,4)+'General inputs'!$H$38-1,"",E72/(1+'General inputs'!$H$32)^C72)</f>
        <v>440.59203928585362</v>
      </c>
      <c r="H72" s="76">
        <f>IF(LEFT(D72,4)*1&lt;LEFT('General inputs'!$I$16,4)*1,"",IF(LEFT(D72,4)*1&gt;LEFT('General inputs'!$I$16,4)+'General inputs'!$H$38-1,"",E72/(1+'General inputs'!$H$34)^C72))</f>
        <v>440.59203928585362</v>
      </c>
      <c r="J72" s="94"/>
      <c r="K72" s="94"/>
      <c r="L72" s="76" t="str">
        <f>IF(LEFT(D72,4)*1&gt;LEFT('General inputs'!$I$18,4)*1,"",SUMIF('Post-1996 commissioned assets'!$F$22:$F$218,$D72,'Post-1996 commissioned assets'!$P$22:$P$218))</f>
        <v/>
      </c>
      <c r="M72" s="76" t="str">
        <f>IF(L72="","",L72/(1+'General inputs'!$H$32)^C72)</f>
        <v/>
      </c>
      <c r="N72" s="76">
        <f>IF(LEFT(D72,4)*1&lt;LEFT('General inputs'!$I$18,4)*1+1,"",SUMIF('Uncommissioned assets'!$F$22:$F$218,$D72,'Uncommissioned assets'!$P$22:$P$218))</f>
        <v>53224.986949464095</v>
      </c>
      <c r="O72" s="76">
        <f>IF(N72="","",N72/(1+'General inputs'!$H$32)^C72)</f>
        <v>43328.830676703721</v>
      </c>
      <c r="Q72" s="81">
        <v>1589.5920210463155</v>
      </c>
      <c r="R72" s="76">
        <f>IF(OR(LEFT(D72,4)*1&lt;LEFT('General inputs'!$I$16,4)*1,LEFT(D72,4)*1&gt;LEFT('General inputs'!$I$16,4)+'General inputs'!$H$38-1),"",Q72/(1+'General inputs'!$H$34)^C72)</f>
        <v>1294.0381477284427</v>
      </c>
      <c r="T72" s="81">
        <v>3962.4055587952362</v>
      </c>
      <c r="U72" s="76">
        <f>IF(OR(LEFT(D72,4)*1&lt;LEFT('General inputs'!$I$16,4)*1,LEFT(D72,4)*1&gt;LEFT('General inputs'!$I$16,4)+'General inputs'!$H$38-1),"",T72/(1+'General inputs'!$H$34)^C72)</f>
        <v>3225.6729286280647</v>
      </c>
      <c r="V72" s="48"/>
    </row>
    <row r="73" spans="2:22" x14ac:dyDescent="0.25">
      <c r="B73" s="47"/>
      <c r="C73" s="26">
        <f>IF(D73='General inputs'!$I$16,0,IF(D73&lt;'General inputs'!$I$16,C74-1,C72+1))</f>
        <v>6</v>
      </c>
      <c r="D73" s="26" t="str">
        <f t="shared" si="1"/>
        <v>2029-30</v>
      </c>
      <c r="E73" s="76">
        <f>IF(LEFT(D73,4)*1&gt;LEFT('General inputs'!$I$16,4)+'General inputs'!$H$38-1,"",'ET inputs'!D46)</f>
        <v>1328.8123965205023</v>
      </c>
      <c r="F73" s="76">
        <f>IF(LEFT(D73,4)*1&gt;LEFT('General inputs'!$I$16,4)+'General inputs'!$H$38-1,"",E73/(1+'General inputs'!$H$30)^C73)</f>
        <v>1112.8594621719983</v>
      </c>
      <c r="G73" s="76">
        <f>IF(LEFT(D73,4)*1&gt;LEFT('General inputs'!$I$16,4)+'General inputs'!$H$38-1,"",E73/(1+'General inputs'!$H$32)^C73)</f>
        <v>1038.1434237785577</v>
      </c>
      <c r="H73" s="76">
        <f>IF(LEFT(D73,4)*1&lt;LEFT('General inputs'!$I$16,4)*1,"",IF(LEFT(D73,4)*1&gt;LEFT('General inputs'!$I$16,4)+'General inputs'!$H$38-1,"",E73/(1+'General inputs'!$H$34)^C73))</f>
        <v>1038.1434237785577</v>
      </c>
      <c r="J73" s="94"/>
      <c r="K73" s="94"/>
      <c r="L73" s="76" t="str">
        <f>IF(LEFT(D73,4)*1&gt;LEFT('General inputs'!$I$18,4)*1,"",SUMIF('Post-1996 commissioned assets'!$F$22:$F$218,$D73,'Post-1996 commissioned assets'!$P$22:$P$218))</f>
        <v/>
      </c>
      <c r="M73" s="76" t="str">
        <f>IF(L73="","",L73/(1+'General inputs'!$H$32)^C73)</f>
        <v/>
      </c>
      <c r="N73" s="76">
        <f>IF(LEFT(D73,4)*1&lt;LEFT('General inputs'!$I$18,4)*1+1,"",SUMIF('Uncommissioned assets'!$F$22:$F$218,$D73,'Uncommissioned assets'!$P$22:$P$218))</f>
        <v>112405.82338949195</v>
      </c>
      <c r="O73" s="76">
        <f>IF(N73="","",N73/(1+'General inputs'!$H$32)^C73)</f>
        <v>87817.788765198813</v>
      </c>
      <c r="Q73" s="81">
        <v>1867.9530872242931</v>
      </c>
      <c r="R73" s="76">
        <f>IF(OR(LEFT(D73,4)*1&lt;LEFT('General inputs'!$I$16,4)*1,LEFT(D73,4)*1&gt;LEFT('General inputs'!$I$16,4)+'General inputs'!$H$38-1),"",Q73/(1+'General inputs'!$H$34)^C73)</f>
        <v>1459.3506340748791</v>
      </c>
      <c r="T73" s="81">
        <v>5068.0827295258732</v>
      </c>
      <c r="U73" s="76">
        <f>IF(OR(LEFT(D73,4)*1&lt;LEFT('General inputs'!$I$16,4)*1,LEFT(D73,4)*1&gt;LEFT('General inputs'!$I$16,4)+'General inputs'!$H$38-1),"",T73/(1+'General inputs'!$H$34)^C73)</f>
        <v>3959.4729629253502</v>
      </c>
      <c r="V73" s="48"/>
    </row>
    <row r="74" spans="2:22" x14ac:dyDescent="0.25">
      <c r="B74" s="47"/>
      <c r="C74" s="26">
        <f>IF(D74='General inputs'!$I$16,0,IF(D74&lt;'General inputs'!$I$16,C75-1,C73+1))</f>
        <v>7</v>
      </c>
      <c r="D74" s="26" t="str">
        <f t="shared" si="1"/>
        <v>2030-31</v>
      </c>
      <c r="E74" s="76">
        <f>IF(LEFT(D74,4)*1&gt;LEFT('General inputs'!$I$16,4)+'General inputs'!$H$38-1,"",'ET inputs'!D47)</f>
        <v>623.4187125008084</v>
      </c>
      <c r="F74" s="76">
        <f>IF(LEFT(D74,4)*1&gt;LEFT('General inputs'!$I$16,4)+'General inputs'!$H$38-1,"",E74/(1+'General inputs'!$H$30)^C74)</f>
        <v>506.89646314701002</v>
      </c>
      <c r="G74" s="76">
        <f>IF(LEFT(D74,4)*1&gt;LEFT('General inputs'!$I$16,4)+'General inputs'!$H$38-1,"",E74/(1+'General inputs'!$H$32)^C74)</f>
        <v>467.41839643339341</v>
      </c>
      <c r="H74" s="76">
        <f>IF(LEFT(D74,4)*1&lt;LEFT('General inputs'!$I$16,4)*1,"",IF(LEFT(D74,4)*1&gt;LEFT('General inputs'!$I$16,4)+'General inputs'!$H$38-1,"",E74/(1+'General inputs'!$H$34)^C74))</f>
        <v>467.41839643339341</v>
      </c>
      <c r="J74" s="94"/>
      <c r="K74" s="94"/>
      <c r="L74" s="76" t="str">
        <f>IF(LEFT(D74,4)*1&gt;LEFT('General inputs'!$I$18,4)*1,"",SUMIF('Post-1996 commissioned assets'!$F$22:$F$218,$D74,'Post-1996 commissioned assets'!$P$22:$P$218))</f>
        <v/>
      </c>
      <c r="M74" s="76" t="str">
        <f>IF(L74="","",L74/(1+'General inputs'!$H$32)^C74)</f>
        <v/>
      </c>
      <c r="N74" s="76">
        <f>IF(LEFT(D74,4)*1&lt;LEFT('General inputs'!$I$18,4)*1+1,"",SUMIF('Uncommissioned assets'!$F$22:$F$218,$D74,'Uncommissioned assets'!$P$22:$P$218))</f>
        <v>53007.041041530683</v>
      </c>
      <c r="O74" s="76">
        <f>IF(N74="","",N74/(1+'General inputs'!$H$32)^C74)</f>
        <v>39742.897713034581</v>
      </c>
      <c r="Q74" s="81">
        <v>2214.3368237209061</v>
      </c>
      <c r="R74" s="76">
        <f>IF(OR(LEFT(D74,4)*1&lt;LEFT('General inputs'!$I$16,4)*1,LEFT(D74,4)*1&gt;LEFT('General inputs'!$I$16,4)+'General inputs'!$H$38-1),"",Q74/(1+'General inputs'!$H$34)^C74)</f>
        <v>1660.2353226695893</v>
      </c>
      <c r="T74" s="81">
        <v>5781.9694455741337</v>
      </c>
      <c r="U74" s="76">
        <f>IF(OR(LEFT(D74,4)*1&lt;LEFT('General inputs'!$I$16,4)*1,LEFT(D74,4)*1&gt;LEFT('General inputs'!$I$16,4)+'General inputs'!$H$38-1),"",T74/(1+'General inputs'!$H$34)^C74)</f>
        <v>4335.126348126154</v>
      </c>
      <c r="V74" s="48"/>
    </row>
    <row r="75" spans="2:22" x14ac:dyDescent="0.25">
      <c r="B75" s="47"/>
      <c r="C75" s="26">
        <f>IF(D75='General inputs'!$I$16,0,IF(D75&lt;'General inputs'!$I$16,C76-1,C74+1))</f>
        <v>8</v>
      </c>
      <c r="D75" s="26" t="str">
        <f t="shared" si="1"/>
        <v>2031-32</v>
      </c>
      <c r="E75" s="76">
        <f>IF(LEFT(D75,4)*1&gt;LEFT('General inputs'!$I$16,4)+'General inputs'!$H$38-1,"",'ET inputs'!D48)</f>
        <v>305.67787655640865</v>
      </c>
      <c r="F75" s="76">
        <f>IF(LEFT(D75,4)*1&gt;LEFT('General inputs'!$I$16,4)+'General inputs'!$H$38-1,"",E75/(1+'General inputs'!$H$30)^C75)</f>
        <v>241.30493847910432</v>
      </c>
      <c r="G75" s="76">
        <f>IF(LEFT(D75,4)*1&gt;LEFT('General inputs'!$I$16,4)+'General inputs'!$H$38-1,"",E75/(1+'General inputs'!$H$32)^C75)</f>
        <v>219.94913384911953</v>
      </c>
      <c r="H75" s="76">
        <f>IF(LEFT(D75,4)*1&lt;LEFT('General inputs'!$I$16,4)*1,"",IF(LEFT(D75,4)*1&gt;LEFT('General inputs'!$I$16,4)+'General inputs'!$H$38-1,"",E75/(1+'General inputs'!$H$34)^C75))</f>
        <v>219.94913384911953</v>
      </c>
      <c r="J75" s="94"/>
      <c r="K75" s="94"/>
      <c r="L75" s="76" t="str">
        <f>IF(LEFT(D75,4)*1&gt;LEFT('General inputs'!$I$18,4)*1,"",SUMIF('Post-1996 commissioned assets'!$F$22:$F$218,$D75,'Post-1996 commissioned assets'!$P$22:$P$218))</f>
        <v/>
      </c>
      <c r="M75" s="76" t="str">
        <f>IF(L75="","",L75/(1+'General inputs'!$H$32)^C75)</f>
        <v/>
      </c>
      <c r="N75" s="76">
        <f>IF(LEFT(D75,4)*1&lt;LEFT('General inputs'!$I$18,4)*1+1,"",SUMIF('Uncommissioned assets'!$F$22:$F$218,$D75,'Uncommissioned assets'!$P$22:$P$218))</f>
        <v>26075.495921936905</v>
      </c>
      <c r="O75" s="76">
        <f>IF(N75="","",N75/(1+'General inputs'!$H$32)^C75)</f>
        <v>18762.505181358465</v>
      </c>
      <c r="Q75" s="81">
        <v>2499.7970815142353</v>
      </c>
      <c r="R75" s="76">
        <f>IF(OR(LEFT(D75,4)*1&lt;LEFT('General inputs'!$I$16,4)*1,LEFT(D75,4)*1&gt;LEFT('General inputs'!$I$16,4)+'General inputs'!$H$38-1),"",Q75/(1+'General inputs'!$H$34)^C75)</f>
        <v>1798.7176863162672</v>
      </c>
      <c r="T75" s="81">
        <v>6485.452303584153</v>
      </c>
      <c r="U75" s="76">
        <f>IF(OR(LEFT(D75,4)*1&lt;LEFT('General inputs'!$I$16,4)*1,LEFT(D75,4)*1&gt;LEFT('General inputs'!$I$16,4)+'General inputs'!$H$38-1),"",T75/(1+'General inputs'!$H$34)^C75)</f>
        <v>4666.5778788537091</v>
      </c>
      <c r="V75" s="48"/>
    </row>
    <row r="76" spans="2:22" x14ac:dyDescent="0.25">
      <c r="B76" s="47"/>
      <c r="C76" s="26">
        <f>IF(D76='General inputs'!$I$16,0,IF(D76&lt;'General inputs'!$I$16,C77-1,C75+1))</f>
        <v>9</v>
      </c>
      <c r="D76" s="26" t="str">
        <f t="shared" si="1"/>
        <v>2032-33</v>
      </c>
      <c r="E76" s="76">
        <f>IF(LEFT(D76,4)*1&gt;LEFT('General inputs'!$I$16,4)+'General inputs'!$H$38-1,"",'ET inputs'!D49)</f>
        <v>171.87227297631398</v>
      </c>
      <c r="F76" s="76">
        <f>IF(LEFT(D76,4)*1&gt;LEFT('General inputs'!$I$16,4)+'General inputs'!$H$38-1,"",E76/(1+'General inputs'!$H$30)^C76)</f>
        <v>131.72578583497841</v>
      </c>
      <c r="G76" s="76">
        <f>IF(LEFT(D76,4)*1&gt;LEFT('General inputs'!$I$16,4)+'General inputs'!$H$38-1,"",E76/(1+'General inputs'!$H$32)^C76)</f>
        <v>118.68514092212413</v>
      </c>
      <c r="H76" s="76">
        <f>IF(LEFT(D76,4)*1&lt;LEFT('General inputs'!$I$16,4)*1,"",IF(LEFT(D76,4)*1&gt;LEFT('General inputs'!$I$16,4)+'General inputs'!$H$38-1,"",E76/(1+'General inputs'!$H$34)^C76))</f>
        <v>118.68514092212413</v>
      </c>
      <c r="J76" s="94"/>
      <c r="K76" s="94"/>
      <c r="L76" s="76" t="str">
        <f>IF(LEFT(D76,4)*1&gt;LEFT('General inputs'!$I$18,4)*1,"",SUMIF('Post-1996 commissioned assets'!$F$22:$F$218,$D76,'Post-1996 commissioned assets'!$P$22:$P$218))</f>
        <v/>
      </c>
      <c r="M76" s="76" t="str">
        <f>IF(L76="","",L76/(1+'General inputs'!$H$32)^C76)</f>
        <v/>
      </c>
      <c r="N76" s="76">
        <f>IF(LEFT(D76,4)*1&lt;LEFT('General inputs'!$I$18,4)*1+1,"",SUMIF('Uncommissioned assets'!$F$22:$F$218,$D76,'Uncommissioned assets'!$P$22:$P$218))</f>
        <v>15248.754095418528</v>
      </c>
      <c r="O76" s="76">
        <f>IF(N76="","",N76/(1+'General inputs'!$H$32)^C76)</f>
        <v>10529.91560163388</v>
      </c>
      <c r="Q76" s="81">
        <v>2757.8146821214223</v>
      </c>
      <c r="R76" s="76">
        <f>IF(OR(LEFT(D76,4)*1&lt;LEFT('General inputs'!$I$16,4)*1,LEFT(D76,4)*1&gt;LEFT('General inputs'!$I$16,4)+'General inputs'!$H$38-1),"",Q76/(1+'General inputs'!$H$34)^C76)</f>
        <v>1904.3887563515925</v>
      </c>
      <c r="T76" s="81">
        <v>6937.9921139428843</v>
      </c>
      <c r="U76" s="76">
        <f>IF(OR(LEFT(D76,4)*1&lt;LEFT('General inputs'!$I$16,4)*1,LEFT(D76,4)*1&gt;LEFT('General inputs'!$I$16,4)+'General inputs'!$H$38-1),"",T76/(1+'General inputs'!$H$34)^C76)</f>
        <v>4790.9797054547389</v>
      </c>
      <c r="V76" s="48"/>
    </row>
    <row r="77" spans="2:22" x14ac:dyDescent="0.25">
      <c r="B77" s="47"/>
      <c r="C77" s="26">
        <f>IF(D77='General inputs'!$I$16,0,IF(D77&lt;'General inputs'!$I$16,C78-1,C76+1))</f>
        <v>10</v>
      </c>
      <c r="D77" s="26" t="str">
        <f t="shared" si="1"/>
        <v>2033-34</v>
      </c>
      <c r="E77" s="76">
        <f>IF(LEFT(D77,4)*1&gt;LEFT('General inputs'!$I$16,4)+'General inputs'!$H$38-1,"",'ET inputs'!D50)</f>
        <v>185.12611351216398</v>
      </c>
      <c r="F77" s="76">
        <f>IF(LEFT(D77,4)*1&gt;LEFT('General inputs'!$I$16,4)+'General inputs'!$H$38-1,"",E77/(1+'General inputs'!$H$30)^C77)</f>
        <v>137.75121455288163</v>
      </c>
      <c r="G77" s="76">
        <f>IF(LEFT(D77,4)*1&gt;LEFT('General inputs'!$I$16,4)+'General inputs'!$H$38-1,"",E77/(1+'General inputs'!$H$32)^C77)</f>
        <v>122.68472510292487</v>
      </c>
      <c r="H77" s="76">
        <f>IF(LEFT(D77,4)*1&lt;LEFT('General inputs'!$I$16,4)*1,"",IF(LEFT(D77,4)*1&gt;LEFT('General inputs'!$I$16,4)+'General inputs'!$H$38-1,"",E77/(1+'General inputs'!$H$34)^C77))</f>
        <v>122.68472510292487</v>
      </c>
      <c r="J77" s="94"/>
      <c r="K77" s="94"/>
      <c r="L77" s="76" t="str">
        <f>IF(LEFT(D77,4)*1&gt;LEFT('General inputs'!$I$18,4)*1,"",SUMIF('Post-1996 commissioned assets'!$F$22:$F$218,$D77,'Post-1996 commissioned assets'!$P$22:$P$218))</f>
        <v/>
      </c>
      <c r="M77" s="76" t="str">
        <f>IF(L77="","",L77/(1+'General inputs'!$H$32)^C77)</f>
        <v/>
      </c>
      <c r="N77" s="76">
        <f>IF(LEFT(D77,4)*1&lt;LEFT('General inputs'!$I$18,4)*1+1,"",SUMIF('Uncommissioned assets'!$F$22:$F$218,$D77,'Uncommissioned assets'!$P$22:$P$218))</f>
        <v>16555.412712705893</v>
      </c>
      <c r="O77" s="76">
        <f>IF(N77="","",N77/(1+'General inputs'!$H$32)^C77)</f>
        <v>10971.419531747119</v>
      </c>
      <c r="Q77" s="81">
        <v>2996.3218872328525</v>
      </c>
      <c r="R77" s="76">
        <f>IF(OR(LEFT(D77,4)*1&lt;LEFT('General inputs'!$I$16,4)*1,LEFT(D77,4)*1&gt;LEFT('General inputs'!$I$16,4)+'General inputs'!$H$38-1),"",Q77/(1+'General inputs'!$H$34)^C77)</f>
        <v>1985.689215211044</v>
      </c>
      <c r="T77" s="81">
        <v>7357.1017122106896</v>
      </c>
      <c r="U77" s="76">
        <f>IF(OR(LEFT(D77,4)*1&lt;LEFT('General inputs'!$I$16,4)*1,LEFT(D77,4)*1&gt;LEFT('General inputs'!$I$16,4)+'General inputs'!$H$38-1),"",T77/(1+'General inputs'!$H$34)^C77)</f>
        <v>4875.6168645949529</v>
      </c>
      <c r="V77" s="48"/>
    </row>
    <row r="78" spans="2:22" x14ac:dyDescent="0.25">
      <c r="B78" s="47"/>
      <c r="C78" s="26">
        <f>IF(D78='General inputs'!$I$16,0,IF(D78&lt;'General inputs'!$I$16,C79-1,C77+1))</f>
        <v>11</v>
      </c>
      <c r="D78" s="26" t="str">
        <f t="shared" si="1"/>
        <v>2034-35</v>
      </c>
      <c r="E78" s="76">
        <f>IF(LEFT(D78,4)*1&gt;LEFT('General inputs'!$I$16,4)+'General inputs'!$H$38-1,"",'ET inputs'!D51)</f>
        <v>535.23360215131288</v>
      </c>
      <c r="F78" s="76">
        <f>IF(LEFT(D78,4)*1&gt;LEFT('General inputs'!$I$16,4)+'General inputs'!$H$38-1,"",E78/(1+'General inputs'!$H$30)^C78)</f>
        <v>386.66414214470552</v>
      </c>
      <c r="G78" s="76">
        <f>IF(LEFT(D78,4)*1&gt;LEFT('General inputs'!$I$16,4)+'General inputs'!$H$38-1,"",E78/(1+'General inputs'!$H$32)^C78)</f>
        <v>340.40698432727265</v>
      </c>
      <c r="H78" s="76">
        <f>IF(LEFT(D78,4)*1&lt;LEFT('General inputs'!$I$16,4)*1,"",IF(LEFT(D78,4)*1&gt;LEFT('General inputs'!$I$16,4)+'General inputs'!$H$38-1,"",E78/(1+'General inputs'!$H$34)^C78))</f>
        <v>340.40698432727265</v>
      </c>
      <c r="J78" s="94"/>
      <c r="K78" s="94"/>
      <c r="L78" s="76" t="str">
        <f>IF(LEFT(D78,4)*1&gt;LEFT('General inputs'!$I$18,4)*1,"",SUMIF('Post-1996 commissioned assets'!$F$22:$F$218,$D78,'Post-1996 commissioned assets'!$P$22:$P$218))</f>
        <v/>
      </c>
      <c r="M78" s="76" t="str">
        <f>IF(L78="","",L78/(1+'General inputs'!$H$32)^C78)</f>
        <v/>
      </c>
      <c r="N78" s="76">
        <f>IF(LEFT(D78,4)*1&lt;LEFT('General inputs'!$I$18,4)*1+1,"",SUMIF('Uncommissioned assets'!$F$22:$F$218,$D78,'Uncommissioned assets'!$P$22:$P$218))</f>
        <v>48417.65629980166</v>
      </c>
      <c r="O78" s="76">
        <f>IF(N78="","",N78/(1+'General inputs'!$H$32)^C78)</f>
        <v>30793.485877873576</v>
      </c>
      <c r="Q78" s="81">
        <v>3235.9738007389205</v>
      </c>
      <c r="R78" s="76">
        <f>IF(OR(LEFT(D78,4)*1&lt;LEFT('General inputs'!$I$16,4)*1,LEFT(D78,4)*1&gt;LEFT('General inputs'!$I$16,4)+'General inputs'!$H$38-1),"",Q78/(1+'General inputs'!$H$34)^C78)</f>
        <v>2058.0697445826395</v>
      </c>
      <c r="T78" s="81">
        <v>8008.6000037502872</v>
      </c>
      <c r="U78" s="76">
        <f>IF(OR(LEFT(D78,4)*1&lt;LEFT('General inputs'!$I$16,4)*1,LEFT(D78,4)*1&gt;LEFT('General inputs'!$I$16,4)+'General inputs'!$H$38-1),"",T78/(1+'General inputs'!$H$34)^C78)</f>
        <v>5093.4458617740438</v>
      </c>
      <c r="V78" s="48"/>
    </row>
    <row r="79" spans="2:22" x14ac:dyDescent="0.25">
      <c r="B79" s="47"/>
      <c r="C79" s="26">
        <f>IF(D79='General inputs'!$I$16,0,IF(D79&lt;'General inputs'!$I$16,C80-1,C78+1))</f>
        <v>12</v>
      </c>
      <c r="D79" s="26" t="str">
        <f t="shared" si="1"/>
        <v>2035-36</v>
      </c>
      <c r="E79" s="76">
        <f>IF(LEFT(D79,4)*1&gt;LEFT('General inputs'!$I$16,4)+'General inputs'!$H$38-1,"",'ET inputs'!D52)</f>
        <v>282.84185639521365</v>
      </c>
      <c r="F79" s="76">
        <f>IF(LEFT(D79,4)*1&gt;LEFT('General inputs'!$I$16,4)+'General inputs'!$H$38-1,"",E79/(1+'General inputs'!$H$30)^C79)</f>
        <v>198.3795873520331</v>
      </c>
      <c r="G79" s="76">
        <f>IF(LEFT(D79,4)*1&gt;LEFT('General inputs'!$I$16,4)+'General inputs'!$H$38-1,"",E79/(1+'General inputs'!$H$32)^C79)</f>
        <v>172.63587544518037</v>
      </c>
      <c r="H79" s="76">
        <f>IF(LEFT(D79,4)*1&lt;LEFT('General inputs'!$I$16,4)*1,"",IF(LEFT(D79,4)*1&gt;LEFT('General inputs'!$I$16,4)+'General inputs'!$H$38-1,"",E79/(1+'General inputs'!$H$34)^C79))</f>
        <v>172.63587544518037</v>
      </c>
      <c r="J79" s="94"/>
      <c r="K79" s="94"/>
      <c r="L79" s="76" t="str">
        <f>IF(LEFT(D79,4)*1&gt;LEFT('General inputs'!$I$18,4)*1,"",SUMIF('Post-1996 commissioned assets'!$F$22:$F$218,$D79,'Post-1996 commissioned assets'!$P$22:$P$218))</f>
        <v/>
      </c>
      <c r="M79" s="76" t="str">
        <f>IF(L79="","",L79/(1+'General inputs'!$H$32)^C79)</f>
        <v/>
      </c>
      <c r="N79" s="76">
        <f>IF(LEFT(D79,4)*1&lt;LEFT('General inputs'!$I$18,4)*1+1,"",SUMIF('Uncommissioned assets'!$F$22:$F$218,$D79,'Uncommissioned assets'!$P$22:$P$218))</f>
        <v>26147.052441897446</v>
      </c>
      <c r="O79" s="76">
        <f>IF(N79="","",N79/(1+'General inputs'!$H$32)^C79)</f>
        <v>15959.162997115702</v>
      </c>
      <c r="Q79" s="81">
        <v>3505.8638161888853</v>
      </c>
      <c r="R79" s="76">
        <f>IF(OR(LEFT(D79,4)*1&lt;LEFT('General inputs'!$I$16,4)*1,LEFT(D79,4)*1&gt;LEFT('General inputs'!$I$16,4)+'General inputs'!$H$38-1),"",Q79/(1+'General inputs'!$H$34)^C79)</f>
        <v>2139.8454840207701</v>
      </c>
      <c r="T79" s="81">
        <v>8519.7705128768357</v>
      </c>
      <c r="U79" s="76">
        <f>IF(OR(LEFT(D79,4)*1&lt;LEFT('General inputs'!$I$16,4)*1,LEFT(D79,4)*1&gt;LEFT('General inputs'!$I$16,4)+'General inputs'!$H$38-1),"",T79/(1+'General inputs'!$H$34)^C79)</f>
        <v>5200.1427929654037</v>
      </c>
      <c r="V79" s="48"/>
    </row>
    <row r="80" spans="2:22" x14ac:dyDescent="0.25">
      <c r="B80" s="47"/>
      <c r="C80" s="26">
        <f>IF(D80='General inputs'!$I$16,0,IF(D80&lt;'General inputs'!$I$16,C81-1,C79+1))</f>
        <v>13</v>
      </c>
      <c r="D80" s="26" t="str">
        <f t="shared" si="1"/>
        <v>2036-37</v>
      </c>
      <c r="E80" s="76">
        <f>IF(LEFT(D80,4)*1&gt;LEFT('General inputs'!$I$16,4)+'General inputs'!$H$38-1,"",'ET inputs'!D53)</f>
        <v>53.030005549361704</v>
      </c>
      <c r="F80" s="76">
        <f>IF(LEFT(D80,4)*1&gt;LEFT('General inputs'!$I$16,4)+'General inputs'!$H$38-1,"",E80/(1+'General inputs'!$H$30)^C80)</f>
        <v>36.110853338683512</v>
      </c>
      <c r="G80" s="76">
        <f>IF(LEFT(D80,4)*1&gt;LEFT('General inputs'!$I$16,4)+'General inputs'!$H$38-1,"",E80/(1+'General inputs'!$H$32)^C80)</f>
        <v>31.06285189764376</v>
      </c>
      <c r="H80" s="76">
        <f>IF(LEFT(D80,4)*1&lt;LEFT('General inputs'!$I$16,4)*1,"",IF(LEFT(D80,4)*1&gt;LEFT('General inputs'!$I$16,4)+'General inputs'!$H$38-1,"",E80/(1+'General inputs'!$H$34)^C80))</f>
        <v>31.06285189764376</v>
      </c>
      <c r="J80" s="94"/>
      <c r="K80" s="94"/>
      <c r="L80" s="76" t="str">
        <f>IF(LEFT(D80,4)*1&gt;LEFT('General inputs'!$I$18,4)*1,"",SUMIF('Post-1996 commissioned assets'!$F$22:$F$218,$D80,'Post-1996 commissioned assets'!$P$22:$P$218))</f>
        <v/>
      </c>
      <c r="M80" s="76" t="str">
        <f>IF(L80="","",L80/(1+'General inputs'!$H$32)^C80)</f>
        <v/>
      </c>
      <c r="N80" s="76">
        <f>IF(LEFT(D80,4)*1&lt;LEFT('General inputs'!$I$18,4)*1+1,"",SUMIF('Uncommissioned assets'!$F$22:$F$218,$D80,'Uncommissioned assets'!$P$22:$P$218))</f>
        <v>24208.202628352403</v>
      </c>
      <c r="O80" s="76">
        <f>IF(N80="","",N80/(1+'General inputs'!$H$32)^C80)</f>
        <v>14180.194875761468</v>
      </c>
      <c r="Q80" s="81">
        <v>3753.9552481020182</v>
      </c>
      <c r="R80" s="76">
        <f>IF(OR(LEFT(D80,4)*1&lt;LEFT('General inputs'!$I$16,4)*1,LEFT(D80,4)*1&gt;LEFT('General inputs'!$I$16,4)+'General inputs'!$H$38-1),"",Q80/(1+'General inputs'!$H$34)^C80)</f>
        <v>2198.916532143925</v>
      </c>
      <c r="T80" s="81">
        <v>9007.872010707928</v>
      </c>
      <c r="U80" s="76">
        <f>IF(OR(LEFT(D80,4)*1&lt;LEFT('General inputs'!$I$16,4)*1,LEFT(D80,4)*1&gt;LEFT('General inputs'!$I$16,4)+'General inputs'!$H$38-1),"",T80/(1+'General inputs'!$H$34)^C80)</f>
        <v>5276.450403556837</v>
      </c>
      <c r="V80" s="48"/>
    </row>
    <row r="81" spans="2:22" x14ac:dyDescent="0.25">
      <c r="B81" s="47"/>
      <c r="C81" s="26">
        <f>IF(D81='General inputs'!$I$16,0,IF(D81&lt;'General inputs'!$I$16,C82-1,C80+1))</f>
        <v>14</v>
      </c>
      <c r="D81" s="26" t="str">
        <f t="shared" si="1"/>
        <v>2037-38</v>
      </c>
      <c r="E81" s="76">
        <f>IF(LEFT(D81,4)*1&gt;LEFT('General inputs'!$I$16,4)+'General inputs'!$H$38-1,"",'ET inputs'!D54)</f>
        <v>53.030005549361704</v>
      </c>
      <c r="F81" s="76">
        <f>IF(LEFT(D81,4)*1&gt;LEFT('General inputs'!$I$16,4)+'General inputs'!$H$38-1,"",E81/(1+'General inputs'!$H$30)^C81)</f>
        <v>35.059080911343209</v>
      </c>
      <c r="G81" s="76">
        <f>IF(LEFT(D81,4)*1&gt;LEFT('General inputs'!$I$16,4)+'General inputs'!$H$38-1,"",E81/(1+'General inputs'!$H$32)^C81)</f>
        <v>29.810798366260801</v>
      </c>
      <c r="H81" s="76">
        <f>IF(LEFT(D81,4)*1&lt;LEFT('General inputs'!$I$16,4)*1,"",IF(LEFT(D81,4)*1&gt;LEFT('General inputs'!$I$16,4)+'General inputs'!$H$38-1,"",E81/(1+'General inputs'!$H$34)^C81))</f>
        <v>29.810798366260801</v>
      </c>
      <c r="J81" s="94"/>
      <c r="K81" s="94"/>
      <c r="L81" s="76" t="str">
        <f>IF(LEFT(D81,4)*1&gt;LEFT('General inputs'!$I$18,4)*1,"",SUMIF('Post-1996 commissioned assets'!$F$22:$F$218,$D81,'Post-1996 commissioned assets'!$P$22:$P$218))</f>
        <v/>
      </c>
      <c r="M81" s="76" t="str">
        <f>IF(L81="","",L81/(1+'General inputs'!$H$32)^C81)</f>
        <v/>
      </c>
      <c r="N81" s="76">
        <f>IF(LEFT(D81,4)*1&lt;LEFT('General inputs'!$I$18,4)*1+1,"",SUMIF('Uncommissioned assets'!$F$22:$F$218,$D81,'Uncommissioned assets'!$P$22:$P$218))</f>
        <v>1707.6031751772969</v>
      </c>
      <c r="O81" s="76">
        <f>IF(N81="","",N81/(1+'General inputs'!$H$32)^C81)</f>
        <v>959.92850495581058</v>
      </c>
      <c r="Q81" s="81">
        <v>3982.1982780263702</v>
      </c>
      <c r="R81" s="76">
        <f>IF(OR(LEFT(D81,4)*1&lt;LEFT('General inputs'!$I$16,4)*1,LEFT(D81,4)*1&gt;LEFT('General inputs'!$I$16,4)+'General inputs'!$H$38-1),"",Q81/(1+'General inputs'!$H$34)^C81)</f>
        <v>2238.591316197665</v>
      </c>
      <c r="T81" s="81">
        <v>9233.2004708032109</v>
      </c>
      <c r="U81" s="76">
        <f>IF(OR(LEFT(D81,4)*1&lt;LEFT('General inputs'!$I$16,4)*1,LEFT(D81,4)*1&gt;LEFT('General inputs'!$I$16,4)+'General inputs'!$H$38-1),"",T81/(1+'General inputs'!$H$34)^C81)</f>
        <v>5190.440292414638</v>
      </c>
      <c r="V81" s="48"/>
    </row>
    <row r="82" spans="2:22" x14ac:dyDescent="0.25">
      <c r="B82" s="47"/>
      <c r="C82" s="26">
        <f>IF(D82='General inputs'!$I$16,0,IF(D82&lt;'General inputs'!$I$16,C83-1,C81+1))</f>
        <v>15</v>
      </c>
      <c r="D82" s="26" t="str">
        <f t="shared" si="1"/>
        <v>2038-39</v>
      </c>
      <c r="E82" s="76">
        <f>IF(LEFT(D82,4)*1&gt;LEFT('General inputs'!$I$16,4)+'General inputs'!$H$38-1,"",'ET inputs'!D55)</f>
        <v>53.030005549361704</v>
      </c>
      <c r="F82" s="76">
        <f>IF(LEFT(D82,4)*1&gt;LEFT('General inputs'!$I$16,4)+'General inputs'!$H$38-1,"",E82/(1+'General inputs'!$H$30)^C82)</f>
        <v>34.037942632372051</v>
      </c>
      <c r="G82" s="76">
        <f>IF(LEFT(D82,4)*1&gt;LEFT('General inputs'!$I$16,4)+'General inputs'!$H$38-1,"",E82/(1+'General inputs'!$H$32)^C82)</f>
        <v>28.609211483935511</v>
      </c>
      <c r="H82" s="76">
        <f>IF(LEFT(D82,4)*1&lt;LEFT('General inputs'!$I$16,4)*1,"",IF(LEFT(D82,4)*1&gt;LEFT('General inputs'!$I$16,4)+'General inputs'!$H$38-1,"",E82/(1+'General inputs'!$H$34)^C82))</f>
        <v>28.609211483935511</v>
      </c>
      <c r="J82" s="94"/>
      <c r="K82" s="94"/>
      <c r="L82" s="76" t="str">
        <f>IF(LEFT(D82,4)*1&gt;LEFT('General inputs'!$I$18,4)*1,"",SUMIF('Post-1996 commissioned assets'!$F$22:$F$218,$D82,'Post-1996 commissioned assets'!$P$22:$P$218))</f>
        <v/>
      </c>
      <c r="M82" s="76" t="str">
        <f>IF(L82="","",L82/(1+'General inputs'!$H$32)^C82)</f>
        <v/>
      </c>
      <c r="N82" s="76">
        <f>IF(LEFT(D82,4)*1&lt;LEFT('General inputs'!$I$18,4)*1+1,"",SUMIF('Uncommissioned assets'!$F$22:$F$218,$D82,'Uncommissioned assets'!$P$22:$P$218))</f>
        <v>592.65215241928615</v>
      </c>
      <c r="O82" s="76">
        <f>IF(N82="","",N82/(1+'General inputs'!$H$32)^C82)</f>
        <v>319.73051085560411</v>
      </c>
      <c r="Q82" s="81">
        <v>4028.7541526336827</v>
      </c>
      <c r="R82" s="76">
        <f>IF(OR(LEFT(D82,4)*1&lt;LEFT('General inputs'!$I$16,4)*1,LEFT(D82,4)*1&gt;LEFT('General inputs'!$I$16,4)+'General inputs'!$H$38-1),"",Q82/(1+'General inputs'!$H$34)^C82)</f>
        <v>2173.4766643045873</v>
      </c>
      <c r="T82" s="81">
        <v>9404.7429976674139</v>
      </c>
      <c r="U82" s="76">
        <f>IF(OR(LEFT(D82,4)*1&lt;LEFT('General inputs'!$I$16,4)*1,LEFT(D82,4)*1&gt;LEFT('General inputs'!$I$16,4)+'General inputs'!$H$38-1),"",T82/(1+'General inputs'!$H$34)^C82)</f>
        <v>5073.7743393573382</v>
      </c>
      <c r="V82" s="48"/>
    </row>
    <row r="83" spans="2:22" x14ac:dyDescent="0.25">
      <c r="B83" s="47"/>
      <c r="C83" s="26">
        <f>IF(D83='General inputs'!$I$16,0,IF(D83&lt;'General inputs'!$I$16,C84-1,C82+1))</f>
        <v>16</v>
      </c>
      <c r="D83" s="26" t="str">
        <f t="shared" si="1"/>
        <v>2039-40</v>
      </c>
      <c r="E83" s="76">
        <f>IF(LEFT(D83,4)*1&gt;LEFT('General inputs'!$I$16,4)+'General inputs'!$H$38-1,"",'ET inputs'!D56)</f>
        <v>53.030005549360794</v>
      </c>
      <c r="F83" s="76">
        <f>IF(LEFT(D83,4)*1&gt;LEFT('General inputs'!$I$16,4)+'General inputs'!$H$38-1,"",E83/(1+'General inputs'!$H$30)^C83)</f>
        <v>33.046546245020849</v>
      </c>
      <c r="G83" s="76">
        <f>IF(LEFT(D83,4)*1&gt;LEFT('General inputs'!$I$16,4)+'General inputs'!$H$38-1,"",E83/(1+'General inputs'!$H$32)^C83)</f>
        <v>27.456057086309997</v>
      </c>
      <c r="H83" s="76">
        <f>IF(LEFT(D83,4)*1&lt;LEFT('General inputs'!$I$16,4)*1,"",IF(LEFT(D83,4)*1&gt;LEFT('General inputs'!$I$16,4)+'General inputs'!$H$38-1,"",E83/(1+'General inputs'!$H$34)^C83))</f>
        <v>27.456057086309997</v>
      </c>
      <c r="J83" s="94"/>
      <c r="K83" s="94"/>
      <c r="L83" s="76" t="str">
        <f>IF(LEFT(D83,4)*1&gt;LEFT('General inputs'!$I$18,4)*1,"",SUMIF('Post-1996 commissioned assets'!$F$22:$F$218,$D83,'Post-1996 commissioned assets'!$P$22:$P$218))</f>
        <v/>
      </c>
      <c r="M83" s="76" t="str">
        <f>IF(L83="","",L83/(1+'General inputs'!$H$32)^C83)</f>
        <v/>
      </c>
      <c r="N83" s="76">
        <f>IF(LEFT(D83,4)*1&lt;LEFT('General inputs'!$I$18,4)*1+1,"",SUMIF('Uncommissioned assets'!$F$22:$F$218,$D83,'Uncommissioned assets'!$P$22:$P$218))</f>
        <v>854.1078281552675</v>
      </c>
      <c r="O83" s="76">
        <f>IF(N83="","",N83/(1+'General inputs'!$H$32)^C83)</f>
        <v>442.21065121080187</v>
      </c>
      <c r="Q83" s="81">
        <v>4075.3100272409938</v>
      </c>
      <c r="R83" s="76">
        <f>IF(OR(LEFT(D83,4)*1&lt;LEFT('General inputs'!$I$16,4)*1,LEFT(D83,4)*1&gt;LEFT('General inputs'!$I$16,4)+'General inputs'!$H$38-1),"",Q83/(1+'General inputs'!$H$34)^C83)</f>
        <v>2109.9742229555354</v>
      </c>
      <c r="T83" s="81">
        <v>9550.2818324594955</v>
      </c>
      <c r="U83" s="76">
        <f>IF(OR(LEFT(D83,4)*1&lt;LEFT('General inputs'!$I$16,4)*1,LEFT(D83,4)*1&gt;LEFT('General inputs'!$I$16,4)+'General inputs'!$H$38-1),"",T83/(1+'General inputs'!$H$34)^C83)</f>
        <v>4944.617306107707</v>
      </c>
      <c r="V83" s="48"/>
    </row>
    <row r="84" spans="2:22" x14ac:dyDescent="0.25">
      <c r="B84" s="47"/>
      <c r="C84" s="26">
        <f>IF(D84='General inputs'!$I$16,0,IF(D84&lt;'General inputs'!$I$16,C85-1,C83+1))</f>
        <v>17</v>
      </c>
      <c r="D84" s="26" t="str">
        <f t="shared" si="1"/>
        <v>2040-41</v>
      </c>
      <c r="E84" s="76">
        <f>IF(LEFT(D84,4)*1&gt;LEFT('General inputs'!$I$16,4)+'General inputs'!$H$38-1,"",'ET inputs'!D57)</f>
        <v>53.030005549360794</v>
      </c>
      <c r="F84" s="76">
        <f>IF(LEFT(D84,4)*1&gt;LEFT('General inputs'!$I$16,4)+'General inputs'!$H$38-1,"",E84/(1+'General inputs'!$H$30)^C84)</f>
        <v>32.084025480602762</v>
      </c>
      <c r="G84" s="76">
        <f>IF(LEFT(D84,4)*1&gt;LEFT('General inputs'!$I$16,4)+'General inputs'!$H$38-1,"",E84/(1+'General inputs'!$H$32)^C84)</f>
        <v>26.349383000297504</v>
      </c>
      <c r="H84" s="76">
        <f>IF(LEFT(D84,4)*1&lt;LEFT('General inputs'!$I$16,4)*1,"",IF(LEFT(D84,4)*1&gt;LEFT('General inputs'!$I$16,4)+'General inputs'!$H$38-1,"",E84/(1+'General inputs'!$H$34)^C84))</f>
        <v>26.349383000297504</v>
      </c>
      <c r="J84" s="94"/>
      <c r="K84" s="94"/>
      <c r="L84" s="76" t="str">
        <f>IF(LEFT(D84,4)*1&gt;LEFT('General inputs'!$I$18,4)*1,"",SUMIF('Post-1996 commissioned assets'!$F$22:$F$218,$D84,'Post-1996 commissioned assets'!$P$22:$P$218))</f>
        <v/>
      </c>
      <c r="M84" s="76" t="str">
        <f>IF(L84="","",L84/(1+'General inputs'!$H$32)^C84)</f>
        <v/>
      </c>
      <c r="N84" s="76">
        <f>IF(LEFT(D84,4)*1&lt;LEFT('General inputs'!$I$18,4)*1+1,"",SUMIF('Uncommissioned assets'!$F$22:$F$218,$D84,'Uncommissioned assets'!$P$22:$P$218))</f>
        <v>1112.790182811505</v>
      </c>
      <c r="O84" s="76">
        <f>IF(N84="","",N84/(1+'General inputs'!$H$32)^C84)</f>
        <v>552.91969936866906</v>
      </c>
      <c r="Q84" s="81">
        <v>4121.8659018483058</v>
      </c>
      <c r="R84" s="76">
        <f>IF(OR(LEFT(D84,4)*1&lt;LEFT('General inputs'!$I$16,4)*1,LEFT(D84,4)*1&gt;LEFT('General inputs'!$I$16,4)+'General inputs'!$H$38-1),"",Q84/(1+'General inputs'!$H$34)^C84)</f>
        <v>2048.0598144115565</v>
      </c>
      <c r="T84" s="81">
        <v>9699.9826823562325</v>
      </c>
      <c r="U84" s="76">
        <f>IF(OR(LEFT(D84,4)*1&lt;LEFT('General inputs'!$I$16,4)*1,LEFT(D84,4)*1&gt;LEFT('General inputs'!$I$16,4)+'General inputs'!$H$38-1),"",T84/(1+'General inputs'!$H$34)^C84)</f>
        <v>4819.6970025913615</v>
      </c>
      <c r="V84" s="48"/>
    </row>
    <row r="85" spans="2:22" x14ac:dyDescent="0.25">
      <c r="B85" s="47"/>
      <c r="C85" s="26">
        <f>IF(D85='General inputs'!$I$16,0,IF(D85&lt;'General inputs'!$I$16,C86-1,C84+1))</f>
        <v>18</v>
      </c>
      <c r="D85" s="26" t="str">
        <f t="shared" si="1"/>
        <v>2041-42</v>
      </c>
      <c r="E85" s="76">
        <f>IF(LEFT(D85,4)*1&gt;LEFT('General inputs'!$I$16,4)+'General inputs'!$H$38-1,"",'ET inputs'!D58)</f>
        <v>-1.8189894035458565E-12</v>
      </c>
      <c r="F85" s="76">
        <f>IF(LEFT(D85,4)*1&gt;LEFT('General inputs'!$I$16,4)+'General inputs'!$H$38-1,"",E85/(1+'General inputs'!$H$30)^C85)</f>
        <v>-1.0684645669539945E-12</v>
      </c>
      <c r="G85" s="76">
        <f>IF(LEFT(D85,4)*1&gt;LEFT('General inputs'!$I$16,4)+'General inputs'!$H$38-1,"",E85/(1+'General inputs'!$H$32)^C85)</f>
        <v>-8.6738364247383689E-13</v>
      </c>
      <c r="H85" s="76">
        <f>IF(LEFT(D85,4)*1&lt;LEFT('General inputs'!$I$16,4)*1,"",IF(LEFT(D85,4)*1&gt;LEFT('General inputs'!$I$16,4)+'General inputs'!$H$38-1,"",E85/(1+'General inputs'!$H$34)^C85))</f>
        <v>-8.6738364247383689E-13</v>
      </c>
      <c r="J85" s="94"/>
      <c r="K85" s="94"/>
      <c r="L85" s="76" t="str">
        <f>IF(LEFT(D85,4)*1&gt;LEFT('General inputs'!$I$18,4)*1,"",SUMIF('Post-1996 commissioned assets'!$F$22:$F$218,$D85,'Post-1996 commissioned assets'!$P$22:$P$218))</f>
        <v/>
      </c>
      <c r="M85" s="76" t="str">
        <f>IF(L85="","",L85/(1+'General inputs'!$H$32)^C85)</f>
        <v/>
      </c>
      <c r="N85" s="76">
        <f>IF(LEFT(D85,4)*1&lt;LEFT('General inputs'!$I$18,4)*1+1,"",SUMIF('Uncommissioned assets'!$F$22:$F$218,$D85,'Uncommissioned assets'!$P$22:$P$218))</f>
        <v>1254.2915820386893</v>
      </c>
      <c r="O85" s="76">
        <f>IF(N85="","",N85/(1+'General inputs'!$H$32)^C85)</f>
        <v>598.10793786494025</v>
      </c>
      <c r="Q85" s="81">
        <v>4168.4217764556179</v>
      </c>
      <c r="R85" s="76">
        <f>IF(OR(LEFT(D85,4)*1&lt;LEFT('General inputs'!$I$16,4)*1,LEFT(D85,4)*1&gt;LEFT('General inputs'!$I$16,4)+'General inputs'!$H$38-1),"",Q85/(1+'General inputs'!$H$34)^C85)</f>
        <v>1987.7085907049302</v>
      </c>
      <c r="T85" s="81">
        <v>9854.0065701643689</v>
      </c>
      <c r="U85" s="76">
        <f>IF(OR(LEFT(D85,4)*1&lt;LEFT('General inputs'!$I$16,4)*1,LEFT(D85,4)*1&gt;LEFT('General inputs'!$I$16,4)+'General inputs'!$H$38-1),"",T85/(1+'General inputs'!$H$34)^C85)</f>
        <v>4698.8751529441315</v>
      </c>
      <c r="V85" s="48"/>
    </row>
    <row r="86" spans="2:22" x14ac:dyDescent="0.25">
      <c r="B86" s="47"/>
      <c r="C86" s="26">
        <f>IF(D86='General inputs'!$I$16,0,IF(D86&lt;'General inputs'!$I$16,C87-1,C85+1))</f>
        <v>19</v>
      </c>
      <c r="D86" s="26" t="str">
        <f t="shared" si="1"/>
        <v>2042-43</v>
      </c>
      <c r="E86" s="76">
        <f>IF(LEFT(D86,4)*1&gt;LEFT('General inputs'!$I$16,4)+'General inputs'!$H$38-1,"",'ET inputs'!D59)</f>
        <v>0</v>
      </c>
      <c r="F86" s="76">
        <f>IF(LEFT(D86,4)*1&gt;LEFT('General inputs'!$I$16,4)+'General inputs'!$H$38-1,"",E86/(1+'General inputs'!$H$30)^C86)</f>
        <v>0</v>
      </c>
      <c r="G86" s="76">
        <f>IF(LEFT(D86,4)*1&gt;LEFT('General inputs'!$I$16,4)+'General inputs'!$H$38-1,"",E86/(1+'General inputs'!$H$32)^C86)</f>
        <v>0</v>
      </c>
      <c r="H86" s="76">
        <f>IF(LEFT(D86,4)*1&lt;LEFT('General inputs'!$I$16,4)*1,"",IF(LEFT(D86,4)*1&gt;LEFT('General inputs'!$I$16,4)+'General inputs'!$H$38-1,"",E86/(1+'General inputs'!$H$34)^C86))</f>
        <v>0</v>
      </c>
      <c r="J86" s="94"/>
      <c r="K86" s="94"/>
      <c r="L86" s="76" t="str">
        <f>IF(LEFT(D86,4)*1&gt;LEFT('General inputs'!$I$18,4)*1,"",SUMIF('Post-1996 commissioned assets'!$F$22:$F$218,$D86,'Post-1996 commissioned assets'!$P$22:$P$218))</f>
        <v/>
      </c>
      <c r="M86" s="76" t="str">
        <f>IF(L86="","",L86/(1+'General inputs'!$H$32)^C86)</f>
        <v/>
      </c>
      <c r="N86" s="76">
        <f>IF(LEFT(D86,4)*1&lt;LEFT('General inputs'!$I$18,4)*1+1,"",SUMIF('Uncommissioned assets'!$F$22:$F$218,$D86,'Uncommissioned assets'!$P$22:$P$218))</f>
        <v>1192.8246495495648</v>
      </c>
      <c r="O86" s="76">
        <f>IF(N86="","",N86/(1+'General inputs'!$H$32)^C86)</f>
        <v>545.87090236208758</v>
      </c>
      <c r="Q86" s="81">
        <v>4210.3975527619214</v>
      </c>
      <c r="R86" s="76">
        <f>IF(OR(LEFT(D86,4)*1&lt;LEFT('General inputs'!$I$16,4)*1,LEFT(D86,4)*1&gt;LEFT('General inputs'!$I$16,4)+'General inputs'!$H$38-1),"",Q86/(1+'General inputs'!$H$34)^C86)</f>
        <v>1926.7991421012077</v>
      </c>
      <c r="T86" s="81">
        <v>9980.2254523701231</v>
      </c>
      <c r="U86" s="76">
        <f>IF(OR(LEFT(D86,4)*1&lt;LEFT('General inputs'!$I$16,4)*1,LEFT(D86,4)*1&gt;LEFT('General inputs'!$I$16,4)+'General inputs'!$H$38-1),"",T86/(1+'General inputs'!$H$34)^C86)</f>
        <v>4567.2385086270624</v>
      </c>
      <c r="V86" s="48"/>
    </row>
    <row r="87" spans="2:22" x14ac:dyDescent="0.25">
      <c r="B87" s="47"/>
      <c r="C87" s="26">
        <f>IF(D87='General inputs'!$I$16,0,IF(D87&lt;'General inputs'!$I$16,C88-1,C86+1))</f>
        <v>20</v>
      </c>
      <c r="D87" s="26" t="str">
        <f t="shared" si="1"/>
        <v>2043-44</v>
      </c>
      <c r="E87" s="76">
        <f>IF(LEFT(D87,4)*1&gt;LEFT('General inputs'!$I$16,4)+'General inputs'!$H$38-1,"",'ET inputs'!D60)</f>
        <v>0</v>
      </c>
      <c r="F87" s="76">
        <f>IF(LEFT(D87,4)*1&gt;LEFT('General inputs'!$I$16,4)+'General inputs'!$H$38-1,"",E87/(1+'General inputs'!$H$30)^C87)</f>
        <v>0</v>
      </c>
      <c r="G87" s="76">
        <f>IF(LEFT(D87,4)*1&gt;LEFT('General inputs'!$I$16,4)+'General inputs'!$H$38-1,"",E87/(1+'General inputs'!$H$32)^C87)</f>
        <v>0</v>
      </c>
      <c r="H87" s="76">
        <f>IF(LEFT(D87,4)*1&lt;LEFT('General inputs'!$I$16,4)*1,"",IF(LEFT(D87,4)*1&gt;LEFT('General inputs'!$I$16,4)+'General inputs'!$H$38-1,"",E87/(1+'General inputs'!$H$34)^C87))</f>
        <v>0</v>
      </c>
      <c r="J87" s="94"/>
      <c r="K87" s="94"/>
      <c r="L87" s="76" t="str">
        <f>IF(LEFT(D87,4)*1&gt;LEFT('General inputs'!$I$18,4)*1,"",SUMIF('Post-1996 commissioned assets'!$F$22:$F$218,$D87,'Post-1996 commissioned assets'!$P$22:$P$218))</f>
        <v/>
      </c>
      <c r="M87" s="76" t="str">
        <f>IF(L87="","",L87/(1+'General inputs'!$H$32)^C87)</f>
        <v/>
      </c>
      <c r="N87" s="76">
        <f>IF(LEFT(D87,4)*1&lt;LEFT('General inputs'!$I$18,4)*1+1,"",SUMIF('Uncommissioned assets'!$F$22:$F$218,$D87,'Uncommissioned assets'!$P$22:$P$218))</f>
        <v>1213.8282968848896</v>
      </c>
      <c r="O87" s="76">
        <f>IF(N87="","",N87/(1+'General inputs'!$H$32)^C87)</f>
        <v>533.09287533660745</v>
      </c>
      <c r="Q87" s="81">
        <v>4212.7018571800527</v>
      </c>
      <c r="R87" s="76">
        <f>IF(OR(LEFT(D87,4)*1&lt;LEFT('General inputs'!$I$16,4)*1,LEFT(D87,4)*1&gt;LEFT('General inputs'!$I$16,4)+'General inputs'!$H$38-1),"",Q87/(1+'General inputs'!$H$34)^C87)</f>
        <v>1850.1474646318545</v>
      </c>
      <c r="T87" s="81">
        <v>10111.108748370487</v>
      </c>
      <c r="U87" s="76">
        <f>IF(OR(LEFT(D87,4)*1&lt;LEFT('General inputs'!$I$16,4)*1,LEFT(D87,4)*1&gt;LEFT('General inputs'!$I$16,4)+'General inputs'!$H$38-1),"",T87/(1+'General inputs'!$H$34)^C87)</f>
        <v>4440.6280932344353</v>
      </c>
      <c r="V87" s="48"/>
    </row>
    <row r="88" spans="2:22" x14ac:dyDescent="0.25">
      <c r="B88" s="47"/>
      <c r="C88" s="26">
        <f>IF(D88='General inputs'!$I$16,0,IF(D88&lt;'General inputs'!$I$16,C89-1,C87+1))</f>
        <v>21</v>
      </c>
      <c r="D88" s="26" t="str">
        <f t="shared" si="1"/>
        <v>2044-45</v>
      </c>
      <c r="E88" s="76">
        <f>IF(LEFT(D88,4)*1&gt;LEFT('General inputs'!$I$16,4)+'General inputs'!$H$38-1,"",'ET inputs'!D61)</f>
        <v>0</v>
      </c>
      <c r="F88" s="76">
        <f>IF(LEFT(D88,4)*1&gt;LEFT('General inputs'!$I$16,4)+'General inputs'!$H$38-1,"",E88/(1+'General inputs'!$H$30)^C88)</f>
        <v>0</v>
      </c>
      <c r="G88" s="76">
        <f>IF(LEFT(D88,4)*1&gt;LEFT('General inputs'!$I$16,4)+'General inputs'!$H$38-1,"",E88/(1+'General inputs'!$H$32)^C88)</f>
        <v>0</v>
      </c>
      <c r="H88" s="76">
        <f>IF(LEFT(D88,4)*1&lt;LEFT('General inputs'!$I$16,4)*1,"",IF(LEFT(D88,4)*1&gt;LEFT('General inputs'!$I$16,4)+'General inputs'!$H$38-1,"",E88/(1+'General inputs'!$H$34)^C88))</f>
        <v>0</v>
      </c>
      <c r="J88" s="94"/>
      <c r="K88" s="94"/>
      <c r="L88" s="76" t="str">
        <f>IF(LEFT(D88,4)*1&gt;LEFT('General inputs'!$I$18,4)*1,"",SUMIF('Post-1996 commissioned assets'!$F$22:$F$218,$D88,'Post-1996 commissioned assets'!$P$22:$P$218))</f>
        <v/>
      </c>
      <c r="M88" s="76" t="str">
        <f>IF(L88="","",L88/(1+'General inputs'!$H$32)^C88)</f>
        <v/>
      </c>
      <c r="N88" s="76">
        <f>IF(LEFT(D88,4)*1&lt;LEFT('General inputs'!$I$18,4)*1+1,"",SUMIF('Uncommissioned assets'!$F$22:$F$218,$D88,'Uncommissioned assets'!$P$22:$P$218))</f>
        <v>1511.3677179503663</v>
      </c>
      <c r="O88" s="76">
        <f>IF(N88="","",N88/(1+'General inputs'!$H$32)^C88)</f>
        <v>637.01263042995151</v>
      </c>
      <c r="Q88" s="81">
        <v>4215.006161598184</v>
      </c>
      <c r="R88" s="76">
        <f>IF(OR(LEFT(D88,4)*1&lt;LEFT('General inputs'!$I$16,4)*1,LEFT(D88,4)*1&gt;LEFT('General inputs'!$I$16,4)+'General inputs'!$H$38-1),"",Q88/(1+'General inputs'!$H$34)^C88)</f>
        <v>1776.5446028709532</v>
      </c>
      <c r="T88" s="81">
        <v>10246.837327616486</v>
      </c>
      <c r="U88" s="76">
        <f>IF(OR(LEFT(D88,4)*1&lt;LEFT('General inputs'!$I$16,4)*1,LEFT(D88,4)*1&gt;LEFT('General inputs'!$I$16,4)+'General inputs'!$H$38-1),"",T88/(1+'General inputs'!$H$34)^C88)</f>
        <v>4318.8462490814909</v>
      </c>
      <c r="V88" s="48"/>
    </row>
    <row r="89" spans="2:22" x14ac:dyDescent="0.25">
      <c r="B89" s="47"/>
      <c r="C89" s="26">
        <f>IF(D89='General inputs'!$I$16,0,IF(D89&lt;'General inputs'!$I$16,C90-1,C88+1))</f>
        <v>22</v>
      </c>
      <c r="D89" s="26" t="str">
        <f t="shared" si="1"/>
        <v>2045-46</v>
      </c>
      <c r="E89" s="76">
        <f>IF(LEFT(D89,4)*1&gt;LEFT('General inputs'!$I$16,4)+'General inputs'!$H$38-1,"",'ET inputs'!D62)</f>
        <v>0</v>
      </c>
      <c r="F89" s="76">
        <f>IF(LEFT(D89,4)*1&gt;LEFT('General inputs'!$I$16,4)+'General inputs'!$H$38-1,"",E89/(1+'General inputs'!$H$30)^C89)</f>
        <v>0</v>
      </c>
      <c r="G89" s="76">
        <f>IF(LEFT(D89,4)*1&gt;LEFT('General inputs'!$I$16,4)+'General inputs'!$H$38-1,"",E89/(1+'General inputs'!$H$32)^C89)</f>
        <v>0</v>
      </c>
      <c r="H89" s="76">
        <f>IF(LEFT(D89,4)*1&lt;LEFT('General inputs'!$I$16,4)*1,"",IF(LEFT(D89,4)*1&gt;LEFT('General inputs'!$I$16,4)+'General inputs'!$H$38-1,"",E89/(1+'General inputs'!$H$34)^C89))</f>
        <v>0</v>
      </c>
      <c r="J89" s="94"/>
      <c r="K89" s="94"/>
      <c r="L89" s="76" t="str">
        <f>IF(LEFT(D89,4)*1&gt;LEFT('General inputs'!$I$18,4)*1,"",SUMIF('Post-1996 commissioned assets'!$F$22:$F$218,$D89,'Post-1996 commissioned assets'!$P$22:$P$218))</f>
        <v/>
      </c>
      <c r="M89" s="76" t="str">
        <f>IF(L89="","",L89/(1+'General inputs'!$H$32)^C89)</f>
        <v/>
      </c>
      <c r="N89" s="76">
        <f>IF(LEFT(D89,4)*1&lt;LEFT('General inputs'!$I$18,4)*1+1,"",SUMIF('Uncommissioned assets'!$F$22:$F$218,$D89,'Uncommissioned assets'!$P$22:$P$218))</f>
        <v>1622.1787461168474</v>
      </c>
      <c r="O89" s="76">
        <f>IF(N89="","",N89/(1+'General inputs'!$H$32)^C89)</f>
        <v>656.15869734819546</v>
      </c>
      <c r="Q89" s="81">
        <v>4217.3104660163153</v>
      </c>
      <c r="R89" s="76">
        <f>IF(OR(LEFT(D89,4)*1&lt;LEFT('General inputs'!$I$16,4)*1,LEFT(D89,4)*1&gt;LEFT('General inputs'!$I$16,4)+'General inputs'!$H$38-1),"",Q89/(1+'General inputs'!$H$34)^C89)</f>
        <v>1705.8693120707737</v>
      </c>
      <c r="T89" s="81">
        <v>10387.599208730662</v>
      </c>
      <c r="U89" s="76">
        <f>IF(OR(LEFT(D89,4)*1&lt;LEFT('General inputs'!$I$16,4)*1,LEFT(D89,4)*1&gt;LEFT('General inputs'!$I$16,4)+'General inputs'!$H$38-1),"",T89/(1+'General inputs'!$H$34)^C89)</f>
        <v>4201.7031610676149</v>
      </c>
      <c r="V89" s="48"/>
    </row>
    <row r="90" spans="2:22" x14ac:dyDescent="0.25">
      <c r="B90" s="47"/>
      <c r="C90" s="26">
        <f>IF(D90='General inputs'!$I$16,0,IF(D90&lt;'General inputs'!$I$16,C91-1,C89+1))</f>
        <v>23</v>
      </c>
      <c r="D90" s="26" t="str">
        <f t="shared" si="1"/>
        <v>2046-47</v>
      </c>
      <c r="E90" s="76">
        <f>IF(LEFT(D90,4)*1&gt;LEFT('General inputs'!$I$16,4)+'General inputs'!$H$38-1,"",'ET inputs'!D63)</f>
        <v>0</v>
      </c>
      <c r="F90" s="76">
        <f>IF(LEFT(D90,4)*1&gt;LEFT('General inputs'!$I$16,4)+'General inputs'!$H$38-1,"",E90/(1+'General inputs'!$H$30)^C90)</f>
        <v>0</v>
      </c>
      <c r="G90" s="76">
        <f>IF(LEFT(D90,4)*1&gt;LEFT('General inputs'!$I$16,4)+'General inputs'!$H$38-1,"",E90/(1+'General inputs'!$H$32)^C90)</f>
        <v>0</v>
      </c>
      <c r="H90" s="76">
        <f>IF(LEFT(D90,4)*1&lt;LEFT('General inputs'!$I$16,4)*1,"",IF(LEFT(D90,4)*1&gt;LEFT('General inputs'!$I$16,4)+'General inputs'!$H$38-1,"",E90/(1+'General inputs'!$H$34)^C90))</f>
        <v>0</v>
      </c>
      <c r="J90" s="94"/>
      <c r="K90" s="94"/>
      <c r="L90" s="76" t="str">
        <f>IF(LEFT(D90,4)*1&gt;LEFT('General inputs'!$I$18,4)*1,"",SUMIF('Post-1996 commissioned assets'!$F$22:$F$218,$D90,'Post-1996 commissioned assets'!$P$22:$P$218))</f>
        <v/>
      </c>
      <c r="M90" s="76" t="str">
        <f>IF(L90="","",L90/(1+'General inputs'!$H$32)^C90)</f>
        <v/>
      </c>
      <c r="N90" s="76">
        <f>IF(LEFT(D90,4)*1&lt;LEFT('General inputs'!$I$18,4)*1+1,"",SUMIF('Uncommissioned assets'!$F$22:$F$218,$D90,'Uncommissioned assets'!$P$22:$P$218))</f>
        <v>1687.3856218774526</v>
      </c>
      <c r="O90" s="76">
        <f>IF(N90="","",N90/(1+'General inputs'!$H$32)^C90)</f>
        <v>655.02338953035041</v>
      </c>
      <c r="Q90" s="81">
        <v>4219.6147704344467</v>
      </c>
      <c r="R90" s="76">
        <f>IF(OR(LEFT(D90,4)*1&lt;LEFT('General inputs'!$I$16,4)*1,LEFT(D90,4)*1&gt;LEFT('General inputs'!$I$16,4)+'General inputs'!$H$38-1),"",Q90/(1+'General inputs'!$H$34)^C90)</f>
        <v>1638.0051682359515</v>
      </c>
      <c r="T90" s="81">
        <v>10533.589844189868</v>
      </c>
      <c r="U90" s="76">
        <f>IF(OR(LEFT(D90,4)*1&lt;LEFT('General inputs'!$I$16,4)*1,LEFT(D90,4)*1&gt;LEFT('General inputs'!$I$16,4)+'General inputs'!$H$38-1),"",T90/(1+'General inputs'!$H$34)^C90)</f>
        <v>4089.0165438216709</v>
      </c>
      <c r="V90" s="48"/>
    </row>
    <row r="91" spans="2:22" x14ac:dyDescent="0.25">
      <c r="B91" s="47"/>
      <c r="C91" s="26">
        <f>IF(D91='General inputs'!$I$16,0,IF(D91&lt;'General inputs'!$I$16,C92-1,C90+1))</f>
        <v>24</v>
      </c>
      <c r="D91" s="26" t="str">
        <f t="shared" si="1"/>
        <v>2047-48</v>
      </c>
      <c r="E91" s="76">
        <f>IF(LEFT(D91,4)*1&gt;LEFT('General inputs'!$I$16,4)+'General inputs'!$H$38-1,"",'ET inputs'!D64)</f>
        <v>0</v>
      </c>
      <c r="F91" s="76">
        <f>IF(LEFT(D91,4)*1&gt;LEFT('General inputs'!$I$16,4)+'General inputs'!$H$38-1,"",E91/(1+'General inputs'!$H$30)^C91)</f>
        <v>0</v>
      </c>
      <c r="G91" s="76">
        <f>IF(LEFT(D91,4)*1&gt;LEFT('General inputs'!$I$16,4)+'General inputs'!$H$38-1,"",E91/(1+'General inputs'!$H$32)^C91)</f>
        <v>0</v>
      </c>
      <c r="H91" s="76">
        <f>IF(LEFT(D91,4)*1&lt;LEFT('General inputs'!$I$16,4)*1,"",IF(LEFT(D91,4)*1&gt;LEFT('General inputs'!$I$16,4)+'General inputs'!$H$38-1,"",E91/(1+'General inputs'!$H$34)^C91))</f>
        <v>0</v>
      </c>
      <c r="J91" s="94"/>
      <c r="K91" s="94"/>
      <c r="L91" s="76" t="str">
        <f>IF(LEFT(D91,4)*1&gt;LEFT('General inputs'!$I$18,4)*1,"",SUMIF('Post-1996 commissioned assets'!$F$22:$F$218,$D91,'Post-1996 commissioned assets'!$P$22:$P$218))</f>
        <v/>
      </c>
      <c r="M91" s="76" t="str">
        <f>IF(L91="","",L91/(1+'General inputs'!$H$32)^C91)</f>
        <v/>
      </c>
      <c r="N91" s="76">
        <f>IF(LEFT(D91,4)*1&lt;LEFT('General inputs'!$I$18,4)*1+1,"",SUMIF('Uncommissioned assets'!$F$22:$F$218,$D91,'Uncommissioned assets'!$P$22:$P$218))</f>
        <v>1710.5921533650198</v>
      </c>
      <c r="O91" s="76">
        <f>IF(N91="","",N91/(1+'General inputs'!$H$32)^C91)</f>
        <v>637.26669289686401</v>
      </c>
      <c r="Q91" s="81">
        <v>4221.9190748525789</v>
      </c>
      <c r="R91" s="76">
        <f>IF(OR(LEFT(D91,4)*1&lt;LEFT('General inputs'!$I$16,4)*1,LEFT(D91,4)*1&gt;LEFT('General inputs'!$I$16,4)+'General inputs'!$H$38-1),"",Q91/(1+'General inputs'!$H$34)^C91)</f>
        <v>1572.8403764841617</v>
      </c>
      <c r="T91" s="81">
        <v>10684.915713641436</v>
      </c>
      <c r="U91" s="76">
        <f>IF(OR(LEFT(D91,4)*1&lt;LEFT('General inputs'!$I$16,4)*1,LEFT(D91,4)*1&gt;LEFT('General inputs'!$I$16,4)+'General inputs'!$H$38-1),"",T91/(1+'General inputs'!$H$34)^C91)</f>
        <v>3980.5753155825591</v>
      </c>
      <c r="V91" s="48"/>
    </row>
    <row r="92" spans="2:22" x14ac:dyDescent="0.25">
      <c r="B92" s="47"/>
      <c r="C92" s="26">
        <f>IF(D92='General inputs'!$I$16,0,IF(D92&lt;'General inputs'!$I$16,C93-1,C91+1))</f>
        <v>25</v>
      </c>
      <c r="D92" s="26" t="str">
        <f t="shared" si="1"/>
        <v>2048-49</v>
      </c>
      <c r="E92" s="76">
        <f>IF(LEFT(D92,4)*1&gt;LEFT('General inputs'!$I$16,4)+'General inputs'!$H$38-1,"",'ET inputs'!D65)</f>
        <v>0</v>
      </c>
      <c r="F92" s="76">
        <f>IF(LEFT(D92,4)*1&gt;LEFT('General inputs'!$I$16,4)+'General inputs'!$H$38-1,"",E92/(1+'General inputs'!$H$30)^C92)</f>
        <v>0</v>
      </c>
      <c r="G92" s="76">
        <f>IF(LEFT(D92,4)*1&gt;LEFT('General inputs'!$I$16,4)+'General inputs'!$H$38-1,"",E92/(1+'General inputs'!$H$32)^C92)</f>
        <v>0</v>
      </c>
      <c r="H92" s="76">
        <f>IF(LEFT(D92,4)*1&lt;LEFT('General inputs'!$I$16,4)*1,"",IF(LEFT(D92,4)*1&gt;LEFT('General inputs'!$I$16,4)+'General inputs'!$H$38-1,"",E92/(1+'General inputs'!$H$34)^C92))</f>
        <v>0</v>
      </c>
      <c r="J92" s="94"/>
      <c r="K92" s="94"/>
      <c r="L92" s="76" t="str">
        <f>IF(LEFT(D92,4)*1&gt;LEFT('General inputs'!$I$18,4)*1,"",SUMIF('Post-1996 commissioned assets'!$F$22:$F$218,$D92,'Post-1996 commissioned assets'!$P$22:$P$218))</f>
        <v/>
      </c>
      <c r="M92" s="76" t="str">
        <f>IF(L92="","",L92/(1+'General inputs'!$H$32)^C92)</f>
        <v/>
      </c>
      <c r="N92" s="76">
        <f>IF(LEFT(D92,4)*1&lt;LEFT('General inputs'!$I$18,4)*1+1,"",SUMIF('Uncommissioned assets'!$F$22:$F$218,$D92,'Uncommissioned assets'!$P$22:$P$218))</f>
        <v>1734.8778811516258</v>
      </c>
      <c r="O92" s="76">
        <f>IF(N92="","",N92/(1+'General inputs'!$H$32)^C92)</f>
        <v>620.26308651313605</v>
      </c>
      <c r="Q92" s="81">
        <v>4221.9190748525789</v>
      </c>
      <c r="R92" s="76">
        <f>IF(OR(LEFT(D92,4)*1&lt;LEFT('General inputs'!$I$16,4)*1,LEFT(D92,4)*1&gt;LEFT('General inputs'!$I$16,4)+'General inputs'!$H$38-1),"",Q92/(1+'General inputs'!$H$34)^C92)</f>
        <v>1509.4437394281781</v>
      </c>
      <c r="T92" s="81">
        <v>10841.884739980331</v>
      </c>
      <c r="U92" s="76">
        <f>IF(OR(LEFT(D92,4)*1&lt;LEFT('General inputs'!$I$16,4)*1,LEFT(D92,4)*1&gt;LEFT('General inputs'!$I$16,4)+'General inputs'!$H$38-1),"",T92/(1+'General inputs'!$H$34)^C92)</f>
        <v>3876.250291447534</v>
      </c>
      <c r="V92" s="48"/>
    </row>
    <row r="93" spans="2:22" x14ac:dyDescent="0.25">
      <c r="B93" s="47"/>
      <c r="C93" s="26">
        <f>IF(D93='General inputs'!$I$16,0,IF(D93&lt;'General inputs'!$I$16,C94-1,C92+1))</f>
        <v>26</v>
      </c>
      <c r="D93" s="26" t="str">
        <f t="shared" si="1"/>
        <v>2049-50</v>
      </c>
      <c r="E93" s="76">
        <f>IF(LEFT(D93,4)*1&gt;LEFT('General inputs'!$I$16,4)+'General inputs'!$H$38-1,"",'ET inputs'!D66)</f>
        <v>0</v>
      </c>
      <c r="F93" s="76">
        <f>IF(LEFT(D93,4)*1&gt;LEFT('General inputs'!$I$16,4)+'General inputs'!$H$38-1,"",E93/(1+'General inputs'!$H$30)^C93)</f>
        <v>0</v>
      </c>
      <c r="G93" s="76">
        <f>IF(LEFT(D93,4)*1&gt;LEFT('General inputs'!$I$16,4)+'General inputs'!$H$38-1,"",E93/(1+'General inputs'!$H$32)^C93)</f>
        <v>0</v>
      </c>
      <c r="H93" s="76">
        <f>IF(LEFT(D93,4)*1&lt;LEFT('General inputs'!$I$16,4)*1,"",IF(LEFT(D93,4)*1&gt;LEFT('General inputs'!$I$16,4)+'General inputs'!$H$38-1,"",E93/(1+'General inputs'!$H$34)^C93))</f>
        <v>0</v>
      </c>
      <c r="J93" s="94"/>
      <c r="K93" s="94"/>
      <c r="L93" s="76" t="str">
        <f>IF(LEFT(D93,4)*1&gt;LEFT('General inputs'!$I$18,4)*1,"",SUMIF('Post-1996 commissioned assets'!$F$22:$F$218,$D93,'Post-1996 commissioned assets'!$P$22:$P$218))</f>
        <v/>
      </c>
      <c r="M93" s="76" t="str">
        <f>IF(L93="","",L93/(1+'General inputs'!$H$32)^C93)</f>
        <v/>
      </c>
      <c r="N93" s="76">
        <f>IF(LEFT(D93,4)*1&lt;LEFT('General inputs'!$I$18,4)*1+1,"",SUMIF('Uncommissioned assets'!$F$22:$F$218,$D93,'Uncommissioned assets'!$P$22:$P$218))</f>
        <v>9742.2803234070925</v>
      </c>
      <c r="O93" s="76">
        <f>IF(N93="","",N93/(1+'General inputs'!$H$32)^C93)</f>
        <v>3342.719452672357</v>
      </c>
      <c r="Q93" s="81">
        <v>4221.9190748525789</v>
      </c>
      <c r="R93" s="76">
        <f>IF(OR(LEFT(D93,4)*1&lt;LEFT('General inputs'!$I$16,4)*1,LEFT(D93,4)*1&gt;LEFT('General inputs'!$I$16,4)+'General inputs'!$H$38-1),"",Q93/(1+'General inputs'!$H$34)^C93)</f>
        <v>1448.602437071188</v>
      </c>
      <c r="T93" s="81">
        <v>11004.716501313675</v>
      </c>
      <c r="U93" s="76">
        <f>IF(OR(LEFT(D93,4)*1&lt;LEFT('General inputs'!$I$16,4)*1,LEFT(D93,4)*1&gt;LEFT('General inputs'!$I$16,4)+'General inputs'!$H$38-1),"",T93/(1+'General inputs'!$H$34)^C93)</f>
        <v>3775.8798452661367</v>
      </c>
      <c r="V93" s="48"/>
    </row>
    <row r="94" spans="2:22" x14ac:dyDescent="0.25">
      <c r="B94" s="47"/>
      <c r="C94" s="26">
        <f>IF(D94='General inputs'!$I$16,0,IF(D94&lt;'General inputs'!$I$16,C95-1,C93+1))</f>
        <v>27</v>
      </c>
      <c r="D94" s="26" t="str">
        <f t="shared" si="1"/>
        <v>2050-51</v>
      </c>
      <c r="E94" s="76">
        <f>IF(LEFT(D94,4)*1&gt;LEFT('General inputs'!$I$16,4)+'General inputs'!$H$38-1,"",'ET inputs'!D67)</f>
        <v>0</v>
      </c>
      <c r="F94" s="76">
        <f>IF(LEFT(D94,4)*1&gt;LEFT('General inputs'!$I$16,4)+'General inputs'!$H$38-1,"",E94/(1+'General inputs'!$H$30)^C94)</f>
        <v>0</v>
      </c>
      <c r="G94" s="76">
        <f>IF(LEFT(D94,4)*1&gt;LEFT('General inputs'!$I$16,4)+'General inputs'!$H$38-1,"",E94/(1+'General inputs'!$H$32)^C94)</f>
        <v>0</v>
      </c>
      <c r="H94" s="76">
        <f>IF(LEFT(D94,4)*1&lt;LEFT('General inputs'!$I$16,4)*1,"",IF(LEFT(D94,4)*1&gt;LEFT('General inputs'!$I$16,4)+'General inputs'!$H$38-1,"",E94/(1+'General inputs'!$H$34)^C94))</f>
        <v>0</v>
      </c>
      <c r="J94" s="94"/>
      <c r="K94" s="94"/>
      <c r="L94" s="76" t="str">
        <f>IF(LEFT(D94,4)*1&gt;LEFT('General inputs'!$I$18,4)*1,"",SUMIF('Post-1996 commissioned assets'!$F$22:$F$218,$D94,'Post-1996 commissioned assets'!$P$22:$P$218))</f>
        <v/>
      </c>
      <c r="M94" s="76" t="str">
        <f>IF(L94="","",L94/(1+'General inputs'!$H$32)^C94)</f>
        <v/>
      </c>
      <c r="N94" s="76">
        <f>IF(LEFT(D94,4)*1&lt;LEFT('General inputs'!$I$18,4)*1+1,"",SUMIF('Uncommissioned assets'!$F$22:$F$218,$D94,'Uncommissioned assets'!$P$22:$P$218))</f>
        <v>9548.4703756831623</v>
      </c>
      <c r="O94" s="76">
        <f>IF(N94="","",N94/(1+'General inputs'!$H$32)^C94)</f>
        <v>3144.1654638614032</v>
      </c>
      <c r="Q94" s="81">
        <v>4221.9190748525789</v>
      </c>
      <c r="R94" s="76">
        <f>IF(OR(LEFT(D94,4)*1&lt;LEFT('General inputs'!$I$16,4)*1,LEFT(D94,4)*1&gt;LEFT('General inputs'!$I$16,4)+'General inputs'!$H$38-1),"",Q94/(1+'General inputs'!$H$34)^C94)</f>
        <v>1390.2134712775317</v>
      </c>
      <c r="T94" s="81">
        <v>11173.639266650367</v>
      </c>
      <c r="U94" s="76">
        <f>IF(OR(LEFT(D94,4)*1&lt;LEFT('General inputs'!$I$16,4)*1,LEFT(D94,4)*1&gt;LEFT('General inputs'!$I$16,4)+'General inputs'!$H$38-1),"",T94/(1+'General inputs'!$H$34)^C94)</f>
        <v>3679.3087589523129</v>
      </c>
      <c r="V94" s="48"/>
    </row>
    <row r="95" spans="2:22" x14ac:dyDescent="0.25">
      <c r="B95" s="47"/>
      <c r="C95" s="26">
        <f>IF(D95='General inputs'!$I$16,0,IF(D95&lt;'General inputs'!$I$16,C96-1,C94+1))</f>
        <v>28</v>
      </c>
      <c r="D95" s="26" t="str">
        <f t="shared" si="1"/>
        <v>2051-52</v>
      </c>
      <c r="E95" s="76">
        <f>IF(LEFT(D95,4)*1&gt;LEFT('General inputs'!$I$16,4)+'General inputs'!$H$38-1,"",'ET inputs'!D68)</f>
        <v>0</v>
      </c>
      <c r="F95" s="76">
        <f>IF(LEFT(D95,4)*1&gt;LEFT('General inputs'!$I$16,4)+'General inputs'!$H$38-1,"",E95/(1+'General inputs'!$H$30)^C95)</f>
        <v>0</v>
      </c>
      <c r="G95" s="76">
        <f>IF(LEFT(D95,4)*1&gt;LEFT('General inputs'!$I$16,4)+'General inputs'!$H$38-1,"",E95/(1+'General inputs'!$H$32)^C95)</f>
        <v>0</v>
      </c>
      <c r="H95" s="76">
        <f>IF(LEFT(D95,4)*1&lt;LEFT('General inputs'!$I$16,4)*1,"",IF(LEFT(D95,4)*1&gt;LEFT('General inputs'!$I$16,4)+'General inputs'!$H$38-1,"",E95/(1+'General inputs'!$H$34)^C95))</f>
        <v>0</v>
      </c>
      <c r="J95" s="94"/>
      <c r="K95" s="94"/>
      <c r="L95" s="76" t="str">
        <f>IF(LEFT(D95,4)*1&gt;LEFT('General inputs'!$I$18,4)*1,"",SUMIF('Post-1996 commissioned assets'!$F$22:$F$218,$D95,'Post-1996 commissioned assets'!$P$22:$P$218))</f>
        <v/>
      </c>
      <c r="M95" s="76" t="str">
        <f>IF(L95="","",L95/(1+'General inputs'!$H$32)^C95)</f>
        <v/>
      </c>
      <c r="N95" s="76">
        <f>IF(LEFT(D95,4)*1&lt;LEFT('General inputs'!$I$18,4)*1+1,"",SUMIF('Uncommissioned assets'!$F$22:$F$218,$D95,'Uncommissioned assets'!$P$22:$P$218))</f>
        <v>9343.7334375326245</v>
      </c>
      <c r="O95" s="76">
        <f>IF(N95="","",N95/(1+'General inputs'!$H$32)^C95)</f>
        <v>2952.7338934862887</v>
      </c>
      <c r="Q95" s="81">
        <v>4221.9190748525789</v>
      </c>
      <c r="R95" s="76">
        <f>IF(OR(LEFT(D95,4)*1&lt;LEFT('General inputs'!$I$16,4)*1,LEFT(D95,4)*1&gt;LEFT('General inputs'!$I$16,4)+'General inputs'!$H$38-1),"",Q95/(1+'General inputs'!$H$34)^C95)</f>
        <v>1334.1779954678805</v>
      </c>
      <c r="T95" s="81">
        <v>11348.890342153789</v>
      </c>
      <c r="U95" s="76">
        <f>IF(OR(LEFT(D95,4)*1&lt;LEFT('General inputs'!$I$16,4)*1,LEFT(D95,4)*1&gt;LEFT('General inputs'!$I$16,4)+'General inputs'!$H$38-1),"",T95/(1+'General inputs'!$H$34)^C95)</f>
        <v>3586.387966948002</v>
      </c>
      <c r="V95" s="48"/>
    </row>
    <row r="96" spans="2:22" x14ac:dyDescent="0.25">
      <c r="B96" s="47"/>
      <c r="C96" s="26">
        <f>IF(D96='General inputs'!$I$16,0,IF(D96&lt;'General inputs'!$I$16,C97-1,C95+1))</f>
        <v>29</v>
      </c>
      <c r="D96" s="26" t="str">
        <f t="shared" si="1"/>
        <v>2052-53</v>
      </c>
      <c r="E96" s="76">
        <f>IF(LEFT(D96,4)*1&gt;LEFT('General inputs'!$I$16,4)+'General inputs'!$H$38-1,"",'ET inputs'!D69)</f>
        <v>0</v>
      </c>
      <c r="F96" s="76">
        <f>IF(LEFT(D96,4)*1&gt;LEFT('General inputs'!$I$16,4)+'General inputs'!$H$38-1,"",E96/(1+'General inputs'!$H$30)^C96)</f>
        <v>0</v>
      </c>
      <c r="G96" s="76">
        <f>IF(LEFT(D96,4)*1&gt;LEFT('General inputs'!$I$16,4)+'General inputs'!$H$38-1,"",E96/(1+'General inputs'!$H$32)^C96)</f>
        <v>0</v>
      </c>
      <c r="H96" s="76">
        <f>IF(LEFT(D96,4)*1&lt;LEFT('General inputs'!$I$16,4)*1,"",IF(LEFT(D96,4)*1&gt;LEFT('General inputs'!$I$16,4)+'General inputs'!$H$38-1,"",E96/(1+'General inputs'!$H$34)^C96))</f>
        <v>0</v>
      </c>
      <c r="J96" s="94"/>
      <c r="K96" s="94"/>
      <c r="L96" s="76" t="str">
        <f>IF(LEFT(D96,4)*1&gt;LEFT('General inputs'!$I$18,4)*1,"",SUMIF('Post-1996 commissioned assets'!$F$22:$F$218,$D96,'Post-1996 commissioned assets'!$P$22:$P$218))</f>
        <v/>
      </c>
      <c r="M96" s="76" t="str">
        <f>IF(L96="","",L96/(1+'General inputs'!$H$32)^C96)</f>
        <v/>
      </c>
      <c r="N96" s="76">
        <f>IF(LEFT(D96,4)*1&lt;LEFT('General inputs'!$I$18,4)*1+1,"",SUMIF('Uncommissioned assets'!$F$22:$F$218,$D96,'Uncommissioned assets'!$P$22:$P$218))</f>
        <v>9095.9926404984217</v>
      </c>
      <c r="O96" s="76">
        <f>IF(N96="","",N96/(1+'General inputs'!$H$32)^C96)</f>
        <v>2758.5842376596947</v>
      </c>
      <c r="Q96" s="32">
        <v>4221.9190748525789</v>
      </c>
      <c r="R96" s="76">
        <f>IF(OR(LEFT(D96,4)*1&lt;LEFT('General inputs'!$I$16,4)*1,LEFT(D96,4)*1&gt;LEFT('General inputs'!$I$16,4)+'General inputs'!$H$38-1),"",Q96/(1+'General inputs'!$H$34)^C96)</f>
        <v>1280.4011472820348</v>
      </c>
      <c r="T96" s="32">
        <v>11530.716431223907</v>
      </c>
      <c r="U96" s="76">
        <f>IF(OR(LEFT(D96,4)*1&lt;LEFT('General inputs'!$I$16,4)*1,LEFT(D96,4)*1&gt;LEFT('General inputs'!$I$16,4)+'General inputs'!$H$38-1),"",T96/(1+'General inputs'!$H$34)^C96)</f>
        <v>3496.9743109153342</v>
      </c>
      <c r="V96" s="48"/>
    </row>
    <row r="97" spans="2:22" x14ac:dyDescent="0.25">
      <c r="B97" s="47"/>
      <c r="C97" s="26">
        <f>IF(D97='General inputs'!$I$16,0,IF(D97&lt;'General inputs'!$I$16,C98-1,C96+1))</f>
        <v>30</v>
      </c>
      <c r="D97" s="26" t="str">
        <f t="shared" si="1"/>
        <v>2053-54</v>
      </c>
      <c r="E97" s="76">
        <f>IF(LEFT(D97,4)*1&gt;LEFT('General inputs'!$I$16,4)+'General inputs'!$H$38-1,"",'ET inputs'!D70)</f>
        <v>0</v>
      </c>
      <c r="F97" s="76">
        <f>IF(LEFT(D97,4)*1&gt;LEFT('General inputs'!$I$16,4)+'General inputs'!$H$38-1,"",E97/(1+'General inputs'!$H$30)^C97)</f>
        <v>0</v>
      </c>
      <c r="G97" s="76">
        <f>IF(LEFT(D97,4)*1&gt;LEFT('General inputs'!$I$16,4)+'General inputs'!$H$38-1,"",E97/(1+'General inputs'!$H$32)^C97)</f>
        <v>0</v>
      </c>
      <c r="H97" s="76">
        <f>IF(LEFT(D97,4)*1&lt;LEFT('General inputs'!$I$16,4)*1,"",IF(LEFT(D97,4)*1&gt;LEFT('General inputs'!$I$16,4)+'General inputs'!$H$38-1,"",E97/(1+'General inputs'!$H$34)^C97))</f>
        <v>0</v>
      </c>
      <c r="J97" s="94"/>
      <c r="K97" s="94"/>
      <c r="L97" s="76" t="str">
        <f>IF(LEFT(D97,4)*1&gt;LEFT('General inputs'!$I$18,4)*1,"",SUMIF('Post-1996 commissioned assets'!$F$22:$F$218,$D97,'Post-1996 commissioned assets'!$P$22:$P$218))</f>
        <v/>
      </c>
      <c r="M97" s="76" t="str">
        <f>IF(L97="","",L97/(1+'General inputs'!$H$32)^C97)</f>
        <v/>
      </c>
      <c r="N97" s="76">
        <f>IF(LEFT(D97,4)*1&lt;LEFT('General inputs'!$I$18,4)*1+1,"",SUMIF('Uncommissioned assets'!$F$22:$F$218,$D97,'Uncommissioned assets'!$P$22:$P$218))</f>
        <v>2156.4181364119077</v>
      </c>
      <c r="O97" s="76">
        <f>IF(N97="","",N97/(1+'General inputs'!$H$32)^C97)</f>
        <v>627.62669443697325</v>
      </c>
      <c r="Q97" s="32">
        <v>4221.9190748525789</v>
      </c>
      <c r="R97" s="76">
        <f>IF(OR(LEFT(D97,4)*1&lt;LEFT('General inputs'!$I$16,4)*1,LEFT(D97,4)*1&gt;LEFT('General inputs'!$I$16,4)+'General inputs'!$H$38-1),"",Q97/(1+'General inputs'!$H$34)^C97)</f>
        <v>1228.7918879865977</v>
      </c>
      <c r="T97" s="32">
        <v>11719.374008961593</v>
      </c>
      <c r="U97" s="76">
        <f>IF(OR(LEFT(D97,4)*1&lt;LEFT('General inputs'!$I$16,4)*1,LEFT(D97,4)*1&gt;LEFT('General inputs'!$I$16,4)+'General inputs'!$H$38-1),"",T97/(1+'General inputs'!$H$34)^C97)</f>
        <v>3410.9303042469664</v>
      </c>
      <c r="V97" s="48"/>
    </row>
    <row r="98" spans="2:22" x14ac:dyDescent="0.25">
      <c r="B98" s="47"/>
      <c r="C98" s="26">
        <f>IF(D98='General inputs'!$I$16,0,IF(D98&lt;'General inputs'!$I$16,C99-1,C97+1))</f>
        <v>31</v>
      </c>
      <c r="D98" s="26" t="str">
        <f t="shared" si="1"/>
        <v>2054-55</v>
      </c>
      <c r="E98" s="76" t="str">
        <f>IF(LEFT(D98,4)*1&gt;LEFT('General inputs'!$I$16,4)+'General inputs'!$H$38-1,"",'ET inputs'!D71)</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4"/>
      <c r="K98" s="94"/>
      <c r="L98" s="76" t="str">
        <f>IF(LEFT(D98,4)*1&gt;LEFT('General inputs'!$I$18,4)*1,"",SUMIF('Post-1996 commissioned assets'!$F$22:$F$218,$D98,'Post-1996 commissioned assets'!$P$22:$P$218))</f>
        <v/>
      </c>
      <c r="M98" s="76" t="str">
        <f>IF(L98="","",L98/(1+'General inputs'!$H$32)^C98)</f>
        <v/>
      </c>
      <c r="N98" s="76">
        <f>IF(LEFT(D98,4)*1&lt;LEFT('General inputs'!$I$18,4)*1+1,"",SUMIF('Uncommissioned assets'!$F$22:$F$218,$D98,'Uncommissioned assets'!$P$22:$P$218))</f>
        <v>0</v>
      </c>
      <c r="O98" s="76">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8"/>
    </row>
    <row r="99" spans="2:22" x14ac:dyDescent="0.25">
      <c r="B99" s="47"/>
      <c r="C99" s="26">
        <f>IF(D99='General inputs'!$I$16,0,IF(D99&lt;'General inputs'!$I$16,C100-1,C98+1))</f>
        <v>32</v>
      </c>
      <c r="D99" s="26" t="str">
        <f t="shared" si="1"/>
        <v>2055-56</v>
      </c>
      <c r="E99" s="76" t="str">
        <f>IF(LEFT(D99,4)*1&gt;LEFT('General inputs'!$I$16,4)+'General inputs'!$H$38-1,"",'ET inputs'!D72)</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4"/>
      <c r="K99" s="94"/>
      <c r="L99" s="76" t="str">
        <f>IF(LEFT(D99,4)*1&gt;LEFT('General inputs'!$I$18,4)*1,"",SUMIF('Post-1996 commissioned assets'!$F$22:$F$218,$D99,'Post-1996 commissioned assets'!$P$22:$P$218))</f>
        <v/>
      </c>
      <c r="M99" s="76" t="str">
        <f>IF(L99="","",L99/(1+'General inputs'!$H$32)^C99)</f>
        <v/>
      </c>
      <c r="N99" s="76">
        <f>IF(LEFT(D99,4)*1&lt;LEFT('General inputs'!$I$18,4)*1+1,"",SUMIF('Uncommissioned assets'!$F$22:$F$218,$D99,'Uncommissioned assets'!$P$22:$P$218))</f>
        <v>0</v>
      </c>
      <c r="O99" s="76">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8"/>
    </row>
    <row r="100" spans="2:22" x14ac:dyDescent="0.25">
      <c r="B100" s="47"/>
      <c r="C100" s="26">
        <f>IF(D100='General inputs'!$I$16,0,IF(D100&lt;'General inputs'!$I$16,C101-1,C99+1))</f>
        <v>33</v>
      </c>
      <c r="D100" s="26" t="str">
        <f t="shared" ref="D100:D122" si="3">LEFT(D99,4)+1&amp;"-"&amp;RIGHT(D99,2)+1</f>
        <v>2056-57</v>
      </c>
      <c r="E100" s="76" t="str">
        <f>IF(LEFT(D100,4)*1&gt;LEFT('General inputs'!$I$16,4)+'General inputs'!$H$38-1,"",'ET inputs'!D73)</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4"/>
      <c r="K100" s="94"/>
      <c r="L100" s="76" t="str">
        <f>IF(LEFT(D100,4)*1&gt;LEFT('General inputs'!$I$18,4)*1,"",SUMIF('Post-1996 commissioned assets'!$F$22:$F$218,$D100,'Post-1996 commissioned assets'!$P$22:$P$218))</f>
        <v/>
      </c>
      <c r="M100" s="76" t="str">
        <f>IF(L100="","",L100/(1+'General inputs'!$H$32)^C100)</f>
        <v/>
      </c>
      <c r="N100" s="76">
        <f>IF(LEFT(D100,4)*1&lt;LEFT('General inputs'!$I$18,4)*1+1,"",SUMIF('Uncommissioned assets'!$F$22:$F$218,$D100,'Uncommissioned assets'!$P$22:$P$218))</f>
        <v>0</v>
      </c>
      <c r="O100" s="76">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8"/>
    </row>
    <row r="101" spans="2:22" x14ac:dyDescent="0.25">
      <c r="B101" s="47"/>
      <c r="C101" s="26">
        <f>IF(D101='General inputs'!$I$16,0,IF(D101&lt;'General inputs'!$I$16,C102-1,C100+1))</f>
        <v>34</v>
      </c>
      <c r="D101" s="26" t="str">
        <f t="shared" si="3"/>
        <v>2057-58</v>
      </c>
      <c r="E101" s="76" t="str">
        <f>IF(LEFT(D101,4)*1&gt;LEFT('General inputs'!$I$16,4)+'General inputs'!$H$38-1,"",'ET inputs'!D74)</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4"/>
      <c r="K101" s="94"/>
      <c r="L101" s="76" t="str">
        <f>IF(LEFT(D101,4)*1&gt;LEFT('General inputs'!$I$18,4)*1,"",SUMIF('Post-1996 commissioned assets'!$F$22:$F$218,$D101,'Post-1996 commissioned assets'!$P$22:$P$218))</f>
        <v/>
      </c>
      <c r="M101" s="76" t="str">
        <f>IF(L101="","",L101/(1+'General inputs'!$H$32)^C101)</f>
        <v/>
      </c>
      <c r="N101" s="76">
        <f>IF(LEFT(D101,4)*1&lt;LEFT('General inputs'!$I$18,4)*1+1,"",SUMIF('Uncommissioned assets'!$F$22:$F$218,$D101,'Uncommissioned assets'!$P$22:$P$218))</f>
        <v>0</v>
      </c>
      <c r="O101" s="76">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8"/>
    </row>
    <row r="102" spans="2:22" x14ac:dyDescent="0.25">
      <c r="B102" s="47"/>
      <c r="C102" s="26">
        <f>IF(D102='General inputs'!$I$16,0,IF(D102&lt;'General inputs'!$I$16,C103-1,C101+1))</f>
        <v>35</v>
      </c>
      <c r="D102" s="26" t="str">
        <f t="shared" si="3"/>
        <v>2058-59</v>
      </c>
      <c r="E102" s="76" t="str">
        <f>IF(LEFT(D102,4)*1&gt;LEFT('General inputs'!$I$16,4)+'General inputs'!$H$38-1,"",'ET inputs'!D75)</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4"/>
      <c r="K102" s="94"/>
      <c r="L102" s="76" t="str">
        <f>IF(LEFT(D102,4)*1&gt;LEFT('General inputs'!$I$18,4)*1,"",SUMIF('Post-1996 commissioned assets'!$F$22:$F$218,$D102,'Post-1996 commissioned assets'!$P$22:$P$218))</f>
        <v/>
      </c>
      <c r="M102" s="76" t="str">
        <f>IF(L102="","",L102/(1+'General inputs'!$H$32)^C102)</f>
        <v/>
      </c>
      <c r="N102" s="76">
        <f>IF(LEFT(D102,4)*1&lt;LEFT('General inputs'!$I$18,4)*1+1,"",SUMIF('Uncommissioned assets'!$F$22:$F$218,$D102,'Uncommissioned assets'!$P$22:$P$218))</f>
        <v>0</v>
      </c>
      <c r="O102" s="76">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8"/>
    </row>
    <row r="103" spans="2:22" x14ac:dyDescent="0.25">
      <c r="B103" s="47"/>
      <c r="C103" s="26">
        <f>IF(D103='General inputs'!$I$16,0,IF(D103&lt;'General inputs'!$I$16,C104-1,C102+1))</f>
        <v>36</v>
      </c>
      <c r="D103" s="26" t="str">
        <f t="shared" si="3"/>
        <v>2059-60</v>
      </c>
      <c r="E103" s="76" t="str">
        <f>IF(LEFT(D103,4)*1&gt;LEFT('General inputs'!$I$16,4)+'General inputs'!$H$38-1,"",'ET inputs'!D76)</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4"/>
      <c r="K103" s="94"/>
      <c r="L103" s="76" t="str">
        <f>IF(LEFT(D103,4)*1&gt;LEFT('General inputs'!$I$18,4)*1,"",SUMIF('Post-1996 commissioned assets'!$F$22:$F$218,$D103,'Post-1996 commissioned assets'!$P$22:$P$218))</f>
        <v/>
      </c>
      <c r="M103" s="76" t="str">
        <f>IF(L103="","",L103/(1+'General inputs'!$H$32)^C103)</f>
        <v/>
      </c>
      <c r="N103" s="76">
        <f>IF(LEFT(D103,4)*1&lt;LEFT('General inputs'!$I$18,4)*1+1,"",SUMIF('Uncommissioned assets'!$F$22:$F$218,$D103,'Uncommissioned assets'!$P$22:$P$218))</f>
        <v>0</v>
      </c>
      <c r="O103" s="76">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8"/>
    </row>
    <row r="104" spans="2:22" x14ac:dyDescent="0.25">
      <c r="B104" s="47"/>
      <c r="C104" s="26">
        <f>IF(D104='General inputs'!$I$16,0,IF(D104&lt;'General inputs'!$I$16,C105-1,C103+1))</f>
        <v>37</v>
      </c>
      <c r="D104" s="26" t="str">
        <f t="shared" si="3"/>
        <v>2060-61</v>
      </c>
      <c r="E104" s="76" t="str">
        <f>IF(LEFT(D104,4)*1&gt;LEFT('General inputs'!$I$16,4)+'General inputs'!$H$38-1,"",'ET inputs'!D77)</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4"/>
      <c r="K104" s="94"/>
      <c r="L104" s="76" t="str">
        <f>IF(LEFT(D104,4)*1&gt;LEFT('General inputs'!$I$18,4)*1,"",SUMIF('Post-1996 commissioned assets'!$F$22:$F$218,$D104,'Post-1996 commissioned assets'!$P$22:$P$218))</f>
        <v/>
      </c>
      <c r="M104" s="76" t="str">
        <f>IF(L104="","",L104/(1+'General inputs'!$H$32)^C104)</f>
        <v/>
      </c>
      <c r="N104" s="76">
        <f>IF(LEFT(D104,4)*1&lt;LEFT('General inputs'!$I$18,4)*1+1,"",SUMIF('Uncommissioned assets'!$F$22:$F$218,$D104,'Uncommissioned assets'!$P$22:$P$218))</f>
        <v>0</v>
      </c>
      <c r="O104" s="76">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8"/>
    </row>
    <row r="105" spans="2:22" x14ac:dyDescent="0.25">
      <c r="B105" s="47"/>
      <c r="C105" s="26">
        <f>IF(D105='General inputs'!$I$16,0,IF(D105&lt;'General inputs'!$I$16,C106-1,C104+1))</f>
        <v>38</v>
      </c>
      <c r="D105" s="26" t="str">
        <f t="shared" si="3"/>
        <v>2061-62</v>
      </c>
      <c r="E105" s="76" t="str">
        <f>IF(LEFT(D105,4)*1&gt;LEFT('General inputs'!$I$16,4)+'General inputs'!$H$38-1,"",'ET inputs'!D78)</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4"/>
      <c r="K105" s="94"/>
      <c r="L105" s="76" t="str">
        <f>IF(LEFT(D105,4)*1&gt;LEFT('General inputs'!$I$18,4)*1,"",SUMIF('Post-1996 commissioned assets'!$F$22:$F$218,$D105,'Post-1996 commissioned assets'!$P$22:$P$218))</f>
        <v/>
      </c>
      <c r="M105" s="76" t="str">
        <f>IF(L105="","",L105/(1+'General inputs'!$H$32)^C105)</f>
        <v/>
      </c>
      <c r="N105" s="76">
        <f>IF(LEFT(D105,4)*1&lt;LEFT('General inputs'!$I$18,4)*1+1,"",SUMIF('Uncommissioned assets'!$F$22:$F$218,$D105,'Uncommissioned assets'!$P$22:$P$218))</f>
        <v>0</v>
      </c>
      <c r="O105" s="76">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8"/>
    </row>
    <row r="106" spans="2:22" x14ac:dyDescent="0.25">
      <c r="B106" s="47"/>
      <c r="C106" s="26">
        <f>IF(D106='General inputs'!$I$16,0,IF(D106&lt;'General inputs'!$I$16,C107-1,C105+1))</f>
        <v>39</v>
      </c>
      <c r="D106" s="26" t="str">
        <f t="shared" si="3"/>
        <v>2062-63</v>
      </c>
      <c r="E106" s="76" t="str">
        <f>IF(LEFT(D106,4)*1&gt;LEFT('General inputs'!$I$16,4)+'General inputs'!$H$38-1,"",'ET inputs'!D79)</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4"/>
      <c r="K106" s="94"/>
      <c r="L106" s="76" t="str">
        <f>IF(LEFT(D106,4)*1&gt;LEFT('General inputs'!$I$18,4)*1,"",SUMIF('Post-1996 commissioned assets'!$F$22:$F$218,$D106,'Post-1996 commissioned assets'!$P$22:$P$218))</f>
        <v/>
      </c>
      <c r="M106" s="76" t="str">
        <f>IF(L106="","",L106/(1+'General inputs'!$H$32)^C106)</f>
        <v/>
      </c>
      <c r="N106" s="76">
        <f>IF(LEFT(D106,4)*1&lt;LEFT('General inputs'!$I$18,4)*1+1,"",SUMIF('Uncommissioned assets'!$F$22:$F$218,$D106,'Uncommissioned assets'!$P$22:$P$218))</f>
        <v>0</v>
      </c>
      <c r="O106" s="76">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8"/>
    </row>
    <row r="107" spans="2:22" x14ac:dyDescent="0.25">
      <c r="B107" s="47"/>
      <c r="C107" s="26">
        <f>IF(D107='General inputs'!$I$16,0,IF(D107&lt;'General inputs'!$I$16,C108-1,C106+1))</f>
        <v>40</v>
      </c>
      <c r="D107" s="26" t="str">
        <f t="shared" si="3"/>
        <v>2063-64</v>
      </c>
      <c r="E107" s="76" t="str">
        <f>IF(LEFT(D107,4)*1&gt;LEFT('General inputs'!$I$16,4)+'General inputs'!$H$38-1,"",'ET inputs'!D80)</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4"/>
      <c r="K107" s="94"/>
      <c r="L107" s="76" t="str">
        <f>IF(LEFT(D107,4)*1&gt;LEFT('General inputs'!$I$18,4)*1,"",SUMIF('Post-1996 commissioned assets'!$F$22:$F$218,$D107,'Post-1996 commissioned assets'!$P$22:$P$218))</f>
        <v/>
      </c>
      <c r="M107" s="76" t="str">
        <f>IF(L107="","",L107/(1+'General inputs'!$H$32)^C107)</f>
        <v/>
      </c>
      <c r="N107" s="76">
        <f>IF(LEFT(D107,4)*1&lt;LEFT('General inputs'!$I$18,4)*1+1,"",SUMIF('Uncommissioned assets'!$F$22:$F$218,$D107,'Uncommissioned assets'!$P$22:$P$218))</f>
        <v>0</v>
      </c>
      <c r="O107" s="76">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8"/>
    </row>
    <row r="108" spans="2:22" x14ac:dyDescent="0.25">
      <c r="B108" s="47"/>
      <c r="C108" s="26">
        <f>IF(D108='General inputs'!$I$16,0,IF(D108&lt;'General inputs'!$I$16,C109-1,C107+1))</f>
        <v>41</v>
      </c>
      <c r="D108" s="26" t="str">
        <f t="shared" si="3"/>
        <v>2064-65</v>
      </c>
      <c r="E108" s="76" t="str">
        <f>IF(LEFT(D108,4)*1&gt;LEFT('General inputs'!$I$16,4)+'General inputs'!$H$38-1,"",'ET inputs'!D81)</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4"/>
      <c r="K108" s="94"/>
      <c r="L108" s="76" t="str">
        <f>IF(LEFT(D108,4)*1&gt;LEFT('General inputs'!$I$18,4)*1,"",SUMIF('Post-1996 commissioned assets'!$F$22:$F$218,$D108,'Post-1996 commissioned assets'!$P$22:$P$218))</f>
        <v/>
      </c>
      <c r="M108" s="76" t="str">
        <f>IF(L108="","",L108/(1+'General inputs'!$H$32)^C108)</f>
        <v/>
      </c>
      <c r="N108" s="76">
        <f>IF(LEFT(D108,4)*1&lt;LEFT('General inputs'!$I$18,4)*1+1,"",SUMIF('Uncommissioned assets'!$F$22:$F$218,$D108,'Uncommissioned assets'!$P$22:$P$218))</f>
        <v>0</v>
      </c>
      <c r="O108" s="76">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8"/>
    </row>
    <row r="109" spans="2:22" x14ac:dyDescent="0.25">
      <c r="B109" s="47"/>
      <c r="C109" s="26">
        <f>IF(D109='General inputs'!$I$16,0,IF(D109&lt;'General inputs'!$I$16,C110-1,C108+1))</f>
        <v>42</v>
      </c>
      <c r="D109" s="26" t="str">
        <f t="shared" si="3"/>
        <v>2065-66</v>
      </c>
      <c r="E109" s="76" t="str">
        <f>IF(LEFT(D109,4)*1&gt;LEFT('General inputs'!$I$16,4)+'General inputs'!$H$38-1,"",'ET inputs'!D82)</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4"/>
      <c r="K109" s="94"/>
      <c r="L109" s="76" t="str">
        <f>IF(LEFT(D109,4)*1&gt;LEFT('General inputs'!$I$18,4)*1,"",SUMIF('Post-1996 commissioned assets'!$F$22:$F$218,$D109,'Post-1996 commissioned assets'!$P$22:$P$218))</f>
        <v/>
      </c>
      <c r="M109" s="76" t="str">
        <f>IF(L109="","",L109/(1+'General inputs'!$H$32)^C109)</f>
        <v/>
      </c>
      <c r="N109" s="76">
        <f>IF(LEFT(D109,4)*1&lt;LEFT('General inputs'!$I$18,4)*1+1,"",SUMIF('Uncommissioned assets'!$F$22:$F$218,$D109,'Uncommissioned assets'!$P$22:$P$218))</f>
        <v>0</v>
      </c>
      <c r="O109" s="76">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8"/>
    </row>
    <row r="110" spans="2:22" x14ac:dyDescent="0.25">
      <c r="B110" s="47"/>
      <c r="C110" s="26">
        <f>IF(D110='General inputs'!$I$16,0,IF(D110&lt;'General inputs'!$I$16,C111-1,C109+1))</f>
        <v>43</v>
      </c>
      <c r="D110" s="26" t="str">
        <f t="shared" si="3"/>
        <v>2066-67</v>
      </c>
      <c r="E110" s="76" t="str">
        <f>IF(LEFT(D110,4)*1&gt;LEFT('General inputs'!$I$16,4)+'General inputs'!$H$38-1,"",'ET inputs'!D83)</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4"/>
      <c r="K110" s="94"/>
      <c r="L110" s="76" t="str">
        <f>IF(LEFT(D110,4)*1&gt;LEFT('General inputs'!$I$18,4)*1,"",SUMIF('Post-1996 commissioned assets'!$F$22:$F$218,$D110,'Post-1996 commissioned assets'!$P$22:$P$218))</f>
        <v/>
      </c>
      <c r="M110" s="76" t="str">
        <f>IF(L110="","",L110/(1+'General inputs'!$H$32)^C110)</f>
        <v/>
      </c>
      <c r="N110" s="76">
        <f>IF(LEFT(D110,4)*1&lt;LEFT('General inputs'!$I$18,4)*1+1,"",SUMIF('Uncommissioned assets'!$F$22:$F$218,$D110,'Uncommissioned assets'!$P$22:$P$218))</f>
        <v>0</v>
      </c>
      <c r="O110" s="76">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8"/>
    </row>
    <row r="111" spans="2:22" x14ac:dyDescent="0.25">
      <c r="B111" s="47"/>
      <c r="C111" s="26">
        <f>IF(D111='General inputs'!$I$16,0,IF(D111&lt;'General inputs'!$I$16,C112-1,C110+1))</f>
        <v>44</v>
      </c>
      <c r="D111" s="26" t="str">
        <f t="shared" si="3"/>
        <v>2067-68</v>
      </c>
      <c r="E111" s="76" t="str">
        <f>IF(LEFT(D111,4)*1&gt;LEFT('General inputs'!$I$16,4)+'General inputs'!$H$38-1,"",'ET inputs'!D84)</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4"/>
      <c r="K111" s="94"/>
      <c r="L111" s="76" t="str">
        <f>IF(LEFT(D111,4)*1&gt;LEFT('General inputs'!$I$18,4)*1,"",SUMIF('Post-1996 commissioned assets'!$F$22:$F$218,$D111,'Post-1996 commissioned assets'!$P$22:$P$218))</f>
        <v/>
      </c>
      <c r="M111" s="76" t="str">
        <f>IF(L111="","",L111/(1+'General inputs'!$H$32)^C111)</f>
        <v/>
      </c>
      <c r="N111" s="76">
        <f>IF(LEFT(D111,4)*1&lt;LEFT('General inputs'!$I$18,4)*1+1,"",SUMIF('Uncommissioned assets'!$F$22:$F$218,$D111,'Uncommissioned assets'!$P$22:$P$218))</f>
        <v>0</v>
      </c>
      <c r="O111" s="76">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8"/>
    </row>
    <row r="112" spans="2:22" x14ac:dyDescent="0.25">
      <c r="B112" s="47"/>
      <c r="C112" s="26">
        <f>IF(D112='General inputs'!$I$16,0,IF(D112&lt;'General inputs'!$I$16,C113-1,C111+1))</f>
        <v>45</v>
      </c>
      <c r="D112" s="26" t="str">
        <f t="shared" si="3"/>
        <v>2068-69</v>
      </c>
      <c r="E112" s="76" t="str">
        <f>IF(LEFT(D112,4)*1&gt;LEFT('General inputs'!$I$16,4)+'General inputs'!$H$38-1,"",'ET inputs'!D85)</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4"/>
      <c r="K112" s="94"/>
      <c r="L112" s="76" t="str">
        <f>IF(LEFT(D112,4)*1&gt;LEFT('General inputs'!$I$18,4)*1,"",SUMIF('Post-1996 commissioned assets'!$F$22:$F$218,$D112,'Post-1996 commissioned assets'!$P$22:$P$218))</f>
        <v/>
      </c>
      <c r="M112" s="76" t="str">
        <f>IF(L112="","",L112/(1+'General inputs'!$H$32)^C112)</f>
        <v/>
      </c>
      <c r="N112" s="76">
        <f>IF(LEFT(D112,4)*1&lt;LEFT('General inputs'!$I$18,4)*1+1,"",SUMIF('Uncommissioned assets'!$F$22:$F$218,$D112,'Uncommissioned assets'!$P$22:$P$218))</f>
        <v>0</v>
      </c>
      <c r="O112" s="76">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8"/>
    </row>
    <row r="113" spans="2:22" x14ac:dyDescent="0.25">
      <c r="B113" s="47"/>
      <c r="C113" s="26">
        <f>IF(D113='General inputs'!$I$16,0,IF(D113&lt;'General inputs'!$I$16,C114-1,C112+1))</f>
        <v>46</v>
      </c>
      <c r="D113" s="26" t="str">
        <f t="shared" si="3"/>
        <v>2069-70</v>
      </c>
      <c r="E113" s="76" t="str">
        <f>IF(LEFT(D113,4)*1&gt;LEFT('General inputs'!$I$16,4)+'General inputs'!$H$38-1,"",'ET inputs'!D86)</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4"/>
      <c r="K113" s="94"/>
      <c r="L113" s="76" t="str">
        <f>IF(LEFT(D113,4)*1&gt;LEFT('General inputs'!$I$18,4)*1,"",SUMIF('Post-1996 commissioned assets'!$F$22:$F$218,$D113,'Post-1996 commissioned assets'!$P$22:$P$218))</f>
        <v/>
      </c>
      <c r="M113" s="76" t="str">
        <f>IF(L113="","",L113/(1+'General inputs'!$H$32)^C113)</f>
        <v/>
      </c>
      <c r="N113" s="76">
        <f>IF(LEFT(D113,4)*1&lt;LEFT('General inputs'!$I$18,4)*1+1,"",SUMIF('Uncommissioned assets'!$F$22:$F$218,$D113,'Uncommissioned assets'!$P$22:$P$218))</f>
        <v>0</v>
      </c>
      <c r="O113" s="76">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8"/>
    </row>
    <row r="114" spans="2:22" x14ac:dyDescent="0.25">
      <c r="B114" s="47"/>
      <c r="C114" s="26">
        <f>IF(D114='General inputs'!$I$16,0,IF(D114&lt;'General inputs'!$I$16,C115-1,C113+1))</f>
        <v>47</v>
      </c>
      <c r="D114" s="26" t="str">
        <f t="shared" si="3"/>
        <v>2070-71</v>
      </c>
      <c r="E114" s="76" t="str">
        <f>IF(LEFT(D114,4)*1&gt;LEFT('General inputs'!$I$16,4)+'General inputs'!$H$38-1,"",'ET inputs'!D87)</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4"/>
      <c r="K114" s="94"/>
      <c r="L114" s="76" t="str">
        <f>IF(LEFT(D114,4)*1&gt;LEFT('General inputs'!$I$18,4)*1,"",SUMIF('Post-1996 commissioned assets'!$F$22:$F$218,$D114,'Post-1996 commissioned assets'!$P$22:$P$218))</f>
        <v/>
      </c>
      <c r="M114" s="76" t="str">
        <f>IF(L114="","",L114/(1+'General inputs'!$H$32)^C114)</f>
        <v/>
      </c>
      <c r="N114" s="76">
        <f>IF(LEFT(D114,4)*1&lt;LEFT('General inputs'!$I$18,4)*1+1,"",SUMIF('Uncommissioned assets'!$F$22:$F$218,$D114,'Uncommissioned assets'!$P$22:$P$218))</f>
        <v>0</v>
      </c>
      <c r="O114" s="76">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8"/>
    </row>
    <row r="115" spans="2:22" x14ac:dyDescent="0.25">
      <c r="B115" s="47"/>
      <c r="C115" s="26">
        <f>IF(D115='General inputs'!$I$16,0,IF(D115&lt;'General inputs'!$I$16,C116-1,C114+1))</f>
        <v>48</v>
      </c>
      <c r="D115" s="26" t="str">
        <f t="shared" si="3"/>
        <v>2071-72</v>
      </c>
      <c r="E115" s="76" t="str">
        <f>IF(LEFT(D115,4)*1&gt;LEFT('General inputs'!$I$16,4)+'General inputs'!$H$38-1,"",'ET inputs'!D88)</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4"/>
      <c r="K115" s="94"/>
      <c r="L115" s="76" t="str">
        <f>IF(LEFT(D115,4)*1&gt;LEFT('General inputs'!$I$18,4)*1,"",SUMIF('Post-1996 commissioned assets'!$F$22:$F$218,$D115,'Post-1996 commissioned assets'!$P$22:$P$218))</f>
        <v/>
      </c>
      <c r="M115" s="76" t="str">
        <f>IF(L115="","",L115/(1+'General inputs'!$H$32)^C115)</f>
        <v/>
      </c>
      <c r="N115" s="76">
        <f>IF(LEFT(D115,4)*1&lt;LEFT('General inputs'!$I$18,4)*1+1,"",SUMIF('Uncommissioned assets'!$F$22:$F$218,$D115,'Uncommissioned assets'!$P$22:$P$218))</f>
        <v>0</v>
      </c>
      <c r="O115" s="76">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8"/>
    </row>
    <row r="116" spans="2:22" x14ac:dyDescent="0.25">
      <c r="B116" s="47"/>
      <c r="C116" s="26">
        <f>IF(D116='General inputs'!$I$16,0,IF(D116&lt;'General inputs'!$I$16,C117-1,C115+1))</f>
        <v>49</v>
      </c>
      <c r="D116" s="26" t="str">
        <f t="shared" si="3"/>
        <v>2072-73</v>
      </c>
      <c r="E116" s="76" t="str">
        <f>IF(LEFT(D116,4)*1&gt;LEFT('General inputs'!$I$16,4)+'General inputs'!$H$38-1,"",'ET inputs'!D89)</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4"/>
      <c r="K116" s="94"/>
      <c r="L116" s="76" t="str">
        <f>IF(LEFT(D116,4)*1&gt;LEFT('General inputs'!$I$18,4)*1,"",SUMIF('Post-1996 commissioned assets'!$F$22:$F$218,$D116,'Post-1996 commissioned assets'!$P$22:$P$218))</f>
        <v/>
      </c>
      <c r="M116" s="76" t="str">
        <f>IF(L116="","",L116/(1+'General inputs'!$H$32)^C116)</f>
        <v/>
      </c>
      <c r="N116" s="76">
        <f>IF(LEFT(D116,4)*1&lt;LEFT('General inputs'!$I$18,4)*1+1,"",SUMIF('Uncommissioned assets'!$F$22:$F$218,$D116,'Uncommissioned assets'!$P$22:$P$218))</f>
        <v>0</v>
      </c>
      <c r="O116" s="76">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8"/>
    </row>
    <row r="117" spans="2:22" x14ac:dyDescent="0.25">
      <c r="B117" s="47"/>
      <c r="C117" s="26">
        <f>IF(D117='General inputs'!$I$16,0,IF(D117&lt;'General inputs'!$I$16,C118-1,C116+1))</f>
        <v>50</v>
      </c>
      <c r="D117" s="26" t="str">
        <f t="shared" si="3"/>
        <v>2073-74</v>
      </c>
      <c r="E117" s="76" t="str">
        <f>IF(LEFT(D117,4)*1&gt;LEFT('General inputs'!$I$16,4)+'General inputs'!$H$38-1,"",'ET inputs'!D90)</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4"/>
      <c r="K117" s="94"/>
      <c r="L117" s="76" t="str">
        <f>IF(LEFT(D117,4)*1&gt;LEFT('General inputs'!$I$18,4)*1,"",SUMIF('Post-1996 commissioned assets'!$F$22:$F$218,$D117,'Post-1996 commissioned assets'!$P$22:$P$218))</f>
        <v/>
      </c>
      <c r="M117" s="76" t="str">
        <f>IF(L117="","",L117/(1+'General inputs'!$H$32)^C117)</f>
        <v/>
      </c>
      <c r="N117" s="76">
        <f>IF(LEFT(D117,4)*1&lt;LEFT('General inputs'!$I$18,4)*1+1,"",SUMIF('Uncommissioned assets'!$F$22:$F$218,$D117,'Uncommissioned assets'!$P$22:$P$218))</f>
        <v>0</v>
      </c>
      <c r="O117" s="76">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8"/>
    </row>
    <row r="118" spans="2:22" x14ac:dyDescent="0.25">
      <c r="B118" s="47"/>
      <c r="C118" s="26">
        <f>IF(D118='General inputs'!$I$16,0,IF(D118&lt;'General inputs'!$I$16,C119-1,C117+1))</f>
        <v>51</v>
      </c>
      <c r="D118" s="26" t="str">
        <f t="shared" si="3"/>
        <v>2074-75</v>
      </c>
      <c r="E118" s="76" t="str">
        <f>IF(LEFT(D118,4)*1&gt;LEFT('General inputs'!$I$16,4)+'General inputs'!$H$38-1,"",'ET inputs'!D91)</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4"/>
      <c r="K118" s="94"/>
      <c r="L118" s="76" t="str">
        <f>IF(LEFT(D118,4)*1&gt;LEFT('General inputs'!$I$18,4)*1,"",SUMIF('Post-1996 commissioned assets'!$F$22:$F$218,$D118,'Post-1996 commissioned assets'!$P$22:$P$218))</f>
        <v/>
      </c>
      <c r="M118" s="76" t="str">
        <f>IF(L118="","",L118/(1+'General inputs'!$H$32)^C118)</f>
        <v/>
      </c>
      <c r="N118" s="76">
        <f>IF(LEFT(D118,4)*1&lt;LEFT('General inputs'!$I$18,4)*1+1,"",SUMIF('Uncommissioned assets'!$F$22:$F$218,$D118,'Uncommissioned assets'!$P$22:$P$218))</f>
        <v>0</v>
      </c>
      <c r="O118" s="76">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8"/>
    </row>
    <row r="119" spans="2:22" x14ac:dyDescent="0.25">
      <c r="B119" s="47"/>
      <c r="C119" s="26">
        <f>IF(D119='General inputs'!$I$16,0,IF(D119&lt;'General inputs'!$I$16,C120-1,C118+1))</f>
        <v>52</v>
      </c>
      <c r="D119" s="26" t="str">
        <f t="shared" si="3"/>
        <v>2075-76</v>
      </c>
      <c r="E119" s="76" t="str">
        <f>IF(LEFT(D119,4)*1&gt;LEFT('General inputs'!$I$16,4)+'General inputs'!$H$38-1,"",'ET inputs'!D92)</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4"/>
      <c r="K119" s="94"/>
      <c r="L119" s="76" t="str">
        <f>IF(LEFT(D119,4)*1&gt;LEFT('General inputs'!$I$18,4)*1,"",SUMIF('Post-1996 commissioned assets'!$F$22:$F$218,$D119,'Post-1996 commissioned assets'!$P$22:$P$218))</f>
        <v/>
      </c>
      <c r="M119" s="76" t="str">
        <f>IF(L119="","",L119/(1+'General inputs'!$H$32)^C119)</f>
        <v/>
      </c>
      <c r="N119" s="76">
        <f>IF(LEFT(D119,4)*1&lt;LEFT('General inputs'!$I$18,4)*1+1,"",SUMIF('Uncommissioned assets'!$F$22:$F$218,$D119,'Uncommissioned assets'!$P$22:$P$218))</f>
        <v>0</v>
      </c>
      <c r="O119" s="76">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8"/>
    </row>
    <row r="120" spans="2:22" x14ac:dyDescent="0.25">
      <c r="B120" s="47"/>
      <c r="C120" s="26">
        <f>IF(D120='General inputs'!$I$16,0,IF(D120&lt;'General inputs'!$I$16,C121-1,C119+1))</f>
        <v>53</v>
      </c>
      <c r="D120" s="26" t="str">
        <f t="shared" si="3"/>
        <v>2076-77</v>
      </c>
      <c r="E120" s="76" t="str">
        <f>IF(LEFT(D120,4)*1&gt;LEFT('General inputs'!$I$16,4)+'General inputs'!$H$38-1,"",'ET inputs'!D93)</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4"/>
      <c r="K120" s="94"/>
      <c r="L120" s="76" t="str">
        <f>IF(LEFT(D120,4)*1&gt;LEFT('General inputs'!$I$18,4)*1,"",SUMIF('Post-1996 commissioned assets'!$F$22:$F$218,$D120,'Post-1996 commissioned assets'!$P$22:$P$218))</f>
        <v/>
      </c>
      <c r="M120" s="76" t="str">
        <f>IF(L120="","",L120/(1+'General inputs'!$H$32)^C120)</f>
        <v/>
      </c>
      <c r="N120" s="76">
        <f>IF(LEFT(D120,4)*1&lt;LEFT('General inputs'!$I$18,4)*1+1,"",SUMIF('Uncommissioned assets'!$F$22:$F$218,$D120,'Uncommissioned assets'!$P$22:$P$218))</f>
        <v>0</v>
      </c>
      <c r="O120" s="76">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8"/>
    </row>
    <row r="121" spans="2:22" x14ac:dyDescent="0.25">
      <c r="B121" s="47"/>
      <c r="C121" s="26">
        <f>IF(D121='General inputs'!$I$16,0,IF(D121&lt;'General inputs'!$I$16,C122-1,C120+1))</f>
        <v>54</v>
      </c>
      <c r="D121" s="26" t="str">
        <f t="shared" si="3"/>
        <v>2077-78</v>
      </c>
      <c r="E121" s="76" t="str">
        <f>IF(LEFT(D121,4)*1&gt;LEFT('General inputs'!$I$16,4)+'General inputs'!$H$38-1,"",'ET inputs'!D94)</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4"/>
      <c r="K121" s="94"/>
      <c r="L121" s="76" t="str">
        <f>IF(LEFT(D121,4)*1&gt;LEFT('General inputs'!$I$18,4)*1,"",SUMIF('Post-1996 commissioned assets'!$F$22:$F$218,$D121,'Post-1996 commissioned assets'!$P$22:$P$218))</f>
        <v/>
      </c>
      <c r="M121" s="76" t="str">
        <f>IF(L121="","",L121/(1+'General inputs'!$H$32)^C121)</f>
        <v/>
      </c>
      <c r="N121" s="76">
        <f>IF(LEFT(D121,4)*1&lt;LEFT('General inputs'!$I$18,4)*1+1,"",SUMIF('Uncommissioned assets'!$F$22:$F$218,$D121,'Uncommissioned assets'!$P$22:$P$218))</f>
        <v>0</v>
      </c>
      <c r="O121" s="76">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8"/>
    </row>
    <row r="122" spans="2:22" x14ac:dyDescent="0.25">
      <c r="B122" s="47"/>
      <c r="C122" s="26">
        <f>IF(D122='General inputs'!$I$16,0,IF(D122&lt;'General inputs'!$I$16,C123-1,C121+1))</f>
        <v>55</v>
      </c>
      <c r="D122" s="26" t="str">
        <f t="shared" si="3"/>
        <v>2078-79</v>
      </c>
      <c r="E122" s="76" t="str">
        <f>IF(LEFT(D122,4)*1&gt;LEFT('General inputs'!$I$16,4)+'General inputs'!$H$38-1,"",'ET inputs'!D95)</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4"/>
      <c r="K122" s="94"/>
      <c r="L122" s="76" t="str">
        <f>IF(LEFT(D122,4)*1&gt;LEFT('General inputs'!$I$18,4)*1,"",SUMIF('Post-1996 commissioned assets'!$F$22:$F$218,$D122,'Post-1996 commissioned assets'!$P$22:$P$218))</f>
        <v/>
      </c>
      <c r="M122" s="76" t="str">
        <f>IF(L122="","",L122/(1+'General inputs'!$H$32)^C122)</f>
        <v/>
      </c>
      <c r="N122" s="76">
        <f>IF(LEFT(D122,4)*1&lt;LEFT('General inputs'!$I$18,4)*1+1,"",SUMIF('Uncommissioned assets'!$F$22:$F$218,$D122,'Uncommissioned assets'!$P$22:$P$218))</f>
        <v>0</v>
      </c>
      <c r="O122" s="76">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8"/>
    </row>
    <row r="123" spans="2:22" x14ac:dyDescent="0.25">
      <c r="B123" s="47"/>
      <c r="C123" s="26">
        <f>IF(D123='General inputs'!$I$16,0,IF(D123&lt;'General inputs'!$I$16,C124-1,C122+1))</f>
        <v>56</v>
      </c>
      <c r="D123" s="26" t="str">
        <f t="shared" ref="D123:D129" si="4">LEFT(D122,4)+1&amp;"-"&amp;RIGHT(D122,2)+1</f>
        <v>2079-80</v>
      </c>
      <c r="E123" s="76" t="str">
        <f>IF(LEFT(D123,4)*1&gt;LEFT('General inputs'!$I$16,4)+'General inputs'!$H$38-1,"",'ET inputs'!D96)</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4"/>
      <c r="K123" s="94"/>
      <c r="L123" s="76" t="str">
        <f>IF(LEFT(D123,4)*1&gt;LEFT('General inputs'!$I$18,4)*1,"",SUMIF('Post-1996 commissioned assets'!$F$22:$F$218,$D123,'Post-1996 commissioned assets'!$P$22:$P$218))</f>
        <v/>
      </c>
      <c r="M123" s="76" t="str">
        <f>IF(L123="","",L123/(1+'General inputs'!$H$32)^C123)</f>
        <v/>
      </c>
      <c r="N123" s="76">
        <f>IF(LEFT(D123,4)*1&lt;LEFT('General inputs'!$I$18,4)*1+1,"",SUMIF('Uncommissioned assets'!$F$22:$F$218,$D123,'Uncommissioned assets'!$P$22:$P$218))</f>
        <v>0</v>
      </c>
      <c r="O123" s="76">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8"/>
    </row>
    <row r="124" spans="2:22" x14ac:dyDescent="0.25">
      <c r="B124" s="47"/>
      <c r="C124" s="26">
        <f>IF(D124='General inputs'!$I$16,0,IF(D124&lt;'General inputs'!$I$16,C125-1,C123+1))</f>
        <v>57</v>
      </c>
      <c r="D124" s="26" t="str">
        <f t="shared" si="4"/>
        <v>2080-81</v>
      </c>
      <c r="E124" s="76" t="str">
        <f>IF(LEFT(D124,4)*1&gt;LEFT('General inputs'!$I$16,4)+'General inputs'!$H$38-1,"",'ET inputs'!D97)</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4"/>
      <c r="K124" s="94"/>
      <c r="L124" s="76" t="str">
        <f>IF(LEFT(D124,4)*1&gt;LEFT('General inputs'!$I$18,4)*1,"",SUMIF('Post-1996 commissioned assets'!$F$22:$F$218,$D124,'Post-1996 commissioned assets'!$P$22:$P$218))</f>
        <v/>
      </c>
      <c r="M124" s="76" t="str">
        <f>IF(L124="","",L124/(1+'General inputs'!$H$32)^C124)</f>
        <v/>
      </c>
      <c r="N124" s="76">
        <f>IF(LEFT(D124,4)*1&lt;LEFT('General inputs'!$I$18,4)*1+1,"",SUMIF('Uncommissioned assets'!$F$22:$F$218,$D124,'Uncommissioned assets'!$P$22:$P$218))</f>
        <v>0</v>
      </c>
      <c r="O124" s="76">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8"/>
    </row>
    <row r="125" spans="2:22" x14ac:dyDescent="0.25">
      <c r="B125" s="47"/>
      <c r="C125" s="26">
        <f>IF(D125='General inputs'!$I$16,0,IF(D125&lt;'General inputs'!$I$16,C126-1,C124+1))</f>
        <v>58</v>
      </c>
      <c r="D125" s="26" t="str">
        <f t="shared" si="4"/>
        <v>2081-82</v>
      </c>
      <c r="E125" s="76" t="str">
        <f>IF(LEFT(D125,4)*1&gt;LEFT('General inputs'!$I$16,4)+'General inputs'!$H$38-1,"",'ET inputs'!D98)</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4"/>
      <c r="K125" s="94"/>
      <c r="L125" s="76" t="str">
        <f>IF(LEFT(D125,4)*1&gt;LEFT('General inputs'!$I$18,4)*1,"",SUMIF('Post-1996 commissioned assets'!$F$22:$F$218,$D125,'Post-1996 commissioned assets'!$P$22:$P$218))</f>
        <v/>
      </c>
      <c r="M125" s="76" t="str">
        <f>IF(L125="","",L125/(1+'General inputs'!$H$32)^C125)</f>
        <v/>
      </c>
      <c r="N125" s="76">
        <f>IF(LEFT(D125,4)*1&lt;LEFT('General inputs'!$I$18,4)*1+1,"",SUMIF('Uncommissioned assets'!$F$22:$F$218,$D125,'Uncommissioned assets'!$P$22:$P$218))</f>
        <v>0</v>
      </c>
      <c r="O125" s="76">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8"/>
    </row>
    <row r="126" spans="2:22" x14ac:dyDescent="0.25">
      <c r="B126" s="47"/>
      <c r="C126" s="26">
        <f>IF(D126='General inputs'!$I$16,0,IF(D126&lt;'General inputs'!$I$16,C127-1,C125+1))</f>
        <v>59</v>
      </c>
      <c r="D126" s="26" t="str">
        <f t="shared" si="4"/>
        <v>2082-83</v>
      </c>
      <c r="E126" s="76" t="str">
        <f>IF(LEFT(D126,4)*1&gt;LEFT('General inputs'!$I$16,4)+'General inputs'!$H$38-1,"",'ET inputs'!D99)</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4"/>
      <c r="K126" s="94"/>
      <c r="L126" s="76" t="str">
        <f>IF(LEFT(D126,4)*1&gt;LEFT('General inputs'!$I$18,4)*1,"",SUMIF('Post-1996 commissioned assets'!$F$22:$F$218,$D126,'Post-1996 commissioned assets'!$P$22:$P$218))</f>
        <v/>
      </c>
      <c r="M126" s="76" t="str">
        <f>IF(L126="","",L126/(1+'General inputs'!$H$32)^C126)</f>
        <v/>
      </c>
      <c r="N126" s="76">
        <f>IF(LEFT(D126,4)*1&lt;LEFT('General inputs'!$I$18,4)*1+1,"",SUMIF('Uncommissioned assets'!$F$22:$F$218,$D126,'Uncommissioned assets'!$P$22:$P$218))</f>
        <v>0</v>
      </c>
      <c r="O126" s="76">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8"/>
    </row>
    <row r="127" spans="2:22" x14ac:dyDescent="0.25">
      <c r="B127" s="47"/>
      <c r="C127" s="26">
        <f>IF(D127='General inputs'!$I$16,0,IF(D127&lt;'General inputs'!$I$16,C128-1,C126+1))</f>
        <v>60</v>
      </c>
      <c r="D127" s="26" t="str">
        <f t="shared" si="4"/>
        <v>2083-84</v>
      </c>
      <c r="E127" s="76" t="str">
        <f>IF(LEFT(D127,4)*1&gt;LEFT('General inputs'!$I$16,4)+'General inputs'!$H$38-1,"",'ET inputs'!D100)</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4"/>
      <c r="K127" s="94"/>
      <c r="L127" s="76" t="str">
        <f>IF(LEFT(D127,4)*1&gt;LEFT('General inputs'!$I$18,4)*1,"",SUMIF('Post-1996 commissioned assets'!$F$22:$F$218,$D127,'Post-1996 commissioned assets'!$P$22:$P$218))</f>
        <v/>
      </c>
      <c r="M127" s="76" t="str">
        <f>IF(L127="","",L127/(1+'General inputs'!$H$32)^C127)</f>
        <v/>
      </c>
      <c r="N127" s="76">
        <f>IF(LEFT(D127,4)*1&lt;LEFT('General inputs'!$I$18,4)*1+1,"",SUMIF('Uncommissioned assets'!$F$22:$F$218,$D127,'Uncommissioned assets'!$P$22:$P$218))</f>
        <v>0</v>
      </c>
      <c r="O127" s="76">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8"/>
    </row>
    <row r="128" spans="2:22" x14ac:dyDescent="0.25">
      <c r="B128" s="47"/>
      <c r="C128" s="26">
        <f>IF(D128='General inputs'!$I$16,0,IF(D128&lt;'General inputs'!$I$16,C129-1,C127+1))</f>
        <v>61</v>
      </c>
      <c r="D128" s="26" t="str">
        <f t="shared" si="4"/>
        <v>2084-85</v>
      </c>
      <c r="E128" s="76" t="str">
        <f>IF(LEFT(D128,4)*1&gt;LEFT('General inputs'!$I$16,4)+'General inputs'!$H$38-1,"",'ET inputs'!D101)</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4"/>
      <c r="K128" s="94"/>
      <c r="L128" s="76" t="str">
        <f>IF(LEFT(D128,4)*1&gt;LEFT('General inputs'!$I$18,4)*1,"",SUMIF('Post-1996 commissioned assets'!$F$22:$F$218,$D128,'Post-1996 commissioned assets'!$P$22:$P$218))</f>
        <v/>
      </c>
      <c r="M128" s="76" t="str">
        <f>IF(L128="","",L128/(1+'General inputs'!$H$32)^C128)</f>
        <v/>
      </c>
      <c r="N128" s="76">
        <f>IF(LEFT(D128,4)*1&lt;LEFT('General inputs'!$I$18,4)*1+1,"",SUMIF('Uncommissioned assets'!$F$22:$F$218,$D128,'Uncommissioned assets'!$P$22:$P$218))</f>
        <v>0</v>
      </c>
      <c r="O128" s="76">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8"/>
    </row>
    <row r="129" spans="2:22" x14ac:dyDescent="0.25">
      <c r="B129" s="47"/>
      <c r="C129" s="26">
        <f>IF(D129='General inputs'!$I$16,0,IF(D129&lt;'General inputs'!$I$16,C130-1,C128+1))</f>
        <v>62</v>
      </c>
      <c r="D129" s="26" t="str">
        <f t="shared" si="4"/>
        <v>2085-86</v>
      </c>
      <c r="E129" s="76" t="str">
        <f>IF(LEFT(D129,4)*1&gt;LEFT('General inputs'!$I$16,4)+'General inputs'!$H$38-1,"",'ET inputs'!D102)</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4"/>
      <c r="K129" s="94"/>
      <c r="L129" s="76" t="str">
        <f>IF(LEFT(D129,4)*1&gt;LEFT('General inputs'!$I$18,4)*1,"",SUMIF('Post-1996 commissioned assets'!$F$22:$F$218,$D129,'Post-1996 commissioned assets'!$P$22:$P$218))</f>
        <v/>
      </c>
      <c r="M129" s="76" t="str">
        <f>IF(L129="","",L129/(1+'General inputs'!$H$32)^C129)</f>
        <v/>
      </c>
      <c r="N129" s="76">
        <f>IF(LEFT(D129,4)*1&lt;LEFT('General inputs'!$I$18,4)*1+1,"",SUMIF('Uncommissioned assets'!$F$22:$F$218,$D129,'Uncommissioned assets'!$P$22:$P$218))</f>
        <v>0</v>
      </c>
      <c r="O129" s="76">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8"/>
    </row>
    <row r="130" spans="2:22" x14ac:dyDescent="0.25">
      <c r="B130" s="49"/>
      <c r="C130" s="35"/>
      <c r="D130" s="35"/>
      <c r="E130" s="35"/>
      <c r="F130" s="35"/>
      <c r="G130" s="35"/>
      <c r="H130" s="35"/>
      <c r="I130" s="35"/>
      <c r="J130" s="35"/>
      <c r="K130" s="35"/>
      <c r="L130" s="35"/>
      <c r="M130" s="35"/>
      <c r="N130" s="35"/>
      <c r="O130" s="35"/>
      <c r="P130" s="35"/>
      <c r="Q130" s="35"/>
      <c r="R130" s="35"/>
      <c r="S130" s="35"/>
      <c r="T130" s="35"/>
      <c r="U130" s="35"/>
      <c r="V130" s="50"/>
    </row>
  </sheetData>
  <conditionalFormatting sqref="Q36">
    <cfRule type="containsText" dxfId="10" priority="5" operator="containsText" text="data">
      <formula>NOT(ISERROR(SEARCH("data",Q36)))</formula>
    </cfRule>
  </conditionalFormatting>
  <conditionalFormatting sqref="T36">
    <cfRule type="containsText" dxfId="8"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1" t="s">
        <v>129</v>
      </c>
    </row>
    <row r="5" spans="3:13" ht="15.5" x14ac:dyDescent="0.35">
      <c r="C5" s="2" t="s">
        <v>130</v>
      </c>
      <c r="H5" s="202" t="s">
        <v>131</v>
      </c>
      <c r="I5" s="203"/>
      <c r="L5" s="6" t="str">
        <f>"Do not delete - data validation for option at "&amp;ADDRESS(ROW(H5),COLUMN(H5))</f>
        <v>Do not delete - data validation for option at $H$5</v>
      </c>
    </row>
    <row r="6" spans="3:13" x14ac:dyDescent="0.25">
      <c r="L6" t="s">
        <v>132</v>
      </c>
      <c r="M6" t="s">
        <v>133</v>
      </c>
    </row>
    <row r="7" spans="3:13" ht="15.5" x14ac:dyDescent="0.35">
      <c r="C7" s="2" t="s">
        <v>134</v>
      </c>
      <c r="H7" s="202" t="s">
        <v>135</v>
      </c>
      <c r="I7" s="203"/>
      <c r="L7" s="36" t="s">
        <v>136</v>
      </c>
      <c r="M7" s="109">
        <v>0</v>
      </c>
    </row>
    <row r="8" spans="3:13" x14ac:dyDescent="0.25">
      <c r="L8" s="37" t="s">
        <v>137</v>
      </c>
      <c r="M8" s="110">
        <v>0.03</v>
      </c>
    </row>
    <row r="9" spans="3:13" ht="15.5" x14ac:dyDescent="0.35">
      <c r="C9" s="2" t="s">
        <v>138</v>
      </c>
      <c r="H9" s="202" t="s">
        <v>139</v>
      </c>
      <c r="I9" s="203"/>
      <c r="L9" s="38" t="s">
        <v>131</v>
      </c>
      <c r="M9" s="111">
        <v>0.03</v>
      </c>
    </row>
    <row r="11" spans="3:13" ht="15.5" x14ac:dyDescent="0.35">
      <c r="C11" s="2" t="s">
        <v>140</v>
      </c>
      <c r="H11" s="202" t="s">
        <v>141</v>
      </c>
      <c r="I11" s="203"/>
    </row>
    <row r="12" spans="3:13" x14ac:dyDescent="0.25">
      <c r="L12" s="6" t="str">
        <f>"Do not delete - data validation for options at "&amp;ADDRESS(ROW(H11),COLUMN(H11))</f>
        <v>Do not delete - data validation for options at $H$11</v>
      </c>
    </row>
    <row r="13" spans="3:13" x14ac:dyDescent="0.25">
      <c r="L13" s="36" t="s">
        <v>142</v>
      </c>
    </row>
    <row r="14" spans="3:13" ht="15.5" x14ac:dyDescent="0.35">
      <c r="C14" s="2" t="s">
        <v>143</v>
      </c>
      <c r="I14" s="89" t="s">
        <v>144</v>
      </c>
      <c r="L14" s="37" t="s">
        <v>145</v>
      </c>
    </row>
    <row r="15" spans="3:13" x14ac:dyDescent="0.25">
      <c r="L15" s="38" t="s">
        <v>141</v>
      </c>
    </row>
    <row r="16" spans="3:13" x14ac:dyDescent="0.25">
      <c r="D16" s="6" t="s">
        <v>146</v>
      </c>
      <c r="I16" s="42" t="s">
        <v>147</v>
      </c>
    </row>
    <row r="17" spans="3:12" x14ac:dyDescent="0.25">
      <c r="D17" s="6"/>
    </row>
    <row r="18" spans="3:12" x14ac:dyDescent="0.25">
      <c r="D18" s="6" t="s">
        <v>148</v>
      </c>
      <c r="H18" s="153">
        <v>45473</v>
      </c>
      <c r="I18" s="60" t="str">
        <f>IF(MONTH(H18)&gt;=7,YEAR(H18)&amp;"-"&amp;RIGHT(YEAR(H18),2)+1,RIGHT(YEAR(H18),4)-1&amp;"-"&amp;RIGHT(YEAR(H18),2))</f>
        <v>2023-24</v>
      </c>
      <c r="L18" s="6" t="str">
        <f>"Do not delete - data validation for options at "&amp;ADDRESS(ROW(I16),COLUMN(I16))&amp;" and "&amp;ADDRESS(ROW(I40),COLUMN(I40))</f>
        <v>Do not delete - data validation for options at $I$16 and $I$40</v>
      </c>
    </row>
    <row r="19" spans="3:12" x14ac:dyDescent="0.25">
      <c r="L19" s="141" t="s">
        <v>149</v>
      </c>
    </row>
    <row r="20" spans="3:12" x14ac:dyDescent="0.25">
      <c r="L20" s="37" t="s">
        <v>150</v>
      </c>
    </row>
    <row r="21" spans="3:12" x14ac:dyDescent="0.25">
      <c r="D21" s="6" t="s">
        <v>151</v>
      </c>
      <c r="L21" s="37" t="s">
        <v>152</v>
      </c>
    </row>
    <row r="22" spans="3:12" x14ac:dyDescent="0.25">
      <c r="L22" s="37" t="s">
        <v>153</v>
      </c>
    </row>
    <row r="23" spans="3:12" x14ac:dyDescent="0.25">
      <c r="D23" s="58" t="s">
        <v>154</v>
      </c>
      <c r="H23" s="59">
        <v>25569</v>
      </c>
      <c r="L23" s="37" t="s">
        <v>155</v>
      </c>
    </row>
    <row r="24" spans="3:12" x14ac:dyDescent="0.25">
      <c r="D24" s="58" t="s">
        <v>156</v>
      </c>
      <c r="H24" s="59">
        <v>35064</v>
      </c>
      <c r="L24" s="37" t="s">
        <v>147</v>
      </c>
    </row>
    <row r="25" spans="3:12" x14ac:dyDescent="0.25">
      <c r="L25" s="37" t="s">
        <v>157</v>
      </c>
    </row>
    <row r="26" spans="3:12" x14ac:dyDescent="0.25">
      <c r="L26" s="37" t="s">
        <v>158</v>
      </c>
    </row>
    <row r="27" spans="3:12" x14ac:dyDescent="0.25">
      <c r="L27" s="37" t="s">
        <v>159</v>
      </c>
    </row>
    <row r="28" spans="3:12" ht="15.5" x14ac:dyDescent="0.35">
      <c r="C28" s="2" t="s">
        <v>160</v>
      </c>
      <c r="L28" s="37" t="s">
        <v>161</v>
      </c>
    </row>
    <row r="29" spans="3:12" x14ac:dyDescent="0.25">
      <c r="L29" s="37" t="s">
        <v>162</v>
      </c>
    </row>
    <row r="30" spans="3:12" x14ac:dyDescent="0.25">
      <c r="D30" s="6" t="s">
        <v>163</v>
      </c>
      <c r="H30" s="61">
        <f>INDEX($M$7:$M$12,MATCH($H$5,$L$7:$L$12))</f>
        <v>0.03</v>
      </c>
      <c r="L30" s="37" t="s">
        <v>164</v>
      </c>
    </row>
    <row r="31" spans="3:12" ht="12" customHeight="1" x14ac:dyDescent="0.35">
      <c r="C31" s="2"/>
      <c r="D31" s="6"/>
      <c r="H31" s="29"/>
      <c r="L31" s="38" t="s">
        <v>165</v>
      </c>
    </row>
    <row r="32" spans="3:12" ht="12" customHeight="1" x14ac:dyDescent="0.35">
      <c r="C32" s="2"/>
      <c r="D32" s="5" t="s">
        <v>166</v>
      </c>
      <c r="H32" s="143">
        <v>4.2000000000000003E-2</v>
      </c>
    </row>
    <row r="33" spans="3:12" ht="12" customHeight="1" x14ac:dyDescent="0.25">
      <c r="D33" s="6"/>
      <c r="H33" s="29"/>
    </row>
    <row r="34" spans="3:12" ht="12" customHeight="1" x14ac:dyDescent="0.25">
      <c r="D34" s="5" t="s">
        <v>167</v>
      </c>
      <c r="H34" s="143">
        <v>4.2000000000000003E-2</v>
      </c>
    </row>
    <row r="35" spans="3:12" ht="12" customHeight="1" x14ac:dyDescent="0.35">
      <c r="C35" s="2"/>
    </row>
    <row r="36" spans="3:12" ht="12" customHeight="1" x14ac:dyDescent="0.35">
      <c r="C36" s="2"/>
      <c r="D36" s="204" t="s">
        <v>168</v>
      </c>
      <c r="E36" s="204"/>
      <c r="F36" s="204"/>
      <c r="G36" s="205"/>
      <c r="H36" s="196">
        <v>0.10495901701668212</v>
      </c>
      <c r="L36" s="6" t="str">
        <f>"Do not delete - data validation for option at "&amp;ADDRESS(ROW(H42),COLUMN(H42))</f>
        <v>Do not delete - data validation for option at $H$42</v>
      </c>
    </row>
    <row r="37" spans="3:12" ht="12" customHeight="1" x14ac:dyDescent="0.35">
      <c r="C37" s="2"/>
      <c r="L37" s="36" t="s">
        <v>169</v>
      </c>
    </row>
    <row r="38" spans="3:12" ht="12" customHeight="1" x14ac:dyDescent="0.35">
      <c r="C38" s="2"/>
      <c r="D38" s="6" t="s">
        <v>170</v>
      </c>
      <c r="H38" s="62">
        <v>31</v>
      </c>
      <c r="L38" s="37" t="s">
        <v>171</v>
      </c>
    </row>
    <row r="39" spans="3:12" ht="12" customHeight="1" x14ac:dyDescent="0.35">
      <c r="C39" s="2"/>
      <c r="L39" s="38" t="s">
        <v>172</v>
      </c>
    </row>
    <row r="40" spans="3:12" ht="12" customHeight="1" x14ac:dyDescent="0.25">
      <c r="D40" s="6" t="s">
        <v>173</v>
      </c>
      <c r="I40" s="42" t="s">
        <v>147</v>
      </c>
    </row>
    <row r="42" spans="3:12" x14ac:dyDescent="0.25">
      <c r="D42" s="6" t="s">
        <v>174</v>
      </c>
      <c r="H42" s="142" t="s">
        <v>171</v>
      </c>
    </row>
    <row r="43" spans="3:12" x14ac:dyDescent="0.25">
      <c r="D43" s="6"/>
    </row>
    <row r="47" spans="3:12" ht="15.5" x14ac:dyDescent="0.35">
      <c r="C47" s="2"/>
    </row>
    <row r="49" spans="6:6" x14ac:dyDescent="0.25">
      <c r="F49" s="27"/>
    </row>
    <row r="50" spans="6:6" x14ac:dyDescent="0.25">
      <c r="F50" s="27"/>
    </row>
  </sheetData>
  <mergeCells count="5">
    <mergeCell ref="H5:I5"/>
    <mergeCell ref="H7:I7"/>
    <mergeCell ref="H9:I9"/>
    <mergeCell ref="H11:I11"/>
    <mergeCell ref="D36:G36"/>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P219"/>
  <sheetViews>
    <sheetView showGridLines="0" zoomScaleNormal="100" workbookViewId="0">
      <pane ySplit="21" topLeftCell="A22" activePane="bottomLeft" state="frozen"/>
      <selection activeCell="A22" sqref="A22"/>
      <selection pane="bottomLeft" activeCell="F22" sqref="F22"/>
    </sheetView>
  </sheetViews>
  <sheetFormatPr defaultColWidth="28" defaultRowHeight="11.5" x14ac:dyDescent="0.25"/>
  <cols>
    <col min="1" max="2" width="2.699218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s>
  <sheetData>
    <row r="1" spans="3:8" x14ac:dyDescent="0.25">
      <c r="E1" s="27"/>
    </row>
    <row r="2" spans="3:8" x14ac:dyDescent="0.25">
      <c r="E2" s="27"/>
    </row>
    <row r="3" spans="3:8" ht="20" x14ac:dyDescent="0.4">
      <c r="C3" s="51" t="s">
        <v>175</v>
      </c>
    </row>
    <row r="6" spans="3:8" x14ac:dyDescent="0.25">
      <c r="C6" s="9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8" x14ac:dyDescent="0.25">
      <c r="C7" s="105" t="str">
        <f ca="1">"Hyperlink to the '"&amp;MID(CELL("filename",'Asset exclusions'!A1),FIND("]",CELL("filename",'Asset exclusions'!A1))+1,255)&amp;"' worksheet:"</f>
        <v>Hyperlink to the 'Asset exclusions' worksheet:</v>
      </c>
      <c r="E7" s="136" t="s">
        <v>176</v>
      </c>
    </row>
    <row r="8" spans="3:8" x14ac:dyDescent="0.25">
      <c r="C8" s="105"/>
      <c r="E8" s="136"/>
    </row>
    <row r="9" spans="3:8" x14ac:dyDescent="0.25">
      <c r="C9" s="105" t="s">
        <v>177</v>
      </c>
      <c r="E9" s="136"/>
    </row>
    <row r="10" spans="3:8" x14ac:dyDescent="0.25">
      <c r="C10" s="105" t="s">
        <v>178</v>
      </c>
      <c r="E10" s="136"/>
    </row>
    <row r="11" spans="3:8" x14ac:dyDescent="0.25">
      <c r="C11" s="105" t="s">
        <v>179</v>
      </c>
      <c r="E11" s="136"/>
    </row>
    <row r="12" spans="3:8" x14ac:dyDescent="0.25">
      <c r="C12" s="105" t="s">
        <v>180</v>
      </c>
      <c r="E12" s="136"/>
    </row>
    <row r="13" spans="3:8" x14ac:dyDescent="0.25">
      <c r="H13" s="27"/>
    </row>
    <row r="14" spans="3:8" x14ac:dyDescent="0.25">
      <c r="C14" s="6" t="s">
        <v>181</v>
      </c>
      <c r="H14" s="27"/>
    </row>
    <row r="15" spans="3:8" x14ac:dyDescent="0.25">
      <c r="C15" s="58" t="s">
        <v>182</v>
      </c>
      <c r="E15" s="82">
        <f>'General inputs'!$H$23</f>
        <v>25569</v>
      </c>
      <c r="H15" s="27"/>
    </row>
    <row r="16" spans="3:8" x14ac:dyDescent="0.25">
      <c r="C16" s="58" t="s">
        <v>183</v>
      </c>
      <c r="E16" s="83">
        <f>'General inputs'!$H$24</f>
        <v>35064</v>
      </c>
      <c r="H16" s="27"/>
    </row>
    <row r="18" spans="3:16" ht="15.5" x14ac:dyDescent="0.35">
      <c r="C18" s="2" t="s">
        <v>184</v>
      </c>
    </row>
    <row r="20" spans="3:16" x14ac:dyDescent="0.25">
      <c r="C20" s="6" t="s">
        <v>185</v>
      </c>
      <c r="H20" s="6" t="s">
        <v>186</v>
      </c>
      <c r="L20" s="6" t="s">
        <v>187</v>
      </c>
      <c r="M20" s="6"/>
    </row>
    <row r="21" spans="3:16" ht="57.5" x14ac:dyDescent="0.25">
      <c r="C21" s="144" t="s">
        <v>188</v>
      </c>
      <c r="D21" s="24" t="s">
        <v>189</v>
      </c>
      <c r="E21" s="144" t="s">
        <v>190</v>
      </c>
      <c r="F21" s="24" t="s">
        <v>191</v>
      </c>
      <c r="H21" s="144" t="s">
        <v>192</v>
      </c>
      <c r="I21" s="144" t="s">
        <v>193</v>
      </c>
      <c r="J21" s="144" t="s">
        <v>194</v>
      </c>
      <c r="L21" s="144" t="s">
        <v>195</v>
      </c>
      <c r="M21" s="24" t="s">
        <v>196</v>
      </c>
      <c r="N21" s="144" t="str">
        <f>"MEERA value per unit/measure of length (B) 
("&amp;'General inputs'!$H$42&amp;" as at 1 July "&amp;LEFT('General inputs'!$I$40,4)&amp;")"</f>
        <v>MEERA value per unit/measure of length (B) 
($'000 as at 1 July 2023)</v>
      </c>
      <c r="O21" s="144" t="str">
        <f>"Total MEERA value (A x B)
("&amp;'General inputs'!$H$42&amp;", $"&amp;'General inputs'!$I$40&amp;")"</f>
        <v>Total MEERA value (A x B)
($'000, $2023-24)</v>
      </c>
      <c r="P21" s="24" t="str">
        <f>"MEERA value to be recovered via DSP ("&amp;'General inputs'!$H$42&amp;", $"&amp;'General inputs'!$I$40&amp;")"</f>
        <v>MEERA value to be recovered via DSP ($'000, $2023-24)</v>
      </c>
    </row>
    <row r="22" spans="3:16" x14ac:dyDescent="0.25">
      <c r="C22" s="160"/>
      <c r="D22" s="168"/>
      <c r="E22" s="163"/>
      <c r="F22" s="169" t="str">
        <f>IF(E22="","-",IF(OR(E22&lt;$E$15,E22&gt;$E$16),"ERROR - date outside of range","Date check - OK"))</f>
        <v>-</v>
      </c>
      <c r="G22" s="69"/>
      <c r="H22" s="170"/>
      <c r="I22" s="160"/>
      <c r="J22" s="171" t="str">
        <f>IFERROR(MIN('MP Calculations'!$E$29/I22,1),"-")</f>
        <v>-</v>
      </c>
      <c r="K22" s="69"/>
      <c r="L22" s="160"/>
      <c r="M22" s="172"/>
      <c r="N22" s="160"/>
      <c r="O22" s="173" t="str">
        <f>IF(N22="","-",L22*N22)</f>
        <v>-</v>
      </c>
      <c r="P22" s="174" t="str">
        <f>IF(O22="-","-",IF(OR(E22&lt;$E$15,E22&gt;$E$16),0,O22*J22))</f>
        <v>-</v>
      </c>
    </row>
    <row r="23" spans="3:16" x14ac:dyDescent="0.25">
      <c r="C23" s="161"/>
      <c r="D23" s="175"/>
      <c r="E23" s="164"/>
      <c r="F23" s="176" t="str">
        <f t="shared" ref="F23:F86" si="0">IF(E23="","-",IF(OR(E23&lt;$E$15,E23&gt;$E$16),"ERROR - date outside of range","Date check - OK"))</f>
        <v>-</v>
      </c>
      <c r="G23" s="69"/>
      <c r="H23" s="177"/>
      <c r="I23" s="161"/>
      <c r="J23" s="178" t="str">
        <f>IFERROR(MIN('MP Calculations'!$E$29/I23,1),"-")</f>
        <v>-</v>
      </c>
      <c r="K23" s="69"/>
      <c r="L23" s="161"/>
      <c r="M23" s="161"/>
      <c r="N23" s="179"/>
      <c r="O23" s="180" t="str">
        <f t="shared" ref="O23:O86" si="1">IF(N23="","-",L23*N23)</f>
        <v>-</v>
      </c>
      <c r="P23" s="181" t="str">
        <f t="shared" ref="P23:P86" si="2">IF(O23="-","-",IF(OR(E23&lt;$E$15,E23&gt;$E$16),0,O23*J23))</f>
        <v>-</v>
      </c>
    </row>
    <row r="24" spans="3:16" x14ac:dyDescent="0.25">
      <c r="C24" s="161"/>
      <c r="D24" s="175"/>
      <c r="E24" s="166"/>
      <c r="F24" s="176" t="str">
        <f t="shared" si="0"/>
        <v>-</v>
      </c>
      <c r="G24" s="69"/>
      <c r="H24" s="177"/>
      <c r="I24" s="161"/>
      <c r="J24" s="178" t="str">
        <f>IFERROR(MIN('MP Calculations'!$E$29/I24,1),"-")</f>
        <v>-</v>
      </c>
      <c r="K24" s="12"/>
      <c r="L24" s="161"/>
      <c r="M24" s="161"/>
      <c r="N24" s="161"/>
      <c r="O24" s="180" t="str">
        <f t="shared" si="1"/>
        <v>-</v>
      </c>
      <c r="P24" s="181" t="str">
        <f t="shared" si="2"/>
        <v>-</v>
      </c>
    </row>
    <row r="25" spans="3:16" x14ac:dyDescent="0.25">
      <c r="C25" s="161"/>
      <c r="D25" s="175"/>
      <c r="E25" s="166"/>
      <c r="F25" s="176" t="str">
        <f>IF(E25="","-",IF(OR(E25&lt;$E$15,E25&gt;$E$16),"ERROR - date outside of range","Date check - OK"))</f>
        <v>-</v>
      </c>
      <c r="G25" s="69"/>
      <c r="H25" s="177"/>
      <c r="I25" s="161"/>
      <c r="J25" s="178" t="str">
        <f>IFERROR(MIN('MP Calculations'!$E$29/I25,1),"-")</f>
        <v>-</v>
      </c>
      <c r="K25" s="12"/>
      <c r="L25" s="161"/>
      <c r="M25" s="161"/>
      <c r="N25" s="161"/>
      <c r="O25" s="180" t="str">
        <f t="shared" si="1"/>
        <v>-</v>
      </c>
      <c r="P25" s="181" t="str">
        <f t="shared" si="2"/>
        <v>-</v>
      </c>
    </row>
    <row r="26" spans="3:16" x14ac:dyDescent="0.25">
      <c r="C26" s="161"/>
      <c r="D26" s="175"/>
      <c r="E26" s="166"/>
      <c r="F26" s="176" t="str">
        <f t="shared" si="0"/>
        <v>-</v>
      </c>
      <c r="G26" s="69"/>
      <c r="H26" s="177"/>
      <c r="I26" s="161"/>
      <c r="J26" s="178" t="str">
        <f>IFERROR(MIN('MP Calculations'!$E$29/I26,1),"-")</f>
        <v>-</v>
      </c>
      <c r="K26" s="12"/>
      <c r="L26" s="161"/>
      <c r="M26" s="161"/>
      <c r="N26" s="161"/>
      <c r="O26" s="180" t="str">
        <f t="shared" si="1"/>
        <v>-</v>
      </c>
      <c r="P26" s="181" t="str">
        <f>IF(O26="-","-",IF(OR(E26&lt;$E$15,E26&gt;$E$16),0,O26*J26))</f>
        <v>-</v>
      </c>
    </row>
    <row r="27" spans="3:16" x14ac:dyDescent="0.25">
      <c r="C27" s="161"/>
      <c r="D27" s="175"/>
      <c r="E27" s="166"/>
      <c r="F27" s="176" t="str">
        <f t="shared" si="0"/>
        <v>-</v>
      </c>
      <c r="G27" s="69"/>
      <c r="H27" s="177"/>
      <c r="I27" s="161"/>
      <c r="J27" s="178" t="str">
        <f>IFERROR(MIN('MP Calculations'!$E$29/I27,1),"-")</f>
        <v>-</v>
      </c>
      <c r="K27" s="12"/>
      <c r="L27" s="161"/>
      <c r="M27" s="161"/>
      <c r="N27" s="161"/>
      <c r="O27" s="180" t="str">
        <f t="shared" si="1"/>
        <v>-</v>
      </c>
      <c r="P27" s="181" t="str">
        <f t="shared" si="2"/>
        <v>-</v>
      </c>
    </row>
    <row r="28" spans="3:16" x14ac:dyDescent="0.25">
      <c r="C28" s="161"/>
      <c r="D28" s="175"/>
      <c r="E28" s="166"/>
      <c r="F28" s="176" t="str">
        <f t="shared" si="0"/>
        <v>-</v>
      </c>
      <c r="G28" s="69"/>
      <c r="H28" s="177"/>
      <c r="I28" s="161"/>
      <c r="J28" s="178" t="str">
        <f>IFERROR(MIN('MP Calculations'!$E$29/I28,1),"-")</f>
        <v>-</v>
      </c>
      <c r="K28" s="12"/>
      <c r="L28" s="161"/>
      <c r="M28" s="161"/>
      <c r="N28" s="161"/>
      <c r="O28" s="180" t="str">
        <f t="shared" si="1"/>
        <v>-</v>
      </c>
      <c r="P28" s="181" t="str">
        <f t="shared" si="2"/>
        <v>-</v>
      </c>
    </row>
    <row r="29" spans="3:16" x14ac:dyDescent="0.25">
      <c r="C29" s="161"/>
      <c r="D29" s="175"/>
      <c r="E29" s="166"/>
      <c r="F29" s="176" t="str">
        <f t="shared" si="0"/>
        <v>-</v>
      </c>
      <c r="G29" s="69"/>
      <c r="H29" s="177"/>
      <c r="I29" s="161"/>
      <c r="J29" s="178" t="str">
        <f>IFERROR(MIN('MP Calculations'!$E$29/I29,1),"-")</f>
        <v>-</v>
      </c>
      <c r="K29" s="12"/>
      <c r="L29" s="161"/>
      <c r="M29" s="161"/>
      <c r="N29" s="161"/>
      <c r="O29" s="180" t="str">
        <f t="shared" si="1"/>
        <v>-</v>
      </c>
      <c r="P29" s="181" t="str">
        <f t="shared" si="2"/>
        <v>-</v>
      </c>
    </row>
    <row r="30" spans="3:16" x14ac:dyDescent="0.25">
      <c r="C30" s="161"/>
      <c r="D30" s="175"/>
      <c r="E30" s="166"/>
      <c r="F30" s="176" t="str">
        <f t="shared" si="0"/>
        <v>-</v>
      </c>
      <c r="G30" s="69"/>
      <c r="H30" s="177"/>
      <c r="I30" s="161"/>
      <c r="J30" s="178" t="str">
        <f>IFERROR(MIN('MP Calculations'!$E$29/I30,1),"-")</f>
        <v>-</v>
      </c>
      <c r="K30" s="12"/>
      <c r="L30" s="161"/>
      <c r="M30" s="161"/>
      <c r="N30" s="161"/>
      <c r="O30" s="180" t="str">
        <f t="shared" si="1"/>
        <v>-</v>
      </c>
      <c r="P30" s="181" t="str">
        <f t="shared" si="2"/>
        <v>-</v>
      </c>
    </row>
    <row r="31" spans="3:16" x14ac:dyDescent="0.25">
      <c r="C31" s="161"/>
      <c r="D31" s="175"/>
      <c r="E31" s="166"/>
      <c r="F31" s="176" t="str">
        <f t="shared" si="0"/>
        <v>-</v>
      </c>
      <c r="G31" s="69"/>
      <c r="H31" s="177"/>
      <c r="I31" s="161"/>
      <c r="J31" s="178" t="str">
        <f>IFERROR(MIN('MP Calculations'!$E$29/I31,1),"-")</f>
        <v>-</v>
      </c>
      <c r="K31" s="12"/>
      <c r="L31" s="161"/>
      <c r="M31" s="161"/>
      <c r="N31" s="161"/>
      <c r="O31" s="180" t="str">
        <f t="shared" si="1"/>
        <v>-</v>
      </c>
      <c r="P31" s="181" t="str">
        <f t="shared" si="2"/>
        <v>-</v>
      </c>
    </row>
    <row r="32" spans="3:16" x14ac:dyDescent="0.25">
      <c r="C32" s="161"/>
      <c r="D32" s="175"/>
      <c r="E32" s="166"/>
      <c r="F32" s="176" t="str">
        <f t="shared" si="0"/>
        <v>-</v>
      </c>
      <c r="G32" s="69"/>
      <c r="H32" s="177"/>
      <c r="I32" s="161"/>
      <c r="J32" s="178" t="str">
        <f>IFERROR(MIN('MP Calculations'!$E$29/I32,1),"-")</f>
        <v>-</v>
      </c>
      <c r="K32" s="12"/>
      <c r="L32" s="161"/>
      <c r="M32" s="161"/>
      <c r="N32" s="161"/>
      <c r="O32" s="180" t="str">
        <f t="shared" si="1"/>
        <v>-</v>
      </c>
      <c r="P32" s="181" t="str">
        <f t="shared" si="2"/>
        <v>-</v>
      </c>
    </row>
    <row r="33" spans="3:16" x14ac:dyDescent="0.25">
      <c r="C33" s="161"/>
      <c r="D33" s="175"/>
      <c r="E33" s="166"/>
      <c r="F33" s="176" t="str">
        <f t="shared" si="0"/>
        <v>-</v>
      </c>
      <c r="G33" s="69"/>
      <c r="H33" s="177"/>
      <c r="I33" s="161"/>
      <c r="J33" s="178" t="str">
        <f>IFERROR(MIN('MP Calculations'!$E$29/I33,1),"-")</f>
        <v>-</v>
      </c>
      <c r="K33" s="12"/>
      <c r="L33" s="161"/>
      <c r="M33" s="161"/>
      <c r="N33" s="161"/>
      <c r="O33" s="180" t="str">
        <f t="shared" si="1"/>
        <v>-</v>
      </c>
      <c r="P33" s="181" t="str">
        <f t="shared" si="2"/>
        <v>-</v>
      </c>
    </row>
    <row r="34" spans="3:16" x14ac:dyDescent="0.25">
      <c r="C34" s="161"/>
      <c r="D34" s="175"/>
      <c r="E34" s="166"/>
      <c r="F34" s="176" t="str">
        <f t="shared" si="0"/>
        <v>-</v>
      </c>
      <c r="G34" s="69"/>
      <c r="H34" s="177"/>
      <c r="I34" s="161"/>
      <c r="J34" s="178" t="str">
        <f>IFERROR(MIN('MP Calculations'!$E$29/I34,1),"-")</f>
        <v>-</v>
      </c>
      <c r="K34" s="12"/>
      <c r="L34" s="161"/>
      <c r="M34" s="161"/>
      <c r="N34" s="161"/>
      <c r="O34" s="180" t="str">
        <f t="shared" si="1"/>
        <v>-</v>
      </c>
      <c r="P34" s="181" t="str">
        <f t="shared" si="2"/>
        <v>-</v>
      </c>
    </row>
    <row r="35" spans="3:16" x14ac:dyDescent="0.25">
      <c r="C35" s="161"/>
      <c r="D35" s="175"/>
      <c r="E35" s="166"/>
      <c r="F35" s="176" t="str">
        <f t="shared" si="0"/>
        <v>-</v>
      </c>
      <c r="G35" s="69"/>
      <c r="H35" s="177"/>
      <c r="I35" s="161"/>
      <c r="J35" s="178" t="str">
        <f>IFERROR(MIN('MP Calculations'!$E$29/I35,1),"-")</f>
        <v>-</v>
      </c>
      <c r="K35" s="12"/>
      <c r="L35" s="161"/>
      <c r="M35" s="161"/>
      <c r="N35" s="161"/>
      <c r="O35" s="180" t="str">
        <f t="shared" si="1"/>
        <v>-</v>
      </c>
      <c r="P35" s="181" t="str">
        <f t="shared" si="2"/>
        <v>-</v>
      </c>
    </row>
    <row r="36" spans="3:16" x14ac:dyDescent="0.25">
      <c r="C36" s="161"/>
      <c r="D36" s="175"/>
      <c r="E36" s="166"/>
      <c r="F36" s="176" t="str">
        <f t="shared" si="0"/>
        <v>-</v>
      </c>
      <c r="G36" s="69"/>
      <c r="H36" s="177"/>
      <c r="I36" s="161"/>
      <c r="J36" s="178" t="str">
        <f>IFERROR(MIN('MP Calculations'!$E$29/I36,1),"-")</f>
        <v>-</v>
      </c>
      <c r="K36" s="12"/>
      <c r="L36" s="161"/>
      <c r="M36" s="161"/>
      <c r="N36" s="161"/>
      <c r="O36" s="180" t="str">
        <f t="shared" si="1"/>
        <v>-</v>
      </c>
      <c r="P36" s="181" t="str">
        <f t="shared" si="2"/>
        <v>-</v>
      </c>
    </row>
    <row r="37" spans="3:16" x14ac:dyDescent="0.25">
      <c r="C37" s="161"/>
      <c r="D37" s="175"/>
      <c r="E37" s="166"/>
      <c r="F37" s="176" t="str">
        <f t="shared" si="0"/>
        <v>-</v>
      </c>
      <c r="G37" s="69"/>
      <c r="H37" s="177"/>
      <c r="I37" s="161"/>
      <c r="J37" s="178" t="str">
        <f>IFERROR(MIN('MP Calculations'!$E$29/I37,1),"-")</f>
        <v>-</v>
      </c>
      <c r="K37" s="12"/>
      <c r="L37" s="161"/>
      <c r="M37" s="161"/>
      <c r="N37" s="161"/>
      <c r="O37" s="180" t="str">
        <f t="shared" si="1"/>
        <v>-</v>
      </c>
      <c r="P37" s="181" t="str">
        <f t="shared" si="2"/>
        <v>-</v>
      </c>
    </row>
    <row r="38" spans="3:16" x14ac:dyDescent="0.25">
      <c r="C38" s="161"/>
      <c r="D38" s="175"/>
      <c r="E38" s="166"/>
      <c r="F38" s="176" t="str">
        <f t="shared" si="0"/>
        <v>-</v>
      </c>
      <c r="G38" s="69"/>
      <c r="H38" s="177"/>
      <c r="I38" s="161"/>
      <c r="J38" s="178" t="str">
        <f>IFERROR(MIN('MP Calculations'!$E$29/I38,1),"-")</f>
        <v>-</v>
      </c>
      <c r="K38" s="12"/>
      <c r="L38" s="161"/>
      <c r="M38" s="161"/>
      <c r="N38" s="161"/>
      <c r="O38" s="180" t="str">
        <f t="shared" si="1"/>
        <v>-</v>
      </c>
      <c r="P38" s="181" t="str">
        <f t="shared" si="2"/>
        <v>-</v>
      </c>
    </row>
    <row r="39" spans="3:16" x14ac:dyDescent="0.25">
      <c r="C39" s="161"/>
      <c r="D39" s="175"/>
      <c r="E39" s="166"/>
      <c r="F39" s="176" t="str">
        <f t="shared" si="0"/>
        <v>-</v>
      </c>
      <c r="G39" s="69"/>
      <c r="H39" s="177"/>
      <c r="I39" s="161"/>
      <c r="J39" s="178" t="str">
        <f>IFERROR(MIN('MP Calculations'!$E$29/I39,1),"-")</f>
        <v>-</v>
      </c>
      <c r="K39" s="12"/>
      <c r="L39" s="161"/>
      <c r="M39" s="161"/>
      <c r="N39" s="161"/>
      <c r="O39" s="180" t="str">
        <f t="shared" si="1"/>
        <v>-</v>
      </c>
      <c r="P39" s="181" t="str">
        <f t="shared" si="2"/>
        <v>-</v>
      </c>
    </row>
    <row r="40" spans="3:16" x14ac:dyDescent="0.25">
      <c r="C40" s="161"/>
      <c r="D40" s="175"/>
      <c r="E40" s="166"/>
      <c r="F40" s="176" t="str">
        <f t="shared" si="0"/>
        <v>-</v>
      </c>
      <c r="G40" s="69"/>
      <c r="H40" s="177"/>
      <c r="I40" s="161"/>
      <c r="J40" s="178" t="str">
        <f>IFERROR(MIN('MP Calculations'!$E$29/I40,1),"-")</f>
        <v>-</v>
      </c>
      <c r="K40" s="12"/>
      <c r="L40" s="161"/>
      <c r="M40" s="161"/>
      <c r="N40" s="161"/>
      <c r="O40" s="180" t="str">
        <f t="shared" si="1"/>
        <v>-</v>
      </c>
      <c r="P40" s="181" t="str">
        <f t="shared" si="2"/>
        <v>-</v>
      </c>
    </row>
    <row r="41" spans="3:16" x14ac:dyDescent="0.25">
      <c r="C41" s="161"/>
      <c r="D41" s="175"/>
      <c r="E41" s="166"/>
      <c r="F41" s="176" t="str">
        <f t="shared" si="0"/>
        <v>-</v>
      </c>
      <c r="G41" s="69"/>
      <c r="H41" s="177"/>
      <c r="I41" s="161"/>
      <c r="J41" s="178" t="str">
        <f>IFERROR(MIN('MP Calculations'!$E$29/I41,1),"-")</f>
        <v>-</v>
      </c>
      <c r="K41" s="12"/>
      <c r="L41" s="161"/>
      <c r="M41" s="161"/>
      <c r="N41" s="161"/>
      <c r="O41" s="180" t="str">
        <f t="shared" si="1"/>
        <v>-</v>
      </c>
      <c r="P41" s="181" t="str">
        <f t="shared" si="2"/>
        <v>-</v>
      </c>
    </row>
    <row r="42" spans="3:16" x14ac:dyDescent="0.25">
      <c r="C42" s="161"/>
      <c r="D42" s="175"/>
      <c r="E42" s="166"/>
      <c r="F42" s="176" t="str">
        <f t="shared" si="0"/>
        <v>-</v>
      </c>
      <c r="G42" s="69"/>
      <c r="H42" s="177"/>
      <c r="I42" s="161"/>
      <c r="J42" s="178" t="str">
        <f>IFERROR(MIN('MP Calculations'!$E$29/I42,1),"-")</f>
        <v>-</v>
      </c>
      <c r="K42" s="12"/>
      <c r="L42" s="161"/>
      <c r="M42" s="161"/>
      <c r="N42" s="161"/>
      <c r="O42" s="180" t="str">
        <f t="shared" si="1"/>
        <v>-</v>
      </c>
      <c r="P42" s="181" t="str">
        <f t="shared" si="2"/>
        <v>-</v>
      </c>
    </row>
    <row r="43" spans="3:16" x14ac:dyDescent="0.25">
      <c r="C43" s="161"/>
      <c r="D43" s="175"/>
      <c r="E43" s="166"/>
      <c r="F43" s="176" t="str">
        <f t="shared" si="0"/>
        <v>-</v>
      </c>
      <c r="G43" s="69"/>
      <c r="H43" s="177"/>
      <c r="I43" s="161"/>
      <c r="J43" s="178" t="str">
        <f>IFERROR(MIN('MP Calculations'!$E$29/I43,1),"-")</f>
        <v>-</v>
      </c>
      <c r="K43" s="12"/>
      <c r="L43" s="161"/>
      <c r="M43" s="161"/>
      <c r="N43" s="161"/>
      <c r="O43" s="180" t="str">
        <f t="shared" si="1"/>
        <v>-</v>
      </c>
      <c r="P43" s="181" t="str">
        <f t="shared" si="2"/>
        <v>-</v>
      </c>
    </row>
    <row r="44" spans="3:16" x14ac:dyDescent="0.25">
      <c r="C44" s="161"/>
      <c r="D44" s="175"/>
      <c r="E44" s="166"/>
      <c r="F44" s="176" t="str">
        <f t="shared" si="0"/>
        <v>-</v>
      </c>
      <c r="G44" s="69"/>
      <c r="H44" s="177"/>
      <c r="I44" s="161"/>
      <c r="J44" s="178" t="str">
        <f>IFERROR(MIN('MP Calculations'!$E$29/I44,1),"-")</f>
        <v>-</v>
      </c>
      <c r="K44" s="12"/>
      <c r="L44" s="161"/>
      <c r="M44" s="161"/>
      <c r="N44" s="161"/>
      <c r="O44" s="180" t="str">
        <f t="shared" si="1"/>
        <v>-</v>
      </c>
      <c r="P44" s="181" t="str">
        <f t="shared" si="2"/>
        <v>-</v>
      </c>
    </row>
    <row r="45" spans="3:16" x14ac:dyDescent="0.25">
      <c r="C45" s="161"/>
      <c r="D45" s="175"/>
      <c r="E45" s="166"/>
      <c r="F45" s="176" t="str">
        <f t="shared" si="0"/>
        <v>-</v>
      </c>
      <c r="G45" s="69"/>
      <c r="H45" s="177"/>
      <c r="I45" s="161"/>
      <c r="J45" s="178" t="str">
        <f>IFERROR(MIN('MP Calculations'!$E$29/I45,1),"-")</f>
        <v>-</v>
      </c>
      <c r="K45" s="12"/>
      <c r="L45" s="161"/>
      <c r="M45" s="161"/>
      <c r="N45" s="161"/>
      <c r="O45" s="180" t="str">
        <f t="shared" si="1"/>
        <v>-</v>
      </c>
      <c r="P45" s="181" t="str">
        <f t="shared" si="2"/>
        <v>-</v>
      </c>
    </row>
    <row r="46" spans="3:16" x14ac:dyDescent="0.25">
      <c r="C46" s="161"/>
      <c r="D46" s="175"/>
      <c r="E46" s="166"/>
      <c r="F46" s="176" t="str">
        <f t="shared" si="0"/>
        <v>-</v>
      </c>
      <c r="G46" s="69"/>
      <c r="H46" s="177"/>
      <c r="I46" s="161"/>
      <c r="J46" s="178" t="str">
        <f>IFERROR(MIN('MP Calculations'!$E$29/I46,1),"-")</f>
        <v>-</v>
      </c>
      <c r="K46" s="12"/>
      <c r="L46" s="161"/>
      <c r="M46" s="161"/>
      <c r="N46" s="161"/>
      <c r="O46" s="180" t="str">
        <f t="shared" si="1"/>
        <v>-</v>
      </c>
      <c r="P46" s="181" t="str">
        <f t="shared" si="2"/>
        <v>-</v>
      </c>
    </row>
    <row r="47" spans="3:16" x14ac:dyDescent="0.25">
      <c r="C47" s="161"/>
      <c r="D47" s="175"/>
      <c r="E47" s="166"/>
      <c r="F47" s="176" t="str">
        <f t="shared" si="0"/>
        <v>-</v>
      </c>
      <c r="G47" s="69"/>
      <c r="H47" s="177"/>
      <c r="I47" s="161"/>
      <c r="J47" s="178" t="str">
        <f>IFERROR(MIN('MP Calculations'!$E$29/I47,1),"-")</f>
        <v>-</v>
      </c>
      <c r="K47" s="12"/>
      <c r="L47" s="161"/>
      <c r="M47" s="161"/>
      <c r="N47" s="161"/>
      <c r="O47" s="180" t="str">
        <f t="shared" si="1"/>
        <v>-</v>
      </c>
      <c r="P47" s="181" t="str">
        <f t="shared" si="2"/>
        <v>-</v>
      </c>
    </row>
    <row r="48" spans="3:16" x14ac:dyDescent="0.25">
      <c r="C48" s="161"/>
      <c r="D48" s="175"/>
      <c r="E48" s="166"/>
      <c r="F48" s="176" t="str">
        <f t="shared" si="0"/>
        <v>-</v>
      </c>
      <c r="G48" s="69"/>
      <c r="H48" s="177"/>
      <c r="I48" s="161"/>
      <c r="J48" s="178" t="str">
        <f>IFERROR(MIN('MP Calculations'!$E$29/I48,1),"-")</f>
        <v>-</v>
      </c>
      <c r="K48" s="12"/>
      <c r="L48" s="161"/>
      <c r="M48" s="161"/>
      <c r="N48" s="161"/>
      <c r="O48" s="180" t="str">
        <f t="shared" si="1"/>
        <v>-</v>
      </c>
      <c r="P48" s="181" t="str">
        <f t="shared" si="2"/>
        <v>-</v>
      </c>
    </row>
    <row r="49" spans="3:16" x14ac:dyDescent="0.25">
      <c r="C49" s="161"/>
      <c r="D49" s="175"/>
      <c r="E49" s="166"/>
      <c r="F49" s="176" t="str">
        <f t="shared" si="0"/>
        <v>-</v>
      </c>
      <c r="G49" s="69"/>
      <c r="H49" s="177"/>
      <c r="I49" s="161"/>
      <c r="J49" s="178" t="str">
        <f>IFERROR(MIN('MP Calculations'!$E$29/I49,1),"-")</f>
        <v>-</v>
      </c>
      <c r="K49" s="12"/>
      <c r="L49" s="161"/>
      <c r="M49" s="161"/>
      <c r="N49" s="161"/>
      <c r="O49" s="180" t="str">
        <f t="shared" si="1"/>
        <v>-</v>
      </c>
      <c r="P49" s="181" t="str">
        <f t="shared" si="2"/>
        <v>-</v>
      </c>
    </row>
    <row r="50" spans="3:16" x14ac:dyDescent="0.25">
      <c r="C50" s="161"/>
      <c r="D50" s="175"/>
      <c r="E50" s="166"/>
      <c r="F50" s="176" t="str">
        <f t="shared" si="0"/>
        <v>-</v>
      </c>
      <c r="G50" s="69"/>
      <c r="H50" s="177"/>
      <c r="I50" s="161"/>
      <c r="J50" s="178" t="str">
        <f>IFERROR(MIN('MP Calculations'!$E$29/I50,1),"-")</f>
        <v>-</v>
      </c>
      <c r="K50" s="12"/>
      <c r="L50" s="161"/>
      <c r="M50" s="161"/>
      <c r="N50" s="161"/>
      <c r="O50" s="180" t="str">
        <f t="shared" si="1"/>
        <v>-</v>
      </c>
      <c r="P50" s="181" t="str">
        <f t="shared" si="2"/>
        <v>-</v>
      </c>
    </row>
    <row r="51" spans="3:16" x14ac:dyDescent="0.25">
      <c r="C51" s="161"/>
      <c r="D51" s="175"/>
      <c r="E51" s="166"/>
      <c r="F51" s="176" t="str">
        <f t="shared" si="0"/>
        <v>-</v>
      </c>
      <c r="G51" s="69"/>
      <c r="H51" s="177"/>
      <c r="I51" s="161"/>
      <c r="J51" s="178" t="str">
        <f>IFERROR(MIN('MP Calculations'!$E$29/I51,1),"-")</f>
        <v>-</v>
      </c>
      <c r="K51" s="12"/>
      <c r="L51" s="161"/>
      <c r="M51" s="161"/>
      <c r="N51" s="161"/>
      <c r="O51" s="180" t="str">
        <f t="shared" si="1"/>
        <v>-</v>
      </c>
      <c r="P51" s="181" t="str">
        <f t="shared" si="2"/>
        <v>-</v>
      </c>
    </row>
    <row r="52" spans="3:16" x14ac:dyDescent="0.25">
      <c r="C52" s="161"/>
      <c r="D52" s="175"/>
      <c r="E52" s="166"/>
      <c r="F52" s="176" t="str">
        <f t="shared" si="0"/>
        <v>-</v>
      </c>
      <c r="G52" s="69"/>
      <c r="H52" s="177"/>
      <c r="I52" s="161"/>
      <c r="J52" s="178" t="str">
        <f>IFERROR(MIN('MP Calculations'!$E$29/I52,1),"-")</f>
        <v>-</v>
      </c>
      <c r="K52" s="12"/>
      <c r="L52" s="161"/>
      <c r="M52" s="161"/>
      <c r="N52" s="161"/>
      <c r="O52" s="180" t="str">
        <f t="shared" si="1"/>
        <v>-</v>
      </c>
      <c r="P52" s="181" t="str">
        <f t="shared" si="2"/>
        <v>-</v>
      </c>
    </row>
    <row r="53" spans="3:16" x14ac:dyDescent="0.25">
      <c r="C53" s="161"/>
      <c r="D53" s="175"/>
      <c r="E53" s="166"/>
      <c r="F53" s="176" t="str">
        <f t="shared" si="0"/>
        <v>-</v>
      </c>
      <c r="G53" s="69"/>
      <c r="H53" s="177"/>
      <c r="I53" s="161"/>
      <c r="J53" s="178" t="str">
        <f>IFERROR(MIN('MP Calculations'!$E$29/I53,1),"-")</f>
        <v>-</v>
      </c>
      <c r="K53" s="12"/>
      <c r="L53" s="161"/>
      <c r="M53" s="161"/>
      <c r="N53" s="161"/>
      <c r="O53" s="180" t="str">
        <f t="shared" si="1"/>
        <v>-</v>
      </c>
      <c r="P53" s="181" t="str">
        <f t="shared" si="2"/>
        <v>-</v>
      </c>
    </row>
    <row r="54" spans="3:16" x14ac:dyDescent="0.25">
      <c r="C54" s="161"/>
      <c r="D54" s="175"/>
      <c r="E54" s="166"/>
      <c r="F54" s="176" t="str">
        <f t="shared" si="0"/>
        <v>-</v>
      </c>
      <c r="G54" s="69"/>
      <c r="H54" s="177"/>
      <c r="I54" s="161"/>
      <c r="J54" s="178" t="str">
        <f>IFERROR(MIN('MP Calculations'!$E$29/I54,1),"-")</f>
        <v>-</v>
      </c>
      <c r="K54" s="12"/>
      <c r="L54" s="161"/>
      <c r="M54" s="161"/>
      <c r="N54" s="161"/>
      <c r="O54" s="180" t="str">
        <f t="shared" si="1"/>
        <v>-</v>
      </c>
      <c r="P54" s="181" t="str">
        <f t="shared" si="2"/>
        <v>-</v>
      </c>
    </row>
    <row r="55" spans="3:16" x14ac:dyDescent="0.25">
      <c r="C55" s="161"/>
      <c r="D55" s="175"/>
      <c r="E55" s="166"/>
      <c r="F55" s="176" t="str">
        <f t="shared" si="0"/>
        <v>-</v>
      </c>
      <c r="G55" s="69"/>
      <c r="H55" s="177"/>
      <c r="I55" s="161"/>
      <c r="J55" s="178" t="str">
        <f>IFERROR(MIN('MP Calculations'!$E$29/I55,1),"-")</f>
        <v>-</v>
      </c>
      <c r="K55" s="12"/>
      <c r="L55" s="161"/>
      <c r="M55" s="161"/>
      <c r="N55" s="161"/>
      <c r="O55" s="180" t="str">
        <f t="shared" si="1"/>
        <v>-</v>
      </c>
      <c r="P55" s="181" t="str">
        <f t="shared" si="2"/>
        <v>-</v>
      </c>
    </row>
    <row r="56" spans="3:16" x14ac:dyDescent="0.25">
      <c r="C56" s="161"/>
      <c r="D56" s="175"/>
      <c r="E56" s="166"/>
      <c r="F56" s="176" t="str">
        <f t="shared" si="0"/>
        <v>-</v>
      </c>
      <c r="G56" s="69"/>
      <c r="H56" s="177"/>
      <c r="I56" s="161"/>
      <c r="J56" s="178" t="str">
        <f>IFERROR(MIN('MP Calculations'!$E$29/I56,1),"-")</f>
        <v>-</v>
      </c>
      <c r="K56" s="12"/>
      <c r="L56" s="161"/>
      <c r="M56" s="161"/>
      <c r="N56" s="161"/>
      <c r="O56" s="180" t="str">
        <f t="shared" si="1"/>
        <v>-</v>
      </c>
      <c r="P56" s="181" t="str">
        <f t="shared" si="2"/>
        <v>-</v>
      </c>
    </row>
    <row r="57" spans="3:16" x14ac:dyDescent="0.25">
      <c r="C57" s="161"/>
      <c r="D57" s="175"/>
      <c r="E57" s="166"/>
      <c r="F57" s="176" t="str">
        <f t="shared" si="0"/>
        <v>-</v>
      </c>
      <c r="G57" s="69"/>
      <c r="H57" s="177"/>
      <c r="I57" s="161"/>
      <c r="J57" s="178" t="str">
        <f>IFERROR(MIN('MP Calculations'!$E$29/I57,1),"-")</f>
        <v>-</v>
      </c>
      <c r="K57" s="12"/>
      <c r="L57" s="161"/>
      <c r="M57" s="161"/>
      <c r="N57" s="161"/>
      <c r="O57" s="180" t="str">
        <f t="shared" si="1"/>
        <v>-</v>
      </c>
      <c r="P57" s="181" t="str">
        <f t="shared" si="2"/>
        <v>-</v>
      </c>
    </row>
    <row r="58" spans="3:16" x14ac:dyDescent="0.25">
      <c r="C58" s="161"/>
      <c r="D58" s="175"/>
      <c r="E58" s="166"/>
      <c r="F58" s="176" t="str">
        <f t="shared" si="0"/>
        <v>-</v>
      </c>
      <c r="G58" s="69"/>
      <c r="H58" s="177"/>
      <c r="I58" s="161"/>
      <c r="J58" s="178" t="str">
        <f>IFERROR(MIN('MP Calculations'!$E$29/I58,1),"-")</f>
        <v>-</v>
      </c>
      <c r="K58" s="12"/>
      <c r="L58" s="161"/>
      <c r="M58" s="161"/>
      <c r="N58" s="161"/>
      <c r="O58" s="180" t="str">
        <f t="shared" si="1"/>
        <v>-</v>
      </c>
      <c r="P58" s="181" t="str">
        <f t="shared" si="2"/>
        <v>-</v>
      </c>
    </row>
    <row r="59" spans="3:16" x14ac:dyDescent="0.25">
      <c r="C59" s="161"/>
      <c r="D59" s="175"/>
      <c r="E59" s="166"/>
      <c r="F59" s="176" t="str">
        <f t="shared" si="0"/>
        <v>-</v>
      </c>
      <c r="G59" s="69"/>
      <c r="H59" s="177"/>
      <c r="I59" s="161"/>
      <c r="J59" s="178" t="str">
        <f>IFERROR(MIN('MP Calculations'!$E$29/I59,1),"-")</f>
        <v>-</v>
      </c>
      <c r="K59" s="12"/>
      <c r="L59" s="161"/>
      <c r="M59" s="161"/>
      <c r="N59" s="161"/>
      <c r="O59" s="180" t="str">
        <f t="shared" si="1"/>
        <v>-</v>
      </c>
      <c r="P59" s="181" t="str">
        <f t="shared" si="2"/>
        <v>-</v>
      </c>
    </row>
    <row r="60" spans="3:16" x14ac:dyDescent="0.25">
      <c r="C60" s="161"/>
      <c r="D60" s="175"/>
      <c r="E60" s="166"/>
      <c r="F60" s="176" t="str">
        <f t="shared" si="0"/>
        <v>-</v>
      </c>
      <c r="G60" s="69"/>
      <c r="H60" s="177"/>
      <c r="I60" s="161"/>
      <c r="J60" s="178" t="str">
        <f>IFERROR(MIN('MP Calculations'!$E$29/I60,1),"-")</f>
        <v>-</v>
      </c>
      <c r="K60" s="12"/>
      <c r="L60" s="161"/>
      <c r="M60" s="161"/>
      <c r="N60" s="161"/>
      <c r="O60" s="180" t="str">
        <f t="shared" si="1"/>
        <v>-</v>
      </c>
      <c r="P60" s="181" t="str">
        <f t="shared" si="2"/>
        <v>-</v>
      </c>
    </row>
    <row r="61" spans="3:16" x14ac:dyDescent="0.25">
      <c r="C61" s="161"/>
      <c r="D61" s="175"/>
      <c r="E61" s="166"/>
      <c r="F61" s="176" t="str">
        <f t="shared" si="0"/>
        <v>-</v>
      </c>
      <c r="G61" s="69"/>
      <c r="H61" s="177"/>
      <c r="I61" s="161"/>
      <c r="J61" s="178" t="str">
        <f>IFERROR(MIN('MP Calculations'!$E$29/I61,1),"-")</f>
        <v>-</v>
      </c>
      <c r="K61" s="12"/>
      <c r="L61" s="161"/>
      <c r="M61" s="161"/>
      <c r="N61" s="161"/>
      <c r="O61" s="180" t="str">
        <f t="shared" si="1"/>
        <v>-</v>
      </c>
      <c r="P61" s="181" t="str">
        <f t="shared" si="2"/>
        <v>-</v>
      </c>
    </row>
    <row r="62" spans="3:16" x14ac:dyDescent="0.25">
      <c r="C62" s="161"/>
      <c r="D62" s="175"/>
      <c r="E62" s="166"/>
      <c r="F62" s="176" t="str">
        <f t="shared" si="0"/>
        <v>-</v>
      </c>
      <c r="G62" s="69"/>
      <c r="H62" s="177"/>
      <c r="I62" s="161"/>
      <c r="J62" s="178" t="str">
        <f>IFERROR(MIN('MP Calculations'!$E$29/I62,1),"-")</f>
        <v>-</v>
      </c>
      <c r="K62" s="12"/>
      <c r="L62" s="161"/>
      <c r="M62" s="161"/>
      <c r="N62" s="161"/>
      <c r="O62" s="180" t="str">
        <f t="shared" si="1"/>
        <v>-</v>
      </c>
      <c r="P62" s="181" t="str">
        <f t="shared" si="2"/>
        <v>-</v>
      </c>
    </row>
    <row r="63" spans="3:16" x14ac:dyDescent="0.25">
      <c r="C63" s="161"/>
      <c r="D63" s="175"/>
      <c r="E63" s="166"/>
      <c r="F63" s="176" t="str">
        <f t="shared" si="0"/>
        <v>-</v>
      </c>
      <c r="G63" s="69"/>
      <c r="H63" s="177"/>
      <c r="I63" s="161"/>
      <c r="J63" s="178" t="str">
        <f>IFERROR(MIN('MP Calculations'!$E$29/I63,1),"-")</f>
        <v>-</v>
      </c>
      <c r="K63" s="12"/>
      <c r="L63" s="161"/>
      <c r="M63" s="161"/>
      <c r="N63" s="161"/>
      <c r="O63" s="180" t="str">
        <f t="shared" si="1"/>
        <v>-</v>
      </c>
      <c r="P63" s="181" t="str">
        <f t="shared" si="2"/>
        <v>-</v>
      </c>
    </row>
    <row r="64" spans="3:16" x14ac:dyDescent="0.25">
      <c r="C64" s="161"/>
      <c r="D64" s="175"/>
      <c r="E64" s="166"/>
      <c r="F64" s="176" t="str">
        <f t="shared" si="0"/>
        <v>-</v>
      </c>
      <c r="G64" s="69"/>
      <c r="H64" s="177"/>
      <c r="I64" s="161"/>
      <c r="J64" s="178" t="str">
        <f>IFERROR(MIN('MP Calculations'!$E$29/I64,1),"-")</f>
        <v>-</v>
      </c>
      <c r="K64" s="12"/>
      <c r="L64" s="161"/>
      <c r="M64" s="161"/>
      <c r="N64" s="161"/>
      <c r="O64" s="180" t="str">
        <f t="shared" si="1"/>
        <v>-</v>
      </c>
      <c r="P64" s="181" t="str">
        <f t="shared" si="2"/>
        <v>-</v>
      </c>
    </row>
    <row r="65" spans="3:16" x14ac:dyDescent="0.25">
      <c r="C65" s="161"/>
      <c r="D65" s="175"/>
      <c r="E65" s="166"/>
      <c r="F65" s="176" t="str">
        <f t="shared" si="0"/>
        <v>-</v>
      </c>
      <c r="G65" s="69"/>
      <c r="H65" s="177"/>
      <c r="I65" s="161"/>
      <c r="J65" s="178" t="str">
        <f>IFERROR(MIN('MP Calculations'!$E$29/I65,1),"-")</f>
        <v>-</v>
      </c>
      <c r="K65" s="12"/>
      <c r="L65" s="161"/>
      <c r="M65" s="161"/>
      <c r="N65" s="161"/>
      <c r="O65" s="180" t="str">
        <f t="shared" si="1"/>
        <v>-</v>
      </c>
      <c r="P65" s="181" t="str">
        <f t="shared" si="2"/>
        <v>-</v>
      </c>
    </row>
    <row r="66" spans="3:16" x14ac:dyDescent="0.25">
      <c r="C66" s="161"/>
      <c r="D66" s="175"/>
      <c r="E66" s="166"/>
      <c r="F66" s="176" t="str">
        <f t="shared" si="0"/>
        <v>-</v>
      </c>
      <c r="G66" s="69"/>
      <c r="H66" s="177"/>
      <c r="I66" s="161"/>
      <c r="J66" s="178" t="str">
        <f>IFERROR(MIN('MP Calculations'!$E$29/I66,1),"-")</f>
        <v>-</v>
      </c>
      <c r="K66" s="12"/>
      <c r="L66" s="161"/>
      <c r="M66" s="161"/>
      <c r="N66" s="161"/>
      <c r="O66" s="180" t="str">
        <f t="shared" si="1"/>
        <v>-</v>
      </c>
      <c r="P66" s="181" t="str">
        <f t="shared" si="2"/>
        <v>-</v>
      </c>
    </row>
    <row r="67" spans="3:16" x14ac:dyDescent="0.25">
      <c r="C67" s="161"/>
      <c r="D67" s="175"/>
      <c r="E67" s="166"/>
      <c r="F67" s="176" t="str">
        <f t="shared" si="0"/>
        <v>-</v>
      </c>
      <c r="G67" s="69"/>
      <c r="H67" s="177"/>
      <c r="I67" s="161"/>
      <c r="J67" s="178" t="str">
        <f>IFERROR(MIN('MP Calculations'!$E$29/I67,1),"-")</f>
        <v>-</v>
      </c>
      <c r="K67" s="12"/>
      <c r="L67" s="161"/>
      <c r="M67" s="161"/>
      <c r="N67" s="161"/>
      <c r="O67" s="180" t="str">
        <f t="shared" si="1"/>
        <v>-</v>
      </c>
      <c r="P67" s="181" t="str">
        <f t="shared" si="2"/>
        <v>-</v>
      </c>
    </row>
    <row r="68" spans="3:16" x14ac:dyDescent="0.25">
      <c r="C68" s="161"/>
      <c r="D68" s="175"/>
      <c r="E68" s="166"/>
      <c r="F68" s="176" t="str">
        <f t="shared" si="0"/>
        <v>-</v>
      </c>
      <c r="G68" s="69"/>
      <c r="H68" s="177"/>
      <c r="I68" s="161"/>
      <c r="J68" s="178" t="str">
        <f>IFERROR(MIN('MP Calculations'!$E$29/I68,1),"-")</f>
        <v>-</v>
      </c>
      <c r="K68" s="12"/>
      <c r="L68" s="161"/>
      <c r="M68" s="161"/>
      <c r="N68" s="161"/>
      <c r="O68" s="180" t="str">
        <f t="shared" si="1"/>
        <v>-</v>
      </c>
      <c r="P68" s="181" t="str">
        <f t="shared" si="2"/>
        <v>-</v>
      </c>
    </row>
    <row r="69" spans="3:16" x14ac:dyDescent="0.25">
      <c r="C69" s="161"/>
      <c r="D69" s="175"/>
      <c r="E69" s="166"/>
      <c r="F69" s="176" t="str">
        <f t="shared" si="0"/>
        <v>-</v>
      </c>
      <c r="G69" s="69"/>
      <c r="H69" s="177"/>
      <c r="I69" s="161"/>
      <c r="J69" s="178" t="str">
        <f>IFERROR(MIN('MP Calculations'!$E$29/I69,1),"-")</f>
        <v>-</v>
      </c>
      <c r="K69" s="12"/>
      <c r="L69" s="161"/>
      <c r="M69" s="161"/>
      <c r="N69" s="161"/>
      <c r="O69" s="180" t="str">
        <f t="shared" si="1"/>
        <v>-</v>
      </c>
      <c r="P69" s="181" t="str">
        <f t="shared" si="2"/>
        <v>-</v>
      </c>
    </row>
    <row r="70" spans="3:16" x14ac:dyDescent="0.25">
      <c r="C70" s="161"/>
      <c r="D70" s="175"/>
      <c r="E70" s="166"/>
      <c r="F70" s="176" t="str">
        <f t="shared" si="0"/>
        <v>-</v>
      </c>
      <c r="G70" s="69"/>
      <c r="H70" s="177"/>
      <c r="I70" s="161"/>
      <c r="J70" s="178" t="str">
        <f>IFERROR(MIN('MP Calculations'!$E$29/I70,1),"-")</f>
        <v>-</v>
      </c>
      <c r="K70" s="12"/>
      <c r="L70" s="161"/>
      <c r="M70" s="161"/>
      <c r="N70" s="161"/>
      <c r="O70" s="180" t="str">
        <f t="shared" si="1"/>
        <v>-</v>
      </c>
      <c r="P70" s="181" t="str">
        <f t="shared" si="2"/>
        <v>-</v>
      </c>
    </row>
    <row r="71" spans="3:16" x14ac:dyDescent="0.25">
      <c r="C71" s="161"/>
      <c r="D71" s="175"/>
      <c r="E71" s="166"/>
      <c r="F71" s="176" t="str">
        <f t="shared" si="0"/>
        <v>-</v>
      </c>
      <c r="G71" s="69"/>
      <c r="H71" s="177"/>
      <c r="I71" s="161"/>
      <c r="J71" s="178" t="str">
        <f>IFERROR(MIN('MP Calculations'!$E$29/I71,1),"-")</f>
        <v>-</v>
      </c>
      <c r="K71" s="12"/>
      <c r="L71" s="161"/>
      <c r="M71" s="161"/>
      <c r="N71" s="161"/>
      <c r="O71" s="180" t="str">
        <f t="shared" si="1"/>
        <v>-</v>
      </c>
      <c r="P71" s="181" t="str">
        <f t="shared" si="2"/>
        <v>-</v>
      </c>
    </row>
    <row r="72" spans="3:16" x14ac:dyDescent="0.25">
      <c r="C72" s="161"/>
      <c r="D72" s="175"/>
      <c r="E72" s="166"/>
      <c r="F72" s="176" t="str">
        <f t="shared" si="0"/>
        <v>-</v>
      </c>
      <c r="G72" s="69"/>
      <c r="H72" s="177"/>
      <c r="I72" s="161"/>
      <c r="J72" s="178" t="str">
        <f>IFERROR(MIN('MP Calculations'!$E$29/I72,1),"-")</f>
        <v>-</v>
      </c>
      <c r="K72" s="12"/>
      <c r="L72" s="161"/>
      <c r="M72" s="161"/>
      <c r="N72" s="161"/>
      <c r="O72" s="180" t="str">
        <f t="shared" si="1"/>
        <v>-</v>
      </c>
      <c r="P72" s="181" t="str">
        <f t="shared" si="2"/>
        <v>-</v>
      </c>
    </row>
    <row r="73" spans="3:16" x14ac:dyDescent="0.25">
      <c r="C73" s="161"/>
      <c r="D73" s="175"/>
      <c r="E73" s="166"/>
      <c r="F73" s="176" t="str">
        <f t="shared" si="0"/>
        <v>-</v>
      </c>
      <c r="G73" s="69"/>
      <c r="H73" s="177"/>
      <c r="I73" s="161"/>
      <c r="J73" s="178" t="str">
        <f>IFERROR(MIN('MP Calculations'!$E$29/I73,1),"-")</f>
        <v>-</v>
      </c>
      <c r="K73" s="12"/>
      <c r="L73" s="161"/>
      <c r="M73" s="161"/>
      <c r="N73" s="161"/>
      <c r="O73" s="180" t="str">
        <f t="shared" si="1"/>
        <v>-</v>
      </c>
      <c r="P73" s="181" t="str">
        <f t="shared" si="2"/>
        <v>-</v>
      </c>
    </row>
    <row r="74" spans="3:16" x14ac:dyDescent="0.25">
      <c r="C74" s="161"/>
      <c r="D74" s="175"/>
      <c r="E74" s="166"/>
      <c r="F74" s="176" t="str">
        <f t="shared" si="0"/>
        <v>-</v>
      </c>
      <c r="G74" s="69"/>
      <c r="H74" s="177"/>
      <c r="I74" s="161"/>
      <c r="J74" s="178" t="str">
        <f>IFERROR(MIN('MP Calculations'!$E$29/I74,1),"-")</f>
        <v>-</v>
      </c>
      <c r="K74" s="12"/>
      <c r="L74" s="161"/>
      <c r="M74" s="161"/>
      <c r="N74" s="161"/>
      <c r="O74" s="180" t="str">
        <f t="shared" si="1"/>
        <v>-</v>
      </c>
      <c r="P74" s="181" t="str">
        <f t="shared" si="2"/>
        <v>-</v>
      </c>
    </row>
    <row r="75" spans="3:16" x14ac:dyDescent="0.25">
      <c r="C75" s="161"/>
      <c r="D75" s="175"/>
      <c r="E75" s="166"/>
      <c r="F75" s="176" t="str">
        <f t="shared" si="0"/>
        <v>-</v>
      </c>
      <c r="G75" s="69"/>
      <c r="H75" s="177"/>
      <c r="I75" s="161"/>
      <c r="J75" s="178" t="str">
        <f>IFERROR(MIN('MP Calculations'!$E$29/I75,1),"-")</f>
        <v>-</v>
      </c>
      <c r="K75" s="12"/>
      <c r="L75" s="161"/>
      <c r="M75" s="161"/>
      <c r="N75" s="161"/>
      <c r="O75" s="180" t="str">
        <f t="shared" si="1"/>
        <v>-</v>
      </c>
      <c r="P75" s="181" t="str">
        <f t="shared" si="2"/>
        <v>-</v>
      </c>
    </row>
    <row r="76" spans="3:16" x14ac:dyDescent="0.25">
      <c r="C76" s="161"/>
      <c r="D76" s="175"/>
      <c r="E76" s="166"/>
      <c r="F76" s="176" t="str">
        <f t="shared" si="0"/>
        <v>-</v>
      </c>
      <c r="G76" s="69"/>
      <c r="H76" s="177"/>
      <c r="I76" s="161"/>
      <c r="J76" s="178" t="str">
        <f>IFERROR(MIN('MP Calculations'!$E$29/I76,1),"-")</f>
        <v>-</v>
      </c>
      <c r="K76" s="12"/>
      <c r="L76" s="161"/>
      <c r="M76" s="161"/>
      <c r="N76" s="161"/>
      <c r="O76" s="180" t="str">
        <f t="shared" si="1"/>
        <v>-</v>
      </c>
      <c r="P76" s="181" t="str">
        <f t="shared" si="2"/>
        <v>-</v>
      </c>
    </row>
    <row r="77" spans="3:16" x14ac:dyDescent="0.25">
      <c r="C77" s="161"/>
      <c r="D77" s="175"/>
      <c r="E77" s="166"/>
      <c r="F77" s="176" t="str">
        <f t="shared" si="0"/>
        <v>-</v>
      </c>
      <c r="G77" s="69"/>
      <c r="H77" s="177"/>
      <c r="I77" s="161"/>
      <c r="J77" s="178" t="str">
        <f>IFERROR(MIN('MP Calculations'!$E$29/I77,1),"-")</f>
        <v>-</v>
      </c>
      <c r="K77" s="12"/>
      <c r="L77" s="161"/>
      <c r="M77" s="161"/>
      <c r="N77" s="161"/>
      <c r="O77" s="180" t="str">
        <f t="shared" si="1"/>
        <v>-</v>
      </c>
      <c r="P77" s="181" t="str">
        <f t="shared" si="2"/>
        <v>-</v>
      </c>
    </row>
    <row r="78" spans="3:16" x14ac:dyDescent="0.25">
      <c r="C78" s="161"/>
      <c r="D78" s="175"/>
      <c r="E78" s="166"/>
      <c r="F78" s="176" t="str">
        <f t="shared" si="0"/>
        <v>-</v>
      </c>
      <c r="G78" s="69"/>
      <c r="H78" s="177"/>
      <c r="I78" s="161"/>
      <c r="J78" s="178" t="str">
        <f>IFERROR(MIN('MP Calculations'!$E$29/I78,1),"-")</f>
        <v>-</v>
      </c>
      <c r="K78" s="12"/>
      <c r="L78" s="161"/>
      <c r="M78" s="161"/>
      <c r="N78" s="161"/>
      <c r="O78" s="180" t="str">
        <f t="shared" si="1"/>
        <v>-</v>
      </c>
      <c r="P78" s="181" t="str">
        <f t="shared" si="2"/>
        <v>-</v>
      </c>
    </row>
    <row r="79" spans="3:16" x14ac:dyDescent="0.25">
      <c r="C79" s="161"/>
      <c r="D79" s="175"/>
      <c r="E79" s="166"/>
      <c r="F79" s="176" t="str">
        <f t="shared" si="0"/>
        <v>-</v>
      </c>
      <c r="G79" s="69"/>
      <c r="H79" s="177"/>
      <c r="I79" s="161"/>
      <c r="J79" s="178" t="str">
        <f>IFERROR(MIN('MP Calculations'!$E$29/I79,1),"-")</f>
        <v>-</v>
      </c>
      <c r="K79" s="12"/>
      <c r="L79" s="161"/>
      <c r="M79" s="161"/>
      <c r="N79" s="161"/>
      <c r="O79" s="180" t="str">
        <f t="shared" si="1"/>
        <v>-</v>
      </c>
      <c r="P79" s="181" t="str">
        <f t="shared" si="2"/>
        <v>-</v>
      </c>
    </row>
    <row r="80" spans="3:16" x14ac:dyDescent="0.25">
      <c r="C80" s="161"/>
      <c r="D80" s="175"/>
      <c r="E80" s="166"/>
      <c r="F80" s="176" t="str">
        <f t="shared" si="0"/>
        <v>-</v>
      </c>
      <c r="G80" s="69"/>
      <c r="H80" s="177"/>
      <c r="I80" s="161"/>
      <c r="J80" s="178" t="str">
        <f>IFERROR(MIN('MP Calculations'!$E$29/I80,1),"-")</f>
        <v>-</v>
      </c>
      <c r="K80" s="12"/>
      <c r="L80" s="161"/>
      <c r="M80" s="161"/>
      <c r="N80" s="161"/>
      <c r="O80" s="180" t="str">
        <f t="shared" si="1"/>
        <v>-</v>
      </c>
      <c r="P80" s="181" t="str">
        <f t="shared" si="2"/>
        <v>-</v>
      </c>
    </row>
    <row r="81" spans="3:16" x14ac:dyDescent="0.25">
      <c r="C81" s="161"/>
      <c r="D81" s="175"/>
      <c r="E81" s="166"/>
      <c r="F81" s="176" t="str">
        <f t="shared" si="0"/>
        <v>-</v>
      </c>
      <c r="G81" s="69"/>
      <c r="H81" s="177"/>
      <c r="I81" s="161"/>
      <c r="J81" s="178" t="str">
        <f>IFERROR(MIN('MP Calculations'!$E$29/I81,1),"-")</f>
        <v>-</v>
      </c>
      <c r="K81" s="12"/>
      <c r="L81" s="161"/>
      <c r="M81" s="161"/>
      <c r="N81" s="161"/>
      <c r="O81" s="180" t="str">
        <f t="shared" si="1"/>
        <v>-</v>
      </c>
      <c r="P81" s="181" t="str">
        <f t="shared" si="2"/>
        <v>-</v>
      </c>
    </row>
    <row r="82" spans="3:16" x14ac:dyDescent="0.25">
      <c r="C82" s="161"/>
      <c r="D82" s="175"/>
      <c r="E82" s="166"/>
      <c r="F82" s="176" t="str">
        <f t="shared" si="0"/>
        <v>-</v>
      </c>
      <c r="G82" s="69"/>
      <c r="H82" s="177"/>
      <c r="I82" s="161"/>
      <c r="J82" s="178" t="str">
        <f>IFERROR(MIN('MP Calculations'!$E$29/I82,1),"-")</f>
        <v>-</v>
      </c>
      <c r="K82" s="12"/>
      <c r="L82" s="161"/>
      <c r="M82" s="161"/>
      <c r="N82" s="161"/>
      <c r="O82" s="180" t="str">
        <f t="shared" si="1"/>
        <v>-</v>
      </c>
      <c r="P82" s="181" t="str">
        <f t="shared" si="2"/>
        <v>-</v>
      </c>
    </row>
    <row r="83" spans="3:16" x14ac:dyDescent="0.25">
      <c r="C83" s="161"/>
      <c r="D83" s="175"/>
      <c r="E83" s="166"/>
      <c r="F83" s="176" t="str">
        <f t="shared" si="0"/>
        <v>-</v>
      </c>
      <c r="G83" s="69"/>
      <c r="H83" s="177"/>
      <c r="I83" s="161"/>
      <c r="J83" s="178" t="str">
        <f>IFERROR(MIN('MP Calculations'!$E$29/I83,1),"-")</f>
        <v>-</v>
      </c>
      <c r="K83" s="12"/>
      <c r="L83" s="161"/>
      <c r="M83" s="161"/>
      <c r="N83" s="161"/>
      <c r="O83" s="180" t="str">
        <f t="shared" si="1"/>
        <v>-</v>
      </c>
      <c r="P83" s="181" t="str">
        <f t="shared" si="2"/>
        <v>-</v>
      </c>
    </row>
    <row r="84" spans="3:16" x14ac:dyDescent="0.25">
      <c r="C84" s="161"/>
      <c r="D84" s="175"/>
      <c r="E84" s="166"/>
      <c r="F84" s="176" t="str">
        <f t="shared" si="0"/>
        <v>-</v>
      </c>
      <c r="G84" s="69"/>
      <c r="H84" s="177"/>
      <c r="I84" s="161"/>
      <c r="J84" s="178" t="str">
        <f>IFERROR(MIN('MP Calculations'!$E$29/I84,1),"-")</f>
        <v>-</v>
      </c>
      <c r="K84" s="12"/>
      <c r="L84" s="161"/>
      <c r="M84" s="161"/>
      <c r="N84" s="161"/>
      <c r="O84" s="180" t="str">
        <f t="shared" si="1"/>
        <v>-</v>
      </c>
      <c r="P84" s="181" t="str">
        <f t="shared" si="2"/>
        <v>-</v>
      </c>
    </row>
    <row r="85" spans="3:16" x14ac:dyDescent="0.25">
      <c r="C85" s="161"/>
      <c r="D85" s="175"/>
      <c r="E85" s="166"/>
      <c r="F85" s="176" t="str">
        <f t="shared" si="0"/>
        <v>-</v>
      </c>
      <c r="G85" s="69"/>
      <c r="H85" s="177"/>
      <c r="I85" s="161"/>
      <c r="J85" s="178" t="str">
        <f>IFERROR(MIN('MP Calculations'!$E$29/I85,1),"-")</f>
        <v>-</v>
      </c>
      <c r="K85" s="12"/>
      <c r="L85" s="161"/>
      <c r="M85" s="161"/>
      <c r="N85" s="161"/>
      <c r="O85" s="180" t="str">
        <f t="shared" si="1"/>
        <v>-</v>
      </c>
      <c r="P85" s="181" t="str">
        <f t="shared" si="2"/>
        <v>-</v>
      </c>
    </row>
    <row r="86" spans="3:16" x14ac:dyDescent="0.25">
      <c r="C86" s="161"/>
      <c r="D86" s="175"/>
      <c r="E86" s="166"/>
      <c r="F86" s="176" t="str">
        <f t="shared" si="0"/>
        <v>-</v>
      </c>
      <c r="G86" s="69"/>
      <c r="H86" s="177"/>
      <c r="I86" s="161"/>
      <c r="J86" s="178" t="str">
        <f>IFERROR(MIN('MP Calculations'!$E$29/I86,1),"-")</f>
        <v>-</v>
      </c>
      <c r="K86" s="12"/>
      <c r="L86" s="161"/>
      <c r="M86" s="161"/>
      <c r="N86" s="161"/>
      <c r="O86" s="180" t="str">
        <f t="shared" si="1"/>
        <v>-</v>
      </c>
      <c r="P86" s="181" t="str">
        <f t="shared" si="2"/>
        <v>-</v>
      </c>
    </row>
    <row r="87" spans="3:16" x14ac:dyDescent="0.25">
      <c r="C87" s="161"/>
      <c r="D87" s="175"/>
      <c r="E87" s="166"/>
      <c r="F87" s="176" t="str">
        <f t="shared" ref="F87:F218" si="3">IF(E87="","-",IF(OR(E87&lt;$E$15,E87&gt;$E$16),"ERROR - date outside of range","Date check - OK"))</f>
        <v>-</v>
      </c>
      <c r="G87" s="69"/>
      <c r="H87" s="177"/>
      <c r="I87" s="161"/>
      <c r="J87" s="178" t="str">
        <f>IFERROR(MIN('MP Calculations'!$E$29/I87,1),"-")</f>
        <v>-</v>
      </c>
      <c r="K87" s="12"/>
      <c r="L87" s="161"/>
      <c r="M87" s="161"/>
      <c r="N87" s="161"/>
      <c r="O87" s="180" t="str">
        <f t="shared" ref="O87:O150" si="4">IF(N87="","-",L87*N87)</f>
        <v>-</v>
      </c>
      <c r="P87" s="181" t="str">
        <f t="shared" ref="P87:P218" si="5">IF(O87="-","-",IF(OR(E87&lt;$E$15,E87&gt;$E$16),0,O87*J87))</f>
        <v>-</v>
      </c>
    </row>
    <row r="88" spans="3:16" x14ac:dyDescent="0.25">
      <c r="C88" s="161"/>
      <c r="D88" s="175"/>
      <c r="E88" s="166"/>
      <c r="F88" s="176" t="str">
        <f t="shared" si="3"/>
        <v>-</v>
      </c>
      <c r="G88" s="69"/>
      <c r="H88" s="177"/>
      <c r="I88" s="161"/>
      <c r="J88" s="178" t="str">
        <f>IFERROR(MIN('MP Calculations'!$E$29/I88,1),"-")</f>
        <v>-</v>
      </c>
      <c r="K88" s="12"/>
      <c r="L88" s="161"/>
      <c r="M88" s="161"/>
      <c r="N88" s="161"/>
      <c r="O88" s="180" t="str">
        <f t="shared" si="4"/>
        <v>-</v>
      </c>
      <c r="P88" s="181" t="str">
        <f t="shared" si="5"/>
        <v>-</v>
      </c>
    </row>
    <row r="89" spans="3:16" x14ac:dyDescent="0.25">
      <c r="C89" s="161"/>
      <c r="D89" s="175"/>
      <c r="E89" s="166"/>
      <c r="F89" s="176" t="str">
        <f t="shared" si="3"/>
        <v>-</v>
      </c>
      <c r="G89" s="69"/>
      <c r="H89" s="177"/>
      <c r="I89" s="161"/>
      <c r="J89" s="178" t="str">
        <f>IFERROR(MIN('MP Calculations'!$E$29/I89,1),"-")</f>
        <v>-</v>
      </c>
      <c r="K89" s="12"/>
      <c r="L89" s="161"/>
      <c r="M89" s="161"/>
      <c r="N89" s="161"/>
      <c r="O89" s="180" t="str">
        <f t="shared" si="4"/>
        <v>-</v>
      </c>
      <c r="P89" s="181" t="str">
        <f t="shared" si="5"/>
        <v>-</v>
      </c>
    </row>
    <row r="90" spans="3:16" x14ac:dyDescent="0.25">
      <c r="C90" s="161"/>
      <c r="D90" s="175"/>
      <c r="E90" s="166"/>
      <c r="F90" s="176" t="str">
        <f t="shared" si="3"/>
        <v>-</v>
      </c>
      <c r="G90" s="69"/>
      <c r="H90" s="177"/>
      <c r="I90" s="161"/>
      <c r="J90" s="178" t="str">
        <f>IFERROR(MIN('MP Calculations'!$E$29/I90,1),"-")</f>
        <v>-</v>
      </c>
      <c r="K90" s="12"/>
      <c r="L90" s="161"/>
      <c r="M90" s="161"/>
      <c r="N90" s="161"/>
      <c r="O90" s="180" t="str">
        <f t="shared" si="4"/>
        <v>-</v>
      </c>
      <c r="P90" s="181" t="str">
        <f t="shared" si="5"/>
        <v>-</v>
      </c>
    </row>
    <row r="91" spans="3:16" x14ac:dyDescent="0.25">
      <c r="C91" s="161"/>
      <c r="D91" s="175"/>
      <c r="E91" s="166"/>
      <c r="F91" s="176" t="str">
        <f t="shared" si="3"/>
        <v>-</v>
      </c>
      <c r="G91" s="69"/>
      <c r="H91" s="177"/>
      <c r="I91" s="161"/>
      <c r="J91" s="178" t="str">
        <f>IFERROR(MIN('MP Calculations'!$E$29/I91,1),"-")</f>
        <v>-</v>
      </c>
      <c r="K91" s="12"/>
      <c r="L91" s="161"/>
      <c r="M91" s="161"/>
      <c r="N91" s="161"/>
      <c r="O91" s="180" t="str">
        <f t="shared" si="4"/>
        <v>-</v>
      </c>
      <c r="P91" s="181" t="str">
        <f t="shared" si="5"/>
        <v>-</v>
      </c>
    </row>
    <row r="92" spans="3:16" x14ac:dyDescent="0.25">
      <c r="C92" s="161"/>
      <c r="D92" s="175"/>
      <c r="E92" s="166"/>
      <c r="F92" s="176" t="str">
        <f t="shared" si="3"/>
        <v>-</v>
      </c>
      <c r="G92" s="69"/>
      <c r="H92" s="177"/>
      <c r="I92" s="161"/>
      <c r="J92" s="178" t="str">
        <f>IFERROR(MIN('MP Calculations'!$E$29/I92,1),"-")</f>
        <v>-</v>
      </c>
      <c r="K92" s="12"/>
      <c r="L92" s="161"/>
      <c r="M92" s="161"/>
      <c r="N92" s="161"/>
      <c r="O92" s="180" t="str">
        <f t="shared" si="4"/>
        <v>-</v>
      </c>
      <c r="P92" s="181" t="str">
        <f t="shared" si="5"/>
        <v>-</v>
      </c>
    </row>
    <row r="93" spans="3:16" x14ac:dyDescent="0.25">
      <c r="C93" s="161"/>
      <c r="D93" s="175"/>
      <c r="E93" s="166"/>
      <c r="F93" s="176" t="str">
        <f t="shared" si="3"/>
        <v>-</v>
      </c>
      <c r="G93" s="69"/>
      <c r="H93" s="177"/>
      <c r="I93" s="161"/>
      <c r="J93" s="178" t="str">
        <f>IFERROR(MIN('MP Calculations'!$E$29/I93,1),"-")</f>
        <v>-</v>
      </c>
      <c r="K93" s="12"/>
      <c r="L93" s="161"/>
      <c r="M93" s="161"/>
      <c r="N93" s="161"/>
      <c r="O93" s="180" t="str">
        <f t="shared" si="4"/>
        <v>-</v>
      </c>
      <c r="P93" s="181" t="str">
        <f t="shared" si="5"/>
        <v>-</v>
      </c>
    </row>
    <row r="94" spans="3:16" x14ac:dyDescent="0.25">
      <c r="C94" s="161"/>
      <c r="D94" s="175"/>
      <c r="E94" s="166"/>
      <c r="F94" s="176" t="str">
        <f t="shared" si="3"/>
        <v>-</v>
      </c>
      <c r="G94" s="69"/>
      <c r="H94" s="177"/>
      <c r="I94" s="161"/>
      <c r="J94" s="178" t="str">
        <f>IFERROR(MIN('MP Calculations'!$E$29/I94,1),"-")</f>
        <v>-</v>
      </c>
      <c r="K94" s="12"/>
      <c r="L94" s="161"/>
      <c r="M94" s="161"/>
      <c r="N94" s="161"/>
      <c r="O94" s="180" t="str">
        <f t="shared" si="4"/>
        <v>-</v>
      </c>
      <c r="P94" s="181" t="str">
        <f t="shared" si="5"/>
        <v>-</v>
      </c>
    </row>
    <row r="95" spans="3:16" x14ac:dyDescent="0.25">
      <c r="C95" s="161"/>
      <c r="D95" s="175"/>
      <c r="E95" s="166"/>
      <c r="F95" s="176" t="str">
        <f t="shared" si="3"/>
        <v>-</v>
      </c>
      <c r="G95" s="69"/>
      <c r="H95" s="177"/>
      <c r="I95" s="161"/>
      <c r="J95" s="178" t="str">
        <f>IFERROR(MIN('MP Calculations'!$E$29/I95,1),"-")</f>
        <v>-</v>
      </c>
      <c r="K95" s="12"/>
      <c r="L95" s="161"/>
      <c r="M95" s="161"/>
      <c r="N95" s="161"/>
      <c r="O95" s="180" t="str">
        <f t="shared" si="4"/>
        <v>-</v>
      </c>
      <c r="P95" s="181" t="str">
        <f t="shared" si="5"/>
        <v>-</v>
      </c>
    </row>
    <row r="96" spans="3:16" x14ac:dyDescent="0.25">
      <c r="C96" s="161"/>
      <c r="D96" s="175"/>
      <c r="E96" s="166"/>
      <c r="F96" s="176" t="str">
        <f t="shared" si="3"/>
        <v>-</v>
      </c>
      <c r="G96" s="69"/>
      <c r="H96" s="177"/>
      <c r="I96" s="161"/>
      <c r="J96" s="178" t="str">
        <f>IFERROR(MIN('MP Calculations'!$E$29/I96,1),"-")</f>
        <v>-</v>
      </c>
      <c r="K96" s="12"/>
      <c r="L96" s="161"/>
      <c r="M96" s="161"/>
      <c r="N96" s="161"/>
      <c r="O96" s="180" t="str">
        <f t="shared" si="4"/>
        <v>-</v>
      </c>
      <c r="P96" s="181" t="str">
        <f t="shared" si="5"/>
        <v>-</v>
      </c>
    </row>
    <row r="97" spans="3:16" x14ac:dyDescent="0.25">
      <c r="C97" s="161"/>
      <c r="D97" s="175"/>
      <c r="E97" s="166"/>
      <c r="F97" s="176" t="str">
        <f t="shared" si="3"/>
        <v>-</v>
      </c>
      <c r="G97" s="69"/>
      <c r="H97" s="177"/>
      <c r="I97" s="161"/>
      <c r="J97" s="178" t="str">
        <f>IFERROR(MIN('MP Calculations'!$E$29/I97,1),"-")</f>
        <v>-</v>
      </c>
      <c r="K97" s="12"/>
      <c r="L97" s="161"/>
      <c r="M97" s="161"/>
      <c r="N97" s="161"/>
      <c r="O97" s="180" t="str">
        <f t="shared" si="4"/>
        <v>-</v>
      </c>
      <c r="P97" s="181" t="str">
        <f t="shared" si="5"/>
        <v>-</v>
      </c>
    </row>
    <row r="98" spans="3:16" x14ac:dyDescent="0.25">
      <c r="C98" s="161"/>
      <c r="D98" s="175"/>
      <c r="E98" s="166"/>
      <c r="F98" s="176" t="str">
        <f t="shared" si="3"/>
        <v>-</v>
      </c>
      <c r="G98" s="69"/>
      <c r="H98" s="177"/>
      <c r="I98" s="161"/>
      <c r="J98" s="178" t="str">
        <f>IFERROR(MIN('MP Calculations'!$E$29/I98,1),"-")</f>
        <v>-</v>
      </c>
      <c r="K98" s="12"/>
      <c r="L98" s="161"/>
      <c r="M98" s="161"/>
      <c r="N98" s="161"/>
      <c r="O98" s="180" t="str">
        <f t="shared" si="4"/>
        <v>-</v>
      </c>
      <c r="P98" s="181" t="str">
        <f t="shared" si="5"/>
        <v>-</v>
      </c>
    </row>
    <row r="99" spans="3:16" x14ac:dyDescent="0.25">
      <c r="C99" s="161"/>
      <c r="D99" s="175"/>
      <c r="E99" s="166"/>
      <c r="F99" s="176" t="str">
        <f t="shared" si="3"/>
        <v>-</v>
      </c>
      <c r="G99" s="69"/>
      <c r="H99" s="177"/>
      <c r="I99" s="161"/>
      <c r="J99" s="178" t="str">
        <f>IFERROR(MIN('MP Calculations'!$E$29/I99,1),"-")</f>
        <v>-</v>
      </c>
      <c r="K99" s="12"/>
      <c r="L99" s="161"/>
      <c r="M99" s="161"/>
      <c r="N99" s="161"/>
      <c r="O99" s="180" t="str">
        <f t="shared" si="4"/>
        <v>-</v>
      </c>
      <c r="P99" s="181" t="str">
        <f t="shared" si="5"/>
        <v>-</v>
      </c>
    </row>
    <row r="100" spans="3:16" x14ac:dyDescent="0.25">
      <c r="C100" s="161"/>
      <c r="D100" s="175"/>
      <c r="E100" s="166"/>
      <c r="F100" s="176" t="str">
        <f t="shared" si="3"/>
        <v>-</v>
      </c>
      <c r="G100" s="69"/>
      <c r="H100" s="177"/>
      <c r="I100" s="161"/>
      <c r="J100" s="178" t="str">
        <f>IFERROR(MIN('MP Calculations'!$E$29/I100,1),"-")</f>
        <v>-</v>
      </c>
      <c r="K100" s="12"/>
      <c r="L100" s="161"/>
      <c r="M100" s="161"/>
      <c r="N100" s="161"/>
      <c r="O100" s="180" t="str">
        <f t="shared" si="4"/>
        <v>-</v>
      </c>
      <c r="P100" s="181" t="str">
        <f t="shared" si="5"/>
        <v>-</v>
      </c>
    </row>
    <row r="101" spans="3:16" x14ac:dyDescent="0.25">
      <c r="C101" s="161"/>
      <c r="D101" s="175"/>
      <c r="E101" s="166"/>
      <c r="F101" s="176" t="str">
        <f t="shared" si="3"/>
        <v>-</v>
      </c>
      <c r="G101" s="69"/>
      <c r="H101" s="177"/>
      <c r="I101" s="161"/>
      <c r="J101" s="178" t="str">
        <f>IFERROR(MIN('MP Calculations'!$E$29/I101,1),"-")</f>
        <v>-</v>
      </c>
      <c r="K101" s="12"/>
      <c r="L101" s="161"/>
      <c r="M101" s="161"/>
      <c r="N101" s="161"/>
      <c r="O101" s="180" t="str">
        <f t="shared" si="4"/>
        <v>-</v>
      </c>
      <c r="P101" s="181" t="str">
        <f t="shared" si="5"/>
        <v>-</v>
      </c>
    </row>
    <row r="102" spans="3:16" x14ac:dyDescent="0.25">
      <c r="C102" s="161"/>
      <c r="D102" s="175"/>
      <c r="E102" s="166"/>
      <c r="F102" s="176" t="str">
        <f t="shared" si="3"/>
        <v>-</v>
      </c>
      <c r="G102" s="69"/>
      <c r="H102" s="177"/>
      <c r="I102" s="161"/>
      <c r="J102" s="178" t="str">
        <f>IFERROR(MIN('MP Calculations'!$E$29/I102,1),"-")</f>
        <v>-</v>
      </c>
      <c r="K102" s="12"/>
      <c r="L102" s="161"/>
      <c r="M102" s="161"/>
      <c r="N102" s="161"/>
      <c r="O102" s="180" t="str">
        <f t="shared" si="4"/>
        <v>-</v>
      </c>
      <c r="P102" s="181" t="str">
        <f t="shared" si="5"/>
        <v>-</v>
      </c>
    </row>
    <row r="103" spans="3:16" x14ac:dyDescent="0.25">
      <c r="C103" s="161"/>
      <c r="D103" s="175"/>
      <c r="E103" s="166"/>
      <c r="F103" s="176" t="str">
        <f t="shared" si="3"/>
        <v>-</v>
      </c>
      <c r="G103" s="69"/>
      <c r="H103" s="177"/>
      <c r="I103" s="161"/>
      <c r="J103" s="178" t="str">
        <f>IFERROR(MIN('MP Calculations'!$E$29/I103,1),"-")</f>
        <v>-</v>
      </c>
      <c r="K103" s="12"/>
      <c r="L103" s="161"/>
      <c r="M103" s="161"/>
      <c r="N103" s="161"/>
      <c r="O103" s="180" t="str">
        <f t="shared" si="4"/>
        <v>-</v>
      </c>
      <c r="P103" s="181" t="str">
        <f t="shared" si="5"/>
        <v>-</v>
      </c>
    </row>
    <row r="104" spans="3:16" x14ac:dyDescent="0.25">
      <c r="C104" s="161"/>
      <c r="D104" s="175"/>
      <c r="E104" s="166"/>
      <c r="F104" s="176" t="str">
        <f t="shared" si="3"/>
        <v>-</v>
      </c>
      <c r="G104" s="69"/>
      <c r="H104" s="177"/>
      <c r="I104" s="161"/>
      <c r="J104" s="178" t="str">
        <f>IFERROR(MIN('MP Calculations'!$E$29/I104,1),"-")</f>
        <v>-</v>
      </c>
      <c r="K104" s="12"/>
      <c r="L104" s="161"/>
      <c r="M104" s="161"/>
      <c r="N104" s="161"/>
      <c r="O104" s="180" t="str">
        <f t="shared" si="4"/>
        <v>-</v>
      </c>
      <c r="P104" s="181" t="str">
        <f t="shared" si="5"/>
        <v>-</v>
      </c>
    </row>
    <row r="105" spans="3:16" x14ac:dyDescent="0.25">
      <c r="C105" s="161"/>
      <c r="D105" s="175"/>
      <c r="E105" s="166"/>
      <c r="F105" s="176" t="str">
        <f t="shared" si="3"/>
        <v>-</v>
      </c>
      <c r="G105" s="69"/>
      <c r="H105" s="177"/>
      <c r="I105" s="161"/>
      <c r="J105" s="178" t="str">
        <f>IFERROR(MIN('MP Calculations'!$E$29/I105,1),"-")</f>
        <v>-</v>
      </c>
      <c r="K105" s="12"/>
      <c r="L105" s="161"/>
      <c r="M105" s="161"/>
      <c r="N105" s="161"/>
      <c r="O105" s="180" t="str">
        <f t="shared" si="4"/>
        <v>-</v>
      </c>
      <c r="P105" s="181" t="str">
        <f t="shared" si="5"/>
        <v>-</v>
      </c>
    </row>
    <row r="106" spans="3:16" x14ac:dyDescent="0.25">
      <c r="C106" s="161"/>
      <c r="D106" s="175"/>
      <c r="E106" s="166"/>
      <c r="F106" s="176" t="str">
        <f t="shared" si="3"/>
        <v>-</v>
      </c>
      <c r="G106" s="69"/>
      <c r="H106" s="177"/>
      <c r="I106" s="161"/>
      <c r="J106" s="178" t="str">
        <f>IFERROR(MIN('MP Calculations'!$E$29/I106,1),"-")</f>
        <v>-</v>
      </c>
      <c r="K106" s="12"/>
      <c r="L106" s="161"/>
      <c r="M106" s="161"/>
      <c r="N106" s="161"/>
      <c r="O106" s="180" t="str">
        <f t="shared" si="4"/>
        <v>-</v>
      </c>
      <c r="P106" s="181" t="str">
        <f t="shared" si="5"/>
        <v>-</v>
      </c>
    </row>
    <row r="107" spans="3:16" x14ac:dyDescent="0.25">
      <c r="C107" s="161"/>
      <c r="D107" s="175"/>
      <c r="E107" s="166"/>
      <c r="F107" s="176" t="str">
        <f t="shared" si="3"/>
        <v>-</v>
      </c>
      <c r="G107" s="69"/>
      <c r="H107" s="177"/>
      <c r="I107" s="161"/>
      <c r="J107" s="178" t="str">
        <f>IFERROR(MIN('MP Calculations'!$E$29/I107,1),"-")</f>
        <v>-</v>
      </c>
      <c r="K107" s="12"/>
      <c r="L107" s="161"/>
      <c r="M107" s="161"/>
      <c r="N107" s="161"/>
      <c r="O107" s="180" t="str">
        <f t="shared" si="4"/>
        <v>-</v>
      </c>
      <c r="P107" s="181" t="str">
        <f t="shared" si="5"/>
        <v>-</v>
      </c>
    </row>
    <row r="108" spans="3:16" x14ac:dyDescent="0.25">
      <c r="C108" s="161"/>
      <c r="D108" s="175"/>
      <c r="E108" s="166"/>
      <c r="F108" s="176" t="str">
        <f t="shared" si="3"/>
        <v>-</v>
      </c>
      <c r="G108" s="69"/>
      <c r="H108" s="177"/>
      <c r="I108" s="161"/>
      <c r="J108" s="178" t="str">
        <f>IFERROR(MIN('MP Calculations'!$E$29/I108,1),"-")</f>
        <v>-</v>
      </c>
      <c r="K108" s="12"/>
      <c r="L108" s="161"/>
      <c r="M108" s="161"/>
      <c r="N108" s="161"/>
      <c r="O108" s="180" t="str">
        <f t="shared" si="4"/>
        <v>-</v>
      </c>
      <c r="P108" s="181" t="str">
        <f t="shared" si="5"/>
        <v>-</v>
      </c>
    </row>
    <row r="109" spans="3:16" x14ac:dyDescent="0.25">
      <c r="C109" s="161"/>
      <c r="D109" s="175"/>
      <c r="E109" s="166"/>
      <c r="F109" s="176" t="str">
        <f t="shared" si="3"/>
        <v>-</v>
      </c>
      <c r="G109" s="69"/>
      <c r="H109" s="177"/>
      <c r="I109" s="161"/>
      <c r="J109" s="178" t="str">
        <f>IFERROR(MIN('MP Calculations'!$E$29/I109,1),"-")</f>
        <v>-</v>
      </c>
      <c r="K109" s="12"/>
      <c r="L109" s="161"/>
      <c r="M109" s="161"/>
      <c r="N109" s="161"/>
      <c r="O109" s="180" t="str">
        <f t="shared" si="4"/>
        <v>-</v>
      </c>
      <c r="P109" s="181" t="str">
        <f t="shared" si="5"/>
        <v>-</v>
      </c>
    </row>
    <row r="110" spans="3:16" x14ac:dyDescent="0.25">
      <c r="C110" s="161"/>
      <c r="D110" s="175"/>
      <c r="E110" s="166"/>
      <c r="F110" s="176" t="str">
        <f t="shared" si="3"/>
        <v>-</v>
      </c>
      <c r="G110" s="69"/>
      <c r="H110" s="177"/>
      <c r="I110" s="161"/>
      <c r="J110" s="178" t="str">
        <f>IFERROR(MIN('MP Calculations'!$E$29/I110,1),"-")</f>
        <v>-</v>
      </c>
      <c r="K110" s="12"/>
      <c r="L110" s="161"/>
      <c r="M110" s="161"/>
      <c r="N110" s="161"/>
      <c r="O110" s="180" t="str">
        <f t="shared" si="4"/>
        <v>-</v>
      </c>
      <c r="P110" s="181" t="str">
        <f t="shared" si="5"/>
        <v>-</v>
      </c>
    </row>
    <row r="111" spans="3:16" x14ac:dyDescent="0.25">
      <c r="C111" s="161"/>
      <c r="D111" s="175"/>
      <c r="E111" s="166"/>
      <c r="F111" s="176" t="str">
        <f t="shared" si="3"/>
        <v>-</v>
      </c>
      <c r="G111" s="69"/>
      <c r="H111" s="177"/>
      <c r="I111" s="161"/>
      <c r="J111" s="178" t="str">
        <f>IFERROR(MIN('MP Calculations'!$E$29/I111,1),"-")</f>
        <v>-</v>
      </c>
      <c r="K111" s="12"/>
      <c r="L111" s="161"/>
      <c r="M111" s="161"/>
      <c r="N111" s="161"/>
      <c r="O111" s="180" t="str">
        <f t="shared" si="4"/>
        <v>-</v>
      </c>
      <c r="P111" s="181" t="str">
        <f t="shared" si="5"/>
        <v>-</v>
      </c>
    </row>
    <row r="112" spans="3:16" x14ac:dyDescent="0.25">
      <c r="C112" s="161"/>
      <c r="D112" s="175"/>
      <c r="E112" s="166"/>
      <c r="F112" s="176" t="str">
        <f t="shared" si="3"/>
        <v>-</v>
      </c>
      <c r="G112" s="69"/>
      <c r="H112" s="177"/>
      <c r="I112" s="161"/>
      <c r="J112" s="178" t="str">
        <f>IFERROR(MIN('MP Calculations'!$E$29/I112,1),"-")</f>
        <v>-</v>
      </c>
      <c r="K112" s="12"/>
      <c r="L112" s="161"/>
      <c r="M112" s="161"/>
      <c r="N112" s="161"/>
      <c r="O112" s="180" t="str">
        <f t="shared" si="4"/>
        <v>-</v>
      </c>
      <c r="P112" s="181" t="str">
        <f t="shared" si="5"/>
        <v>-</v>
      </c>
    </row>
    <row r="113" spans="3:16" x14ac:dyDescent="0.25">
      <c r="C113" s="161"/>
      <c r="D113" s="175"/>
      <c r="E113" s="166"/>
      <c r="F113" s="176" t="str">
        <f t="shared" si="3"/>
        <v>-</v>
      </c>
      <c r="G113" s="69"/>
      <c r="H113" s="177"/>
      <c r="I113" s="161"/>
      <c r="J113" s="178" t="str">
        <f>IFERROR(MIN('MP Calculations'!$E$29/I113,1),"-")</f>
        <v>-</v>
      </c>
      <c r="K113" s="12"/>
      <c r="L113" s="161"/>
      <c r="M113" s="161"/>
      <c r="N113" s="161"/>
      <c r="O113" s="180" t="str">
        <f t="shared" si="4"/>
        <v>-</v>
      </c>
      <c r="P113" s="181" t="str">
        <f t="shared" si="5"/>
        <v>-</v>
      </c>
    </row>
    <row r="114" spans="3:16" x14ac:dyDescent="0.25">
      <c r="C114" s="161"/>
      <c r="D114" s="175"/>
      <c r="E114" s="166"/>
      <c r="F114" s="176" t="str">
        <f t="shared" si="3"/>
        <v>-</v>
      </c>
      <c r="G114" s="69"/>
      <c r="H114" s="177"/>
      <c r="I114" s="161"/>
      <c r="J114" s="178" t="str">
        <f>IFERROR(MIN('MP Calculations'!$E$29/I114,1),"-")</f>
        <v>-</v>
      </c>
      <c r="K114" s="12"/>
      <c r="L114" s="161"/>
      <c r="M114" s="161"/>
      <c r="N114" s="161"/>
      <c r="O114" s="180" t="str">
        <f t="shared" si="4"/>
        <v>-</v>
      </c>
      <c r="P114" s="181" t="str">
        <f t="shared" si="5"/>
        <v>-</v>
      </c>
    </row>
    <row r="115" spans="3:16" x14ac:dyDescent="0.25">
      <c r="C115" s="161"/>
      <c r="D115" s="175"/>
      <c r="E115" s="166"/>
      <c r="F115" s="176" t="str">
        <f t="shared" si="3"/>
        <v>-</v>
      </c>
      <c r="G115" s="69"/>
      <c r="H115" s="177"/>
      <c r="I115" s="161"/>
      <c r="J115" s="178" t="str">
        <f>IFERROR(MIN('MP Calculations'!$E$29/I115,1),"-")</f>
        <v>-</v>
      </c>
      <c r="K115" s="12"/>
      <c r="L115" s="161"/>
      <c r="M115" s="161"/>
      <c r="N115" s="161"/>
      <c r="O115" s="180" t="str">
        <f t="shared" si="4"/>
        <v>-</v>
      </c>
      <c r="P115" s="181" t="str">
        <f t="shared" si="5"/>
        <v>-</v>
      </c>
    </row>
    <row r="116" spans="3:16" x14ac:dyDescent="0.25">
      <c r="C116" s="161"/>
      <c r="D116" s="175"/>
      <c r="E116" s="166"/>
      <c r="F116" s="176" t="str">
        <f t="shared" si="3"/>
        <v>-</v>
      </c>
      <c r="G116" s="69"/>
      <c r="H116" s="177"/>
      <c r="I116" s="161"/>
      <c r="J116" s="178" t="str">
        <f>IFERROR(MIN('MP Calculations'!$E$29/I116,1),"-")</f>
        <v>-</v>
      </c>
      <c r="K116" s="12"/>
      <c r="L116" s="161"/>
      <c r="M116" s="161"/>
      <c r="N116" s="161"/>
      <c r="O116" s="180" t="str">
        <f t="shared" si="4"/>
        <v>-</v>
      </c>
      <c r="P116" s="181" t="str">
        <f t="shared" si="5"/>
        <v>-</v>
      </c>
    </row>
    <row r="117" spans="3:16" x14ac:dyDescent="0.25">
      <c r="C117" s="161"/>
      <c r="D117" s="175"/>
      <c r="E117" s="166"/>
      <c r="F117" s="176" t="str">
        <f t="shared" si="3"/>
        <v>-</v>
      </c>
      <c r="G117" s="69"/>
      <c r="H117" s="177"/>
      <c r="I117" s="161"/>
      <c r="J117" s="178" t="str">
        <f>IFERROR(MIN('MP Calculations'!$E$29/I117,1),"-")</f>
        <v>-</v>
      </c>
      <c r="K117" s="12"/>
      <c r="L117" s="161"/>
      <c r="M117" s="161"/>
      <c r="N117" s="161"/>
      <c r="O117" s="180" t="str">
        <f t="shared" si="4"/>
        <v>-</v>
      </c>
      <c r="P117" s="181" t="str">
        <f t="shared" si="5"/>
        <v>-</v>
      </c>
    </row>
    <row r="118" spans="3:16" x14ac:dyDescent="0.25">
      <c r="C118" s="161"/>
      <c r="D118" s="175"/>
      <c r="E118" s="166"/>
      <c r="F118" s="176" t="str">
        <f t="shared" si="3"/>
        <v>-</v>
      </c>
      <c r="G118" s="69"/>
      <c r="H118" s="177"/>
      <c r="I118" s="161"/>
      <c r="J118" s="178" t="str">
        <f>IFERROR(MIN('MP Calculations'!$E$29/I118,1),"-")</f>
        <v>-</v>
      </c>
      <c r="K118" s="12"/>
      <c r="L118" s="161"/>
      <c r="M118" s="161"/>
      <c r="N118" s="161"/>
      <c r="O118" s="180" t="str">
        <f t="shared" si="4"/>
        <v>-</v>
      </c>
      <c r="P118" s="181" t="str">
        <f t="shared" si="5"/>
        <v>-</v>
      </c>
    </row>
    <row r="119" spans="3:16" x14ac:dyDescent="0.25">
      <c r="C119" s="161"/>
      <c r="D119" s="175"/>
      <c r="E119" s="166"/>
      <c r="F119" s="176" t="str">
        <f t="shared" si="3"/>
        <v>-</v>
      </c>
      <c r="G119" s="69"/>
      <c r="H119" s="177"/>
      <c r="I119" s="161"/>
      <c r="J119" s="178" t="str">
        <f>IFERROR(MIN('MP Calculations'!$E$29/I119,1),"-")</f>
        <v>-</v>
      </c>
      <c r="K119" s="12"/>
      <c r="L119" s="161"/>
      <c r="M119" s="161"/>
      <c r="N119" s="161"/>
      <c r="O119" s="180" t="str">
        <f t="shared" si="4"/>
        <v>-</v>
      </c>
      <c r="P119" s="181" t="str">
        <f t="shared" si="5"/>
        <v>-</v>
      </c>
    </row>
    <row r="120" spans="3:16" x14ac:dyDescent="0.25">
      <c r="C120" s="161"/>
      <c r="D120" s="175"/>
      <c r="E120" s="166"/>
      <c r="F120" s="176" t="str">
        <f t="shared" ref="F120:F183" si="6">IF(E120="","-",IF(OR(E120&lt;$E$15,E120&gt;$E$16),"ERROR - date outside of range","Date check - OK"))</f>
        <v>-</v>
      </c>
      <c r="G120" s="69"/>
      <c r="H120" s="177"/>
      <c r="I120" s="161"/>
      <c r="J120" s="178" t="str">
        <f>IFERROR(MIN('MP Calculations'!$E$29/I120,1),"-")</f>
        <v>-</v>
      </c>
      <c r="K120" s="12"/>
      <c r="L120" s="161"/>
      <c r="M120" s="161"/>
      <c r="N120" s="161"/>
      <c r="O120" s="180" t="str">
        <f t="shared" si="4"/>
        <v>-</v>
      </c>
      <c r="P120" s="181" t="str">
        <f t="shared" ref="P120:P183" si="7">IF(O120="-","-",IF(OR(E120&lt;$E$15,E120&gt;$E$16),0,O120*J120))</f>
        <v>-</v>
      </c>
    </row>
    <row r="121" spans="3:16" x14ac:dyDescent="0.25">
      <c r="C121" s="161"/>
      <c r="D121" s="175"/>
      <c r="E121" s="166"/>
      <c r="F121" s="176" t="str">
        <f t="shared" si="6"/>
        <v>-</v>
      </c>
      <c r="G121" s="69"/>
      <c r="H121" s="177"/>
      <c r="I121" s="161"/>
      <c r="J121" s="178" t="str">
        <f>IFERROR(MIN('MP Calculations'!$E$29/I121,1),"-")</f>
        <v>-</v>
      </c>
      <c r="K121" s="12"/>
      <c r="L121" s="161"/>
      <c r="M121" s="161"/>
      <c r="N121" s="161"/>
      <c r="O121" s="180" t="str">
        <f t="shared" si="4"/>
        <v>-</v>
      </c>
      <c r="P121" s="181" t="str">
        <f t="shared" si="7"/>
        <v>-</v>
      </c>
    </row>
    <row r="122" spans="3:16" x14ac:dyDescent="0.25">
      <c r="C122" s="161"/>
      <c r="D122" s="175"/>
      <c r="E122" s="166"/>
      <c r="F122" s="176" t="str">
        <f t="shared" si="6"/>
        <v>-</v>
      </c>
      <c r="G122" s="69"/>
      <c r="H122" s="177"/>
      <c r="I122" s="161"/>
      <c r="J122" s="178" t="str">
        <f>IFERROR(MIN('MP Calculations'!$E$29/I122,1),"-")</f>
        <v>-</v>
      </c>
      <c r="K122" s="12"/>
      <c r="L122" s="161"/>
      <c r="M122" s="161"/>
      <c r="N122" s="161"/>
      <c r="O122" s="180" t="str">
        <f t="shared" si="4"/>
        <v>-</v>
      </c>
      <c r="P122" s="181" t="str">
        <f t="shared" si="7"/>
        <v>-</v>
      </c>
    </row>
    <row r="123" spans="3:16" x14ac:dyDescent="0.25">
      <c r="C123" s="161"/>
      <c r="D123" s="175"/>
      <c r="E123" s="166"/>
      <c r="F123" s="176" t="str">
        <f t="shared" si="6"/>
        <v>-</v>
      </c>
      <c r="G123" s="69"/>
      <c r="H123" s="177"/>
      <c r="I123" s="161"/>
      <c r="J123" s="178" t="str">
        <f>IFERROR(MIN('MP Calculations'!$E$29/I123,1),"-")</f>
        <v>-</v>
      </c>
      <c r="K123" s="12"/>
      <c r="L123" s="161"/>
      <c r="M123" s="161"/>
      <c r="N123" s="161"/>
      <c r="O123" s="180" t="str">
        <f t="shared" si="4"/>
        <v>-</v>
      </c>
      <c r="P123" s="181" t="str">
        <f t="shared" si="7"/>
        <v>-</v>
      </c>
    </row>
    <row r="124" spans="3:16" x14ac:dyDescent="0.25">
      <c r="C124" s="161"/>
      <c r="D124" s="175"/>
      <c r="E124" s="166"/>
      <c r="F124" s="176" t="str">
        <f t="shared" si="6"/>
        <v>-</v>
      </c>
      <c r="G124" s="69"/>
      <c r="H124" s="177"/>
      <c r="I124" s="161"/>
      <c r="J124" s="178" t="str">
        <f>IFERROR(MIN('MP Calculations'!$E$29/I124,1),"-")</f>
        <v>-</v>
      </c>
      <c r="K124" s="12"/>
      <c r="L124" s="161"/>
      <c r="M124" s="161"/>
      <c r="N124" s="161"/>
      <c r="O124" s="180" t="str">
        <f t="shared" si="4"/>
        <v>-</v>
      </c>
      <c r="P124" s="181" t="str">
        <f t="shared" si="7"/>
        <v>-</v>
      </c>
    </row>
    <row r="125" spans="3:16" x14ac:dyDescent="0.25">
      <c r="C125" s="161"/>
      <c r="D125" s="175"/>
      <c r="E125" s="166"/>
      <c r="F125" s="176" t="str">
        <f t="shared" si="6"/>
        <v>-</v>
      </c>
      <c r="G125" s="69"/>
      <c r="H125" s="177"/>
      <c r="I125" s="161"/>
      <c r="J125" s="178" t="str">
        <f>IFERROR(MIN('MP Calculations'!$E$29/I125,1),"-")</f>
        <v>-</v>
      </c>
      <c r="K125" s="12"/>
      <c r="L125" s="161"/>
      <c r="M125" s="161"/>
      <c r="N125" s="161"/>
      <c r="O125" s="180" t="str">
        <f t="shared" si="4"/>
        <v>-</v>
      </c>
      <c r="P125" s="181" t="str">
        <f t="shared" si="7"/>
        <v>-</v>
      </c>
    </row>
    <row r="126" spans="3:16" x14ac:dyDescent="0.25">
      <c r="C126" s="161"/>
      <c r="D126" s="175"/>
      <c r="E126" s="166"/>
      <c r="F126" s="176" t="str">
        <f t="shared" si="6"/>
        <v>-</v>
      </c>
      <c r="G126" s="69"/>
      <c r="H126" s="177"/>
      <c r="I126" s="161"/>
      <c r="J126" s="178" t="str">
        <f>IFERROR(MIN('MP Calculations'!$E$29/I126,1),"-")</f>
        <v>-</v>
      </c>
      <c r="K126" s="12"/>
      <c r="L126" s="161"/>
      <c r="M126" s="161"/>
      <c r="N126" s="161"/>
      <c r="O126" s="180" t="str">
        <f t="shared" si="4"/>
        <v>-</v>
      </c>
      <c r="P126" s="181" t="str">
        <f t="shared" si="7"/>
        <v>-</v>
      </c>
    </row>
    <row r="127" spans="3:16" x14ac:dyDescent="0.25">
      <c r="C127" s="161"/>
      <c r="D127" s="175"/>
      <c r="E127" s="166"/>
      <c r="F127" s="176" t="str">
        <f t="shared" si="6"/>
        <v>-</v>
      </c>
      <c r="G127" s="69"/>
      <c r="H127" s="177"/>
      <c r="I127" s="161"/>
      <c r="J127" s="178" t="str">
        <f>IFERROR(MIN('MP Calculations'!$E$29/I127,1),"-")</f>
        <v>-</v>
      </c>
      <c r="K127" s="12"/>
      <c r="L127" s="161"/>
      <c r="M127" s="161"/>
      <c r="N127" s="161"/>
      <c r="O127" s="180" t="str">
        <f t="shared" si="4"/>
        <v>-</v>
      </c>
      <c r="P127" s="181" t="str">
        <f t="shared" si="7"/>
        <v>-</v>
      </c>
    </row>
    <row r="128" spans="3:16" x14ac:dyDescent="0.25">
      <c r="C128" s="161"/>
      <c r="D128" s="175"/>
      <c r="E128" s="166"/>
      <c r="F128" s="176" t="str">
        <f t="shared" si="6"/>
        <v>-</v>
      </c>
      <c r="G128" s="69"/>
      <c r="H128" s="177"/>
      <c r="I128" s="161"/>
      <c r="J128" s="178" t="str">
        <f>IFERROR(MIN('MP Calculations'!$E$29/I128,1),"-")</f>
        <v>-</v>
      </c>
      <c r="K128" s="12"/>
      <c r="L128" s="161"/>
      <c r="M128" s="161"/>
      <c r="N128" s="161"/>
      <c r="O128" s="180" t="str">
        <f t="shared" si="4"/>
        <v>-</v>
      </c>
      <c r="P128" s="181" t="str">
        <f t="shared" si="7"/>
        <v>-</v>
      </c>
    </row>
    <row r="129" spans="3:16" x14ac:dyDescent="0.25">
      <c r="C129" s="161"/>
      <c r="D129" s="175"/>
      <c r="E129" s="166"/>
      <c r="F129" s="176" t="str">
        <f t="shared" si="6"/>
        <v>-</v>
      </c>
      <c r="G129" s="69"/>
      <c r="H129" s="177"/>
      <c r="I129" s="161"/>
      <c r="J129" s="178" t="str">
        <f>IFERROR(MIN('MP Calculations'!$E$29/I129,1),"-")</f>
        <v>-</v>
      </c>
      <c r="K129" s="12"/>
      <c r="L129" s="161"/>
      <c r="M129" s="161"/>
      <c r="N129" s="161"/>
      <c r="O129" s="180" t="str">
        <f t="shared" si="4"/>
        <v>-</v>
      </c>
      <c r="P129" s="181" t="str">
        <f t="shared" si="7"/>
        <v>-</v>
      </c>
    </row>
    <row r="130" spans="3:16" x14ac:dyDescent="0.25">
      <c r="C130" s="161"/>
      <c r="D130" s="175"/>
      <c r="E130" s="166"/>
      <c r="F130" s="176" t="str">
        <f t="shared" si="6"/>
        <v>-</v>
      </c>
      <c r="G130" s="69"/>
      <c r="H130" s="177"/>
      <c r="I130" s="161"/>
      <c r="J130" s="178" t="str">
        <f>IFERROR(MIN('MP Calculations'!$E$29/I130,1),"-")</f>
        <v>-</v>
      </c>
      <c r="K130" s="12"/>
      <c r="L130" s="161"/>
      <c r="M130" s="161"/>
      <c r="N130" s="161"/>
      <c r="O130" s="180" t="str">
        <f t="shared" si="4"/>
        <v>-</v>
      </c>
      <c r="P130" s="181" t="str">
        <f t="shared" si="7"/>
        <v>-</v>
      </c>
    </row>
    <row r="131" spans="3:16" x14ac:dyDescent="0.25">
      <c r="C131" s="161"/>
      <c r="D131" s="175"/>
      <c r="E131" s="166"/>
      <c r="F131" s="176" t="str">
        <f t="shared" si="6"/>
        <v>-</v>
      </c>
      <c r="G131" s="69"/>
      <c r="H131" s="177"/>
      <c r="I131" s="161"/>
      <c r="J131" s="178" t="str">
        <f>IFERROR(MIN('MP Calculations'!$E$29/I131,1),"-")</f>
        <v>-</v>
      </c>
      <c r="K131" s="12"/>
      <c r="L131" s="161"/>
      <c r="M131" s="161"/>
      <c r="N131" s="161"/>
      <c r="O131" s="180" t="str">
        <f t="shared" si="4"/>
        <v>-</v>
      </c>
      <c r="P131" s="181" t="str">
        <f t="shared" si="7"/>
        <v>-</v>
      </c>
    </row>
    <row r="132" spans="3:16" x14ac:dyDescent="0.25">
      <c r="C132" s="161"/>
      <c r="D132" s="175"/>
      <c r="E132" s="166"/>
      <c r="F132" s="176" t="str">
        <f t="shared" si="6"/>
        <v>-</v>
      </c>
      <c r="G132" s="69"/>
      <c r="H132" s="177"/>
      <c r="I132" s="161"/>
      <c r="J132" s="178" t="str">
        <f>IFERROR(MIN('MP Calculations'!$E$29/I132,1),"-")</f>
        <v>-</v>
      </c>
      <c r="K132" s="12"/>
      <c r="L132" s="161"/>
      <c r="M132" s="161"/>
      <c r="N132" s="161"/>
      <c r="O132" s="180" t="str">
        <f t="shared" si="4"/>
        <v>-</v>
      </c>
      <c r="P132" s="181" t="str">
        <f t="shared" si="7"/>
        <v>-</v>
      </c>
    </row>
    <row r="133" spans="3:16" x14ac:dyDescent="0.25">
      <c r="C133" s="161"/>
      <c r="D133" s="175"/>
      <c r="E133" s="166"/>
      <c r="F133" s="176" t="str">
        <f t="shared" si="6"/>
        <v>-</v>
      </c>
      <c r="G133" s="69"/>
      <c r="H133" s="177"/>
      <c r="I133" s="161"/>
      <c r="J133" s="178" t="str">
        <f>IFERROR(MIN('MP Calculations'!$E$29/I133,1),"-")</f>
        <v>-</v>
      </c>
      <c r="K133" s="12"/>
      <c r="L133" s="161"/>
      <c r="M133" s="161"/>
      <c r="N133" s="161"/>
      <c r="O133" s="180" t="str">
        <f t="shared" si="4"/>
        <v>-</v>
      </c>
      <c r="P133" s="181" t="str">
        <f t="shared" si="7"/>
        <v>-</v>
      </c>
    </row>
    <row r="134" spans="3:16" x14ac:dyDescent="0.25">
      <c r="C134" s="161"/>
      <c r="D134" s="175"/>
      <c r="E134" s="166"/>
      <c r="F134" s="176" t="str">
        <f t="shared" si="6"/>
        <v>-</v>
      </c>
      <c r="G134" s="69"/>
      <c r="H134" s="177"/>
      <c r="I134" s="161"/>
      <c r="J134" s="178" t="str">
        <f>IFERROR(MIN('MP Calculations'!$E$29/I134,1),"-")</f>
        <v>-</v>
      </c>
      <c r="K134" s="12"/>
      <c r="L134" s="161"/>
      <c r="M134" s="161"/>
      <c r="N134" s="161"/>
      <c r="O134" s="180" t="str">
        <f t="shared" si="4"/>
        <v>-</v>
      </c>
      <c r="P134" s="181" t="str">
        <f t="shared" si="7"/>
        <v>-</v>
      </c>
    </row>
    <row r="135" spans="3:16" x14ac:dyDescent="0.25">
      <c r="C135" s="161"/>
      <c r="D135" s="175"/>
      <c r="E135" s="166"/>
      <c r="F135" s="176" t="str">
        <f t="shared" si="6"/>
        <v>-</v>
      </c>
      <c r="G135" s="69"/>
      <c r="H135" s="177"/>
      <c r="I135" s="161"/>
      <c r="J135" s="178" t="str">
        <f>IFERROR(MIN('MP Calculations'!$E$29/I135,1),"-")</f>
        <v>-</v>
      </c>
      <c r="K135" s="12"/>
      <c r="L135" s="161"/>
      <c r="M135" s="161"/>
      <c r="N135" s="161"/>
      <c r="O135" s="180" t="str">
        <f t="shared" si="4"/>
        <v>-</v>
      </c>
      <c r="P135" s="181" t="str">
        <f t="shared" si="7"/>
        <v>-</v>
      </c>
    </row>
    <row r="136" spans="3:16" x14ac:dyDescent="0.25">
      <c r="C136" s="161"/>
      <c r="D136" s="175"/>
      <c r="E136" s="166"/>
      <c r="F136" s="176" t="str">
        <f t="shared" si="6"/>
        <v>-</v>
      </c>
      <c r="G136" s="69"/>
      <c r="H136" s="177"/>
      <c r="I136" s="161"/>
      <c r="J136" s="178" t="str">
        <f>IFERROR(MIN('MP Calculations'!$E$29/I136,1),"-")</f>
        <v>-</v>
      </c>
      <c r="K136" s="12"/>
      <c r="L136" s="161"/>
      <c r="M136" s="161"/>
      <c r="N136" s="161"/>
      <c r="O136" s="180" t="str">
        <f t="shared" si="4"/>
        <v>-</v>
      </c>
      <c r="P136" s="181" t="str">
        <f t="shared" si="7"/>
        <v>-</v>
      </c>
    </row>
    <row r="137" spans="3:16" x14ac:dyDescent="0.25">
      <c r="C137" s="161"/>
      <c r="D137" s="175"/>
      <c r="E137" s="166"/>
      <c r="F137" s="176" t="str">
        <f t="shared" si="6"/>
        <v>-</v>
      </c>
      <c r="G137" s="69"/>
      <c r="H137" s="177"/>
      <c r="I137" s="161"/>
      <c r="J137" s="178" t="str">
        <f>IFERROR(MIN('MP Calculations'!$E$29/I137,1),"-")</f>
        <v>-</v>
      </c>
      <c r="K137" s="12"/>
      <c r="L137" s="161"/>
      <c r="M137" s="161"/>
      <c r="N137" s="161"/>
      <c r="O137" s="180" t="str">
        <f t="shared" si="4"/>
        <v>-</v>
      </c>
      <c r="P137" s="181" t="str">
        <f t="shared" si="7"/>
        <v>-</v>
      </c>
    </row>
    <row r="138" spans="3:16" x14ac:dyDescent="0.25">
      <c r="C138" s="161"/>
      <c r="D138" s="175"/>
      <c r="E138" s="166"/>
      <c r="F138" s="176" t="str">
        <f t="shared" si="6"/>
        <v>-</v>
      </c>
      <c r="G138" s="69"/>
      <c r="H138" s="177"/>
      <c r="I138" s="161"/>
      <c r="J138" s="178" t="str">
        <f>IFERROR(MIN('MP Calculations'!$E$29/I138,1),"-")</f>
        <v>-</v>
      </c>
      <c r="K138" s="12"/>
      <c r="L138" s="161"/>
      <c r="M138" s="161"/>
      <c r="N138" s="161"/>
      <c r="O138" s="180" t="str">
        <f t="shared" si="4"/>
        <v>-</v>
      </c>
      <c r="P138" s="181" t="str">
        <f t="shared" si="7"/>
        <v>-</v>
      </c>
    </row>
    <row r="139" spans="3:16" x14ac:dyDescent="0.25">
      <c r="C139" s="161"/>
      <c r="D139" s="175"/>
      <c r="E139" s="166"/>
      <c r="F139" s="176" t="str">
        <f t="shared" si="6"/>
        <v>-</v>
      </c>
      <c r="G139" s="69"/>
      <c r="H139" s="177"/>
      <c r="I139" s="161"/>
      <c r="J139" s="178" t="str">
        <f>IFERROR(MIN('MP Calculations'!$E$29/I139,1),"-")</f>
        <v>-</v>
      </c>
      <c r="K139" s="12"/>
      <c r="L139" s="161"/>
      <c r="M139" s="161"/>
      <c r="N139" s="161"/>
      <c r="O139" s="180" t="str">
        <f t="shared" si="4"/>
        <v>-</v>
      </c>
      <c r="P139" s="181" t="str">
        <f t="shared" si="7"/>
        <v>-</v>
      </c>
    </row>
    <row r="140" spans="3:16" x14ac:dyDescent="0.25">
      <c r="C140" s="161"/>
      <c r="D140" s="175"/>
      <c r="E140" s="166"/>
      <c r="F140" s="176" t="str">
        <f t="shared" si="6"/>
        <v>-</v>
      </c>
      <c r="G140" s="69"/>
      <c r="H140" s="177"/>
      <c r="I140" s="161"/>
      <c r="J140" s="178" t="str">
        <f>IFERROR(MIN('MP Calculations'!$E$29/I140,1),"-")</f>
        <v>-</v>
      </c>
      <c r="K140" s="12"/>
      <c r="L140" s="161"/>
      <c r="M140" s="161"/>
      <c r="N140" s="161"/>
      <c r="O140" s="180" t="str">
        <f t="shared" si="4"/>
        <v>-</v>
      </c>
      <c r="P140" s="181" t="str">
        <f t="shared" si="7"/>
        <v>-</v>
      </c>
    </row>
    <row r="141" spans="3:16" x14ac:dyDescent="0.25">
      <c r="C141" s="161"/>
      <c r="D141" s="175"/>
      <c r="E141" s="166"/>
      <c r="F141" s="176" t="str">
        <f t="shared" si="6"/>
        <v>-</v>
      </c>
      <c r="G141" s="69"/>
      <c r="H141" s="177"/>
      <c r="I141" s="161"/>
      <c r="J141" s="178" t="str">
        <f>IFERROR(MIN('MP Calculations'!$E$29/I141,1),"-")</f>
        <v>-</v>
      </c>
      <c r="K141" s="12"/>
      <c r="L141" s="161"/>
      <c r="M141" s="161"/>
      <c r="N141" s="161"/>
      <c r="O141" s="180" t="str">
        <f t="shared" si="4"/>
        <v>-</v>
      </c>
      <c r="P141" s="181" t="str">
        <f t="shared" si="7"/>
        <v>-</v>
      </c>
    </row>
    <row r="142" spans="3:16" x14ac:dyDescent="0.25">
      <c r="C142" s="161"/>
      <c r="D142" s="175"/>
      <c r="E142" s="166"/>
      <c r="F142" s="176" t="str">
        <f t="shared" si="6"/>
        <v>-</v>
      </c>
      <c r="G142" s="69"/>
      <c r="H142" s="177"/>
      <c r="I142" s="161"/>
      <c r="J142" s="178" t="str">
        <f>IFERROR(MIN('MP Calculations'!$E$29/I142,1),"-")</f>
        <v>-</v>
      </c>
      <c r="K142" s="12"/>
      <c r="L142" s="161"/>
      <c r="M142" s="161"/>
      <c r="N142" s="161"/>
      <c r="O142" s="180" t="str">
        <f t="shared" si="4"/>
        <v>-</v>
      </c>
      <c r="P142" s="181" t="str">
        <f t="shared" si="7"/>
        <v>-</v>
      </c>
    </row>
    <row r="143" spans="3:16" x14ac:dyDescent="0.25">
      <c r="C143" s="161"/>
      <c r="D143" s="175"/>
      <c r="E143" s="166"/>
      <c r="F143" s="176" t="str">
        <f t="shared" si="6"/>
        <v>-</v>
      </c>
      <c r="G143" s="69"/>
      <c r="H143" s="177"/>
      <c r="I143" s="161"/>
      <c r="J143" s="178" t="str">
        <f>IFERROR(MIN('MP Calculations'!$E$29/I143,1),"-")</f>
        <v>-</v>
      </c>
      <c r="K143" s="12"/>
      <c r="L143" s="161"/>
      <c r="M143" s="161"/>
      <c r="N143" s="161"/>
      <c r="O143" s="180" t="str">
        <f t="shared" si="4"/>
        <v>-</v>
      </c>
      <c r="P143" s="181" t="str">
        <f t="shared" si="7"/>
        <v>-</v>
      </c>
    </row>
    <row r="144" spans="3:16" x14ac:dyDescent="0.25">
      <c r="C144" s="161"/>
      <c r="D144" s="175"/>
      <c r="E144" s="166"/>
      <c r="F144" s="176" t="str">
        <f t="shared" si="6"/>
        <v>-</v>
      </c>
      <c r="G144" s="69"/>
      <c r="H144" s="177"/>
      <c r="I144" s="161"/>
      <c r="J144" s="178" t="str">
        <f>IFERROR(MIN('MP Calculations'!$E$29/I144,1),"-")</f>
        <v>-</v>
      </c>
      <c r="K144" s="12"/>
      <c r="L144" s="161"/>
      <c r="M144" s="161"/>
      <c r="N144" s="161"/>
      <c r="O144" s="180" t="str">
        <f t="shared" si="4"/>
        <v>-</v>
      </c>
      <c r="P144" s="181" t="str">
        <f t="shared" si="7"/>
        <v>-</v>
      </c>
    </row>
    <row r="145" spans="3:16" x14ac:dyDescent="0.25">
      <c r="C145" s="161"/>
      <c r="D145" s="175"/>
      <c r="E145" s="166"/>
      <c r="F145" s="176" t="str">
        <f t="shared" si="6"/>
        <v>-</v>
      </c>
      <c r="G145" s="69"/>
      <c r="H145" s="177"/>
      <c r="I145" s="161"/>
      <c r="J145" s="178" t="str">
        <f>IFERROR(MIN('MP Calculations'!$E$29/I145,1),"-")</f>
        <v>-</v>
      </c>
      <c r="K145" s="12"/>
      <c r="L145" s="161"/>
      <c r="M145" s="161"/>
      <c r="N145" s="161"/>
      <c r="O145" s="180" t="str">
        <f t="shared" si="4"/>
        <v>-</v>
      </c>
      <c r="P145" s="181" t="str">
        <f t="shared" si="7"/>
        <v>-</v>
      </c>
    </row>
    <row r="146" spans="3:16" x14ac:dyDescent="0.25">
      <c r="C146" s="161"/>
      <c r="D146" s="175"/>
      <c r="E146" s="166"/>
      <c r="F146" s="176" t="str">
        <f t="shared" si="6"/>
        <v>-</v>
      </c>
      <c r="G146" s="69"/>
      <c r="H146" s="177"/>
      <c r="I146" s="161"/>
      <c r="J146" s="178" t="str">
        <f>IFERROR(MIN('MP Calculations'!$E$29/I146,1),"-")</f>
        <v>-</v>
      </c>
      <c r="K146" s="12"/>
      <c r="L146" s="161"/>
      <c r="M146" s="161"/>
      <c r="N146" s="161"/>
      <c r="O146" s="180" t="str">
        <f t="shared" si="4"/>
        <v>-</v>
      </c>
      <c r="P146" s="181" t="str">
        <f t="shared" si="7"/>
        <v>-</v>
      </c>
    </row>
    <row r="147" spans="3:16" x14ac:dyDescent="0.25">
      <c r="C147" s="161"/>
      <c r="D147" s="175"/>
      <c r="E147" s="166"/>
      <c r="F147" s="176" t="str">
        <f t="shared" si="6"/>
        <v>-</v>
      </c>
      <c r="G147" s="69"/>
      <c r="H147" s="177"/>
      <c r="I147" s="161"/>
      <c r="J147" s="178" t="str">
        <f>IFERROR(MIN('MP Calculations'!$E$29/I147,1),"-")</f>
        <v>-</v>
      </c>
      <c r="K147" s="12"/>
      <c r="L147" s="161"/>
      <c r="M147" s="161"/>
      <c r="N147" s="161"/>
      <c r="O147" s="180" t="str">
        <f t="shared" si="4"/>
        <v>-</v>
      </c>
      <c r="P147" s="181" t="str">
        <f t="shared" si="7"/>
        <v>-</v>
      </c>
    </row>
    <row r="148" spans="3:16" x14ac:dyDescent="0.25">
      <c r="C148" s="161"/>
      <c r="D148" s="175"/>
      <c r="E148" s="166"/>
      <c r="F148" s="176" t="str">
        <f t="shared" si="6"/>
        <v>-</v>
      </c>
      <c r="G148" s="69"/>
      <c r="H148" s="177"/>
      <c r="I148" s="161"/>
      <c r="J148" s="178" t="str">
        <f>IFERROR(MIN('MP Calculations'!$E$29/I148,1),"-")</f>
        <v>-</v>
      </c>
      <c r="K148" s="12"/>
      <c r="L148" s="161"/>
      <c r="M148" s="161"/>
      <c r="N148" s="161"/>
      <c r="O148" s="180" t="str">
        <f t="shared" si="4"/>
        <v>-</v>
      </c>
      <c r="P148" s="181" t="str">
        <f t="shared" si="7"/>
        <v>-</v>
      </c>
    </row>
    <row r="149" spans="3:16" x14ac:dyDescent="0.25">
      <c r="C149" s="161"/>
      <c r="D149" s="175"/>
      <c r="E149" s="166"/>
      <c r="F149" s="176" t="str">
        <f t="shared" si="6"/>
        <v>-</v>
      </c>
      <c r="G149" s="69"/>
      <c r="H149" s="177"/>
      <c r="I149" s="161"/>
      <c r="J149" s="178" t="str">
        <f>IFERROR(MIN('MP Calculations'!$E$29/I149,1),"-")</f>
        <v>-</v>
      </c>
      <c r="K149" s="12"/>
      <c r="L149" s="161"/>
      <c r="M149" s="161"/>
      <c r="N149" s="161"/>
      <c r="O149" s="180" t="str">
        <f t="shared" si="4"/>
        <v>-</v>
      </c>
      <c r="P149" s="181" t="str">
        <f t="shared" si="7"/>
        <v>-</v>
      </c>
    </row>
    <row r="150" spans="3:16" x14ac:dyDescent="0.25">
      <c r="C150" s="161"/>
      <c r="D150" s="175"/>
      <c r="E150" s="166"/>
      <c r="F150" s="176" t="str">
        <f t="shared" si="6"/>
        <v>-</v>
      </c>
      <c r="G150" s="69"/>
      <c r="H150" s="177"/>
      <c r="I150" s="161"/>
      <c r="J150" s="178" t="str">
        <f>IFERROR(MIN('MP Calculations'!$E$29/I150,1),"-")</f>
        <v>-</v>
      </c>
      <c r="K150" s="12"/>
      <c r="L150" s="161"/>
      <c r="M150" s="161"/>
      <c r="N150" s="161"/>
      <c r="O150" s="180" t="str">
        <f t="shared" si="4"/>
        <v>-</v>
      </c>
      <c r="P150" s="181" t="str">
        <f t="shared" si="7"/>
        <v>-</v>
      </c>
    </row>
    <row r="151" spans="3:16" x14ac:dyDescent="0.25">
      <c r="C151" s="161"/>
      <c r="D151" s="175"/>
      <c r="E151" s="166"/>
      <c r="F151" s="176" t="str">
        <f t="shared" si="6"/>
        <v>-</v>
      </c>
      <c r="G151" s="69"/>
      <c r="H151" s="177"/>
      <c r="I151" s="161"/>
      <c r="J151" s="178" t="str">
        <f>IFERROR(MIN('MP Calculations'!$E$29/I151,1),"-")</f>
        <v>-</v>
      </c>
      <c r="K151" s="12"/>
      <c r="L151" s="161"/>
      <c r="M151" s="161"/>
      <c r="N151" s="161"/>
      <c r="O151" s="180" t="str">
        <f t="shared" ref="O151:O214" si="8">IF(N151="","-",L151*N151)</f>
        <v>-</v>
      </c>
      <c r="P151" s="181" t="str">
        <f t="shared" si="7"/>
        <v>-</v>
      </c>
    </row>
    <row r="152" spans="3:16" x14ac:dyDescent="0.25">
      <c r="C152" s="161"/>
      <c r="D152" s="175"/>
      <c r="E152" s="166"/>
      <c r="F152" s="176" t="str">
        <f t="shared" si="6"/>
        <v>-</v>
      </c>
      <c r="G152" s="69"/>
      <c r="H152" s="177"/>
      <c r="I152" s="161"/>
      <c r="J152" s="178" t="str">
        <f>IFERROR(MIN('MP Calculations'!$E$29/I152,1),"-")</f>
        <v>-</v>
      </c>
      <c r="K152" s="12"/>
      <c r="L152" s="161"/>
      <c r="M152" s="161"/>
      <c r="N152" s="161"/>
      <c r="O152" s="180" t="str">
        <f t="shared" si="8"/>
        <v>-</v>
      </c>
      <c r="P152" s="181" t="str">
        <f t="shared" si="7"/>
        <v>-</v>
      </c>
    </row>
    <row r="153" spans="3:16" x14ac:dyDescent="0.25">
      <c r="C153" s="161"/>
      <c r="D153" s="175"/>
      <c r="E153" s="166"/>
      <c r="F153" s="176" t="str">
        <f t="shared" si="6"/>
        <v>-</v>
      </c>
      <c r="G153" s="69"/>
      <c r="H153" s="177"/>
      <c r="I153" s="161"/>
      <c r="J153" s="178" t="str">
        <f>IFERROR(MIN('MP Calculations'!$E$29/I153,1),"-")</f>
        <v>-</v>
      </c>
      <c r="K153" s="12"/>
      <c r="L153" s="161"/>
      <c r="M153" s="161"/>
      <c r="N153" s="161"/>
      <c r="O153" s="180" t="str">
        <f t="shared" si="8"/>
        <v>-</v>
      </c>
      <c r="P153" s="181" t="str">
        <f t="shared" si="7"/>
        <v>-</v>
      </c>
    </row>
    <row r="154" spans="3:16" x14ac:dyDescent="0.25">
      <c r="C154" s="161"/>
      <c r="D154" s="175"/>
      <c r="E154" s="166"/>
      <c r="F154" s="176" t="str">
        <f t="shared" si="6"/>
        <v>-</v>
      </c>
      <c r="G154" s="69"/>
      <c r="H154" s="177"/>
      <c r="I154" s="161"/>
      <c r="J154" s="178" t="str">
        <f>IFERROR(MIN('MP Calculations'!$E$29/I154,1),"-")</f>
        <v>-</v>
      </c>
      <c r="K154" s="12"/>
      <c r="L154" s="161"/>
      <c r="M154" s="161"/>
      <c r="N154" s="161"/>
      <c r="O154" s="180" t="str">
        <f t="shared" si="8"/>
        <v>-</v>
      </c>
      <c r="P154" s="181" t="str">
        <f t="shared" si="7"/>
        <v>-</v>
      </c>
    </row>
    <row r="155" spans="3:16" x14ac:dyDescent="0.25">
      <c r="C155" s="161"/>
      <c r="D155" s="175"/>
      <c r="E155" s="166"/>
      <c r="F155" s="176" t="str">
        <f t="shared" si="6"/>
        <v>-</v>
      </c>
      <c r="G155" s="69"/>
      <c r="H155" s="177"/>
      <c r="I155" s="161"/>
      <c r="J155" s="178" t="str">
        <f>IFERROR(MIN('MP Calculations'!$E$29/I155,1),"-")</f>
        <v>-</v>
      </c>
      <c r="K155" s="12"/>
      <c r="L155" s="161"/>
      <c r="M155" s="161"/>
      <c r="N155" s="161"/>
      <c r="O155" s="180" t="str">
        <f t="shared" si="8"/>
        <v>-</v>
      </c>
      <c r="P155" s="181" t="str">
        <f t="shared" si="7"/>
        <v>-</v>
      </c>
    </row>
    <row r="156" spans="3:16" x14ac:dyDescent="0.25">
      <c r="C156" s="161"/>
      <c r="D156" s="175"/>
      <c r="E156" s="166"/>
      <c r="F156" s="176" t="str">
        <f t="shared" si="6"/>
        <v>-</v>
      </c>
      <c r="G156" s="69"/>
      <c r="H156" s="177"/>
      <c r="I156" s="161"/>
      <c r="J156" s="178" t="str">
        <f>IFERROR(MIN('MP Calculations'!$E$29/I156,1),"-")</f>
        <v>-</v>
      </c>
      <c r="K156" s="12"/>
      <c r="L156" s="161"/>
      <c r="M156" s="161"/>
      <c r="N156" s="161"/>
      <c r="O156" s="180" t="str">
        <f t="shared" si="8"/>
        <v>-</v>
      </c>
      <c r="P156" s="181" t="str">
        <f t="shared" si="7"/>
        <v>-</v>
      </c>
    </row>
    <row r="157" spans="3:16" x14ac:dyDescent="0.25">
      <c r="C157" s="161"/>
      <c r="D157" s="175"/>
      <c r="E157" s="166"/>
      <c r="F157" s="176" t="str">
        <f t="shared" si="6"/>
        <v>-</v>
      </c>
      <c r="G157" s="69"/>
      <c r="H157" s="177"/>
      <c r="I157" s="161"/>
      <c r="J157" s="178" t="str">
        <f>IFERROR(MIN('MP Calculations'!$E$29/I157,1),"-")</f>
        <v>-</v>
      </c>
      <c r="K157" s="12"/>
      <c r="L157" s="161"/>
      <c r="M157" s="161"/>
      <c r="N157" s="161"/>
      <c r="O157" s="180" t="str">
        <f t="shared" si="8"/>
        <v>-</v>
      </c>
      <c r="P157" s="181" t="str">
        <f t="shared" si="7"/>
        <v>-</v>
      </c>
    </row>
    <row r="158" spans="3:16" x14ac:dyDescent="0.25">
      <c r="C158" s="161"/>
      <c r="D158" s="175"/>
      <c r="E158" s="166"/>
      <c r="F158" s="176" t="str">
        <f t="shared" si="6"/>
        <v>-</v>
      </c>
      <c r="G158" s="69"/>
      <c r="H158" s="177"/>
      <c r="I158" s="161"/>
      <c r="J158" s="178" t="str">
        <f>IFERROR(MIN('MP Calculations'!$E$29/I158,1),"-")</f>
        <v>-</v>
      </c>
      <c r="K158" s="12"/>
      <c r="L158" s="161"/>
      <c r="M158" s="161"/>
      <c r="N158" s="161"/>
      <c r="O158" s="180" t="str">
        <f t="shared" si="8"/>
        <v>-</v>
      </c>
      <c r="P158" s="181" t="str">
        <f t="shared" si="7"/>
        <v>-</v>
      </c>
    </row>
    <row r="159" spans="3:16" x14ac:dyDescent="0.25">
      <c r="C159" s="161"/>
      <c r="D159" s="175"/>
      <c r="E159" s="166"/>
      <c r="F159" s="176" t="str">
        <f t="shared" si="6"/>
        <v>-</v>
      </c>
      <c r="G159" s="69"/>
      <c r="H159" s="177"/>
      <c r="I159" s="161"/>
      <c r="J159" s="178" t="str">
        <f>IFERROR(MIN('MP Calculations'!$E$29/I159,1),"-")</f>
        <v>-</v>
      </c>
      <c r="K159" s="12"/>
      <c r="L159" s="161"/>
      <c r="M159" s="161"/>
      <c r="N159" s="161"/>
      <c r="O159" s="180" t="str">
        <f t="shared" si="8"/>
        <v>-</v>
      </c>
      <c r="P159" s="181" t="str">
        <f t="shared" si="7"/>
        <v>-</v>
      </c>
    </row>
    <row r="160" spans="3:16" x14ac:dyDescent="0.25">
      <c r="C160" s="161"/>
      <c r="D160" s="175"/>
      <c r="E160" s="166"/>
      <c r="F160" s="176" t="str">
        <f t="shared" si="6"/>
        <v>-</v>
      </c>
      <c r="G160" s="69"/>
      <c r="H160" s="177"/>
      <c r="I160" s="161"/>
      <c r="J160" s="178" t="str">
        <f>IFERROR(MIN('MP Calculations'!$E$29/I160,1),"-")</f>
        <v>-</v>
      </c>
      <c r="K160" s="12"/>
      <c r="L160" s="161"/>
      <c r="M160" s="161"/>
      <c r="N160" s="161"/>
      <c r="O160" s="180" t="str">
        <f t="shared" si="8"/>
        <v>-</v>
      </c>
      <c r="P160" s="181" t="str">
        <f t="shared" si="7"/>
        <v>-</v>
      </c>
    </row>
    <row r="161" spans="3:16" x14ac:dyDescent="0.25">
      <c r="C161" s="161"/>
      <c r="D161" s="175"/>
      <c r="E161" s="166"/>
      <c r="F161" s="176" t="str">
        <f t="shared" si="6"/>
        <v>-</v>
      </c>
      <c r="G161" s="69"/>
      <c r="H161" s="177"/>
      <c r="I161" s="161"/>
      <c r="J161" s="178" t="str">
        <f>IFERROR(MIN('MP Calculations'!$E$29/I161,1),"-")</f>
        <v>-</v>
      </c>
      <c r="K161" s="12"/>
      <c r="L161" s="161"/>
      <c r="M161" s="161"/>
      <c r="N161" s="161"/>
      <c r="O161" s="180" t="str">
        <f t="shared" si="8"/>
        <v>-</v>
      </c>
      <c r="P161" s="181" t="str">
        <f t="shared" si="7"/>
        <v>-</v>
      </c>
    </row>
    <row r="162" spans="3:16" x14ac:dyDescent="0.25">
      <c r="C162" s="161"/>
      <c r="D162" s="175"/>
      <c r="E162" s="166"/>
      <c r="F162" s="176" t="str">
        <f t="shared" si="6"/>
        <v>-</v>
      </c>
      <c r="G162" s="69"/>
      <c r="H162" s="177"/>
      <c r="I162" s="161"/>
      <c r="J162" s="178" t="str">
        <f>IFERROR(MIN('MP Calculations'!$E$29/I162,1),"-")</f>
        <v>-</v>
      </c>
      <c r="K162" s="12"/>
      <c r="L162" s="161"/>
      <c r="M162" s="161"/>
      <c r="N162" s="161"/>
      <c r="O162" s="180" t="str">
        <f t="shared" si="8"/>
        <v>-</v>
      </c>
      <c r="P162" s="181" t="str">
        <f t="shared" si="7"/>
        <v>-</v>
      </c>
    </row>
    <row r="163" spans="3:16" x14ac:dyDescent="0.25">
      <c r="C163" s="161"/>
      <c r="D163" s="175"/>
      <c r="E163" s="166"/>
      <c r="F163" s="176" t="str">
        <f t="shared" si="6"/>
        <v>-</v>
      </c>
      <c r="G163" s="69"/>
      <c r="H163" s="177"/>
      <c r="I163" s="161"/>
      <c r="J163" s="178" t="str">
        <f>IFERROR(MIN('MP Calculations'!$E$29/I163,1),"-")</f>
        <v>-</v>
      </c>
      <c r="K163" s="12"/>
      <c r="L163" s="161"/>
      <c r="M163" s="161"/>
      <c r="N163" s="161"/>
      <c r="O163" s="180" t="str">
        <f t="shared" si="8"/>
        <v>-</v>
      </c>
      <c r="P163" s="181" t="str">
        <f t="shared" si="7"/>
        <v>-</v>
      </c>
    </row>
    <row r="164" spans="3:16" x14ac:dyDescent="0.25">
      <c r="C164" s="161"/>
      <c r="D164" s="175"/>
      <c r="E164" s="166"/>
      <c r="F164" s="176" t="str">
        <f t="shared" si="6"/>
        <v>-</v>
      </c>
      <c r="G164" s="69"/>
      <c r="H164" s="177"/>
      <c r="I164" s="161"/>
      <c r="J164" s="178" t="str">
        <f>IFERROR(MIN('MP Calculations'!$E$29/I164,1),"-")</f>
        <v>-</v>
      </c>
      <c r="K164" s="12"/>
      <c r="L164" s="161"/>
      <c r="M164" s="161"/>
      <c r="N164" s="161"/>
      <c r="O164" s="180" t="str">
        <f t="shared" si="8"/>
        <v>-</v>
      </c>
      <c r="P164" s="181" t="str">
        <f t="shared" si="7"/>
        <v>-</v>
      </c>
    </row>
    <row r="165" spans="3:16" x14ac:dyDescent="0.25">
      <c r="C165" s="161"/>
      <c r="D165" s="175"/>
      <c r="E165" s="166"/>
      <c r="F165" s="176" t="str">
        <f t="shared" si="6"/>
        <v>-</v>
      </c>
      <c r="G165" s="69"/>
      <c r="H165" s="177"/>
      <c r="I165" s="161"/>
      <c r="J165" s="178" t="str">
        <f>IFERROR(MIN('MP Calculations'!$E$29/I165,1),"-")</f>
        <v>-</v>
      </c>
      <c r="K165" s="12"/>
      <c r="L165" s="161"/>
      <c r="M165" s="161"/>
      <c r="N165" s="161"/>
      <c r="O165" s="180" t="str">
        <f t="shared" si="8"/>
        <v>-</v>
      </c>
      <c r="P165" s="181" t="str">
        <f t="shared" si="7"/>
        <v>-</v>
      </c>
    </row>
    <row r="166" spans="3:16" x14ac:dyDescent="0.25">
      <c r="C166" s="161"/>
      <c r="D166" s="175"/>
      <c r="E166" s="166"/>
      <c r="F166" s="176" t="str">
        <f t="shared" si="6"/>
        <v>-</v>
      </c>
      <c r="G166" s="69"/>
      <c r="H166" s="177"/>
      <c r="I166" s="161"/>
      <c r="J166" s="178" t="str">
        <f>IFERROR(MIN('MP Calculations'!$E$29/I166,1),"-")</f>
        <v>-</v>
      </c>
      <c r="K166" s="12"/>
      <c r="L166" s="161"/>
      <c r="M166" s="161"/>
      <c r="N166" s="161"/>
      <c r="O166" s="180" t="str">
        <f t="shared" si="8"/>
        <v>-</v>
      </c>
      <c r="P166" s="181" t="str">
        <f t="shared" si="7"/>
        <v>-</v>
      </c>
    </row>
    <row r="167" spans="3:16" x14ac:dyDescent="0.25">
      <c r="C167" s="161"/>
      <c r="D167" s="175"/>
      <c r="E167" s="166"/>
      <c r="F167" s="176" t="str">
        <f t="shared" si="6"/>
        <v>-</v>
      </c>
      <c r="G167" s="69"/>
      <c r="H167" s="177"/>
      <c r="I167" s="161"/>
      <c r="J167" s="178" t="str">
        <f>IFERROR(MIN('MP Calculations'!$E$29/I167,1),"-")</f>
        <v>-</v>
      </c>
      <c r="K167" s="12"/>
      <c r="L167" s="161"/>
      <c r="M167" s="161"/>
      <c r="N167" s="161"/>
      <c r="O167" s="180" t="str">
        <f t="shared" si="8"/>
        <v>-</v>
      </c>
      <c r="P167" s="181" t="str">
        <f t="shared" si="7"/>
        <v>-</v>
      </c>
    </row>
    <row r="168" spans="3:16" x14ac:dyDescent="0.25">
      <c r="C168" s="161"/>
      <c r="D168" s="175"/>
      <c r="E168" s="166"/>
      <c r="F168" s="176" t="str">
        <f t="shared" si="6"/>
        <v>-</v>
      </c>
      <c r="G168" s="69"/>
      <c r="H168" s="177"/>
      <c r="I168" s="161"/>
      <c r="J168" s="178" t="str">
        <f>IFERROR(MIN('MP Calculations'!$E$29/I168,1),"-")</f>
        <v>-</v>
      </c>
      <c r="K168" s="12"/>
      <c r="L168" s="161"/>
      <c r="M168" s="161"/>
      <c r="N168" s="161"/>
      <c r="O168" s="180" t="str">
        <f t="shared" si="8"/>
        <v>-</v>
      </c>
      <c r="P168" s="181" t="str">
        <f t="shared" si="7"/>
        <v>-</v>
      </c>
    </row>
    <row r="169" spans="3:16" x14ac:dyDescent="0.25">
      <c r="C169" s="161"/>
      <c r="D169" s="175"/>
      <c r="E169" s="166"/>
      <c r="F169" s="176" t="str">
        <f t="shared" si="6"/>
        <v>-</v>
      </c>
      <c r="G169" s="69"/>
      <c r="H169" s="177"/>
      <c r="I169" s="161"/>
      <c r="J169" s="178" t="str">
        <f>IFERROR(MIN('MP Calculations'!$E$29/I169,1),"-")</f>
        <v>-</v>
      </c>
      <c r="K169" s="12"/>
      <c r="L169" s="161"/>
      <c r="M169" s="161"/>
      <c r="N169" s="161"/>
      <c r="O169" s="180" t="str">
        <f t="shared" si="8"/>
        <v>-</v>
      </c>
      <c r="P169" s="181" t="str">
        <f t="shared" si="7"/>
        <v>-</v>
      </c>
    </row>
    <row r="170" spans="3:16" x14ac:dyDescent="0.25">
      <c r="C170" s="161"/>
      <c r="D170" s="175"/>
      <c r="E170" s="166"/>
      <c r="F170" s="176" t="str">
        <f t="shared" si="6"/>
        <v>-</v>
      </c>
      <c r="G170" s="69"/>
      <c r="H170" s="177"/>
      <c r="I170" s="161"/>
      <c r="J170" s="178" t="str">
        <f>IFERROR(MIN('MP Calculations'!$E$29/I170,1),"-")</f>
        <v>-</v>
      </c>
      <c r="K170" s="12"/>
      <c r="L170" s="161"/>
      <c r="M170" s="161"/>
      <c r="N170" s="161"/>
      <c r="O170" s="180" t="str">
        <f t="shared" si="8"/>
        <v>-</v>
      </c>
      <c r="P170" s="181" t="str">
        <f t="shared" si="7"/>
        <v>-</v>
      </c>
    </row>
    <row r="171" spans="3:16" x14ac:dyDescent="0.25">
      <c r="C171" s="161"/>
      <c r="D171" s="175"/>
      <c r="E171" s="166"/>
      <c r="F171" s="176" t="str">
        <f t="shared" si="6"/>
        <v>-</v>
      </c>
      <c r="G171" s="69"/>
      <c r="H171" s="177"/>
      <c r="I171" s="161"/>
      <c r="J171" s="178" t="str">
        <f>IFERROR(MIN('MP Calculations'!$E$29/I171,1),"-")</f>
        <v>-</v>
      </c>
      <c r="K171" s="12"/>
      <c r="L171" s="161"/>
      <c r="M171" s="161"/>
      <c r="N171" s="161"/>
      <c r="O171" s="180" t="str">
        <f t="shared" si="8"/>
        <v>-</v>
      </c>
      <c r="P171" s="181" t="str">
        <f t="shared" si="7"/>
        <v>-</v>
      </c>
    </row>
    <row r="172" spans="3:16" x14ac:dyDescent="0.25">
      <c r="C172" s="161"/>
      <c r="D172" s="175"/>
      <c r="E172" s="166"/>
      <c r="F172" s="176" t="str">
        <f t="shared" si="6"/>
        <v>-</v>
      </c>
      <c r="G172" s="69"/>
      <c r="H172" s="177"/>
      <c r="I172" s="161"/>
      <c r="J172" s="178" t="str">
        <f>IFERROR(MIN('MP Calculations'!$E$29/I172,1),"-")</f>
        <v>-</v>
      </c>
      <c r="K172" s="12"/>
      <c r="L172" s="161"/>
      <c r="M172" s="161"/>
      <c r="N172" s="161"/>
      <c r="O172" s="180" t="str">
        <f t="shared" si="8"/>
        <v>-</v>
      </c>
      <c r="P172" s="181" t="str">
        <f t="shared" si="7"/>
        <v>-</v>
      </c>
    </row>
    <row r="173" spans="3:16" x14ac:dyDescent="0.25">
      <c r="C173" s="161"/>
      <c r="D173" s="175"/>
      <c r="E173" s="166"/>
      <c r="F173" s="176" t="str">
        <f t="shared" si="6"/>
        <v>-</v>
      </c>
      <c r="G173" s="69"/>
      <c r="H173" s="177"/>
      <c r="I173" s="161"/>
      <c r="J173" s="178" t="str">
        <f>IFERROR(MIN('MP Calculations'!$E$29/I173,1),"-")</f>
        <v>-</v>
      </c>
      <c r="K173" s="12"/>
      <c r="L173" s="161"/>
      <c r="M173" s="161"/>
      <c r="N173" s="161"/>
      <c r="O173" s="180" t="str">
        <f t="shared" si="8"/>
        <v>-</v>
      </c>
      <c r="P173" s="181" t="str">
        <f t="shared" si="7"/>
        <v>-</v>
      </c>
    </row>
    <row r="174" spans="3:16" x14ac:dyDescent="0.25">
      <c r="C174" s="161"/>
      <c r="D174" s="175"/>
      <c r="E174" s="166"/>
      <c r="F174" s="176" t="str">
        <f t="shared" si="6"/>
        <v>-</v>
      </c>
      <c r="G174" s="69"/>
      <c r="H174" s="177"/>
      <c r="I174" s="161"/>
      <c r="J174" s="178" t="str">
        <f>IFERROR(MIN('MP Calculations'!$E$29/I174,1),"-")</f>
        <v>-</v>
      </c>
      <c r="K174" s="12"/>
      <c r="L174" s="161"/>
      <c r="M174" s="161"/>
      <c r="N174" s="161"/>
      <c r="O174" s="180" t="str">
        <f t="shared" si="8"/>
        <v>-</v>
      </c>
      <c r="P174" s="181" t="str">
        <f t="shared" si="7"/>
        <v>-</v>
      </c>
    </row>
    <row r="175" spans="3:16" x14ac:dyDescent="0.25">
      <c r="C175" s="161"/>
      <c r="D175" s="175"/>
      <c r="E175" s="166"/>
      <c r="F175" s="176" t="str">
        <f t="shared" si="6"/>
        <v>-</v>
      </c>
      <c r="G175" s="69"/>
      <c r="H175" s="177"/>
      <c r="I175" s="161"/>
      <c r="J175" s="178" t="str">
        <f>IFERROR(MIN('MP Calculations'!$E$29/I175,1),"-")</f>
        <v>-</v>
      </c>
      <c r="K175" s="12"/>
      <c r="L175" s="161"/>
      <c r="M175" s="161"/>
      <c r="N175" s="161"/>
      <c r="O175" s="180" t="str">
        <f t="shared" si="8"/>
        <v>-</v>
      </c>
      <c r="P175" s="181" t="str">
        <f t="shared" si="7"/>
        <v>-</v>
      </c>
    </row>
    <row r="176" spans="3:16" x14ac:dyDescent="0.25">
      <c r="C176" s="161"/>
      <c r="D176" s="175"/>
      <c r="E176" s="166"/>
      <c r="F176" s="176" t="str">
        <f t="shared" si="6"/>
        <v>-</v>
      </c>
      <c r="G176" s="69"/>
      <c r="H176" s="177"/>
      <c r="I176" s="161"/>
      <c r="J176" s="178" t="str">
        <f>IFERROR(MIN('MP Calculations'!$E$29/I176,1),"-")</f>
        <v>-</v>
      </c>
      <c r="K176" s="12"/>
      <c r="L176" s="161"/>
      <c r="M176" s="161"/>
      <c r="N176" s="161"/>
      <c r="O176" s="180" t="str">
        <f t="shared" si="8"/>
        <v>-</v>
      </c>
      <c r="P176" s="181" t="str">
        <f t="shared" si="7"/>
        <v>-</v>
      </c>
    </row>
    <row r="177" spans="3:16" x14ac:dyDescent="0.25">
      <c r="C177" s="161"/>
      <c r="D177" s="175"/>
      <c r="E177" s="166"/>
      <c r="F177" s="176" t="str">
        <f t="shared" si="6"/>
        <v>-</v>
      </c>
      <c r="G177" s="69"/>
      <c r="H177" s="177"/>
      <c r="I177" s="161"/>
      <c r="J177" s="178" t="str">
        <f>IFERROR(MIN('MP Calculations'!$E$29/I177,1),"-")</f>
        <v>-</v>
      </c>
      <c r="K177" s="12"/>
      <c r="L177" s="161"/>
      <c r="M177" s="161"/>
      <c r="N177" s="161"/>
      <c r="O177" s="180" t="str">
        <f t="shared" si="8"/>
        <v>-</v>
      </c>
      <c r="P177" s="181" t="str">
        <f t="shared" si="7"/>
        <v>-</v>
      </c>
    </row>
    <row r="178" spans="3:16" x14ac:dyDescent="0.25">
      <c r="C178" s="161"/>
      <c r="D178" s="175"/>
      <c r="E178" s="166"/>
      <c r="F178" s="176" t="str">
        <f t="shared" si="6"/>
        <v>-</v>
      </c>
      <c r="G178" s="69"/>
      <c r="H178" s="177"/>
      <c r="I178" s="161"/>
      <c r="J178" s="178" t="str">
        <f>IFERROR(MIN('MP Calculations'!$E$29/I178,1),"-")</f>
        <v>-</v>
      </c>
      <c r="K178" s="12"/>
      <c r="L178" s="161"/>
      <c r="M178" s="161"/>
      <c r="N178" s="161"/>
      <c r="O178" s="180" t="str">
        <f t="shared" si="8"/>
        <v>-</v>
      </c>
      <c r="P178" s="181" t="str">
        <f t="shared" si="7"/>
        <v>-</v>
      </c>
    </row>
    <row r="179" spans="3:16" x14ac:dyDescent="0.25">
      <c r="C179" s="161"/>
      <c r="D179" s="175"/>
      <c r="E179" s="166"/>
      <c r="F179" s="176" t="str">
        <f t="shared" si="6"/>
        <v>-</v>
      </c>
      <c r="G179" s="69"/>
      <c r="H179" s="177"/>
      <c r="I179" s="161"/>
      <c r="J179" s="178" t="str">
        <f>IFERROR(MIN('MP Calculations'!$E$29/I179,1),"-")</f>
        <v>-</v>
      </c>
      <c r="K179" s="12"/>
      <c r="L179" s="161"/>
      <c r="M179" s="161"/>
      <c r="N179" s="161"/>
      <c r="O179" s="180" t="str">
        <f t="shared" si="8"/>
        <v>-</v>
      </c>
      <c r="P179" s="181" t="str">
        <f t="shared" si="7"/>
        <v>-</v>
      </c>
    </row>
    <row r="180" spans="3:16" x14ac:dyDescent="0.25">
      <c r="C180" s="161"/>
      <c r="D180" s="175"/>
      <c r="E180" s="166"/>
      <c r="F180" s="176" t="str">
        <f t="shared" si="6"/>
        <v>-</v>
      </c>
      <c r="G180" s="69"/>
      <c r="H180" s="177"/>
      <c r="I180" s="161"/>
      <c r="J180" s="178" t="str">
        <f>IFERROR(MIN('MP Calculations'!$E$29/I180,1),"-")</f>
        <v>-</v>
      </c>
      <c r="K180" s="12"/>
      <c r="L180" s="161"/>
      <c r="M180" s="161"/>
      <c r="N180" s="161"/>
      <c r="O180" s="180" t="str">
        <f t="shared" si="8"/>
        <v>-</v>
      </c>
      <c r="P180" s="181" t="str">
        <f t="shared" si="7"/>
        <v>-</v>
      </c>
    </row>
    <row r="181" spans="3:16" x14ac:dyDescent="0.25">
      <c r="C181" s="161"/>
      <c r="D181" s="175"/>
      <c r="E181" s="166"/>
      <c r="F181" s="176" t="str">
        <f t="shared" si="6"/>
        <v>-</v>
      </c>
      <c r="G181" s="69"/>
      <c r="H181" s="177"/>
      <c r="I181" s="161"/>
      <c r="J181" s="178" t="str">
        <f>IFERROR(MIN('MP Calculations'!$E$29/I181,1),"-")</f>
        <v>-</v>
      </c>
      <c r="K181" s="12"/>
      <c r="L181" s="161"/>
      <c r="M181" s="161"/>
      <c r="N181" s="161"/>
      <c r="O181" s="180" t="str">
        <f t="shared" si="8"/>
        <v>-</v>
      </c>
      <c r="P181" s="181" t="str">
        <f t="shared" si="7"/>
        <v>-</v>
      </c>
    </row>
    <row r="182" spans="3:16" x14ac:dyDescent="0.25">
      <c r="C182" s="161"/>
      <c r="D182" s="175"/>
      <c r="E182" s="166"/>
      <c r="F182" s="176" t="str">
        <f t="shared" si="6"/>
        <v>-</v>
      </c>
      <c r="G182" s="69"/>
      <c r="H182" s="177"/>
      <c r="I182" s="161"/>
      <c r="J182" s="178" t="str">
        <f>IFERROR(MIN('MP Calculations'!$E$29/I182,1),"-")</f>
        <v>-</v>
      </c>
      <c r="K182" s="12"/>
      <c r="L182" s="161"/>
      <c r="M182" s="161"/>
      <c r="N182" s="161"/>
      <c r="O182" s="180" t="str">
        <f t="shared" si="8"/>
        <v>-</v>
      </c>
      <c r="P182" s="181" t="str">
        <f t="shared" si="7"/>
        <v>-</v>
      </c>
    </row>
    <row r="183" spans="3:16" x14ac:dyDescent="0.25">
      <c r="C183" s="161"/>
      <c r="D183" s="175"/>
      <c r="E183" s="166"/>
      <c r="F183" s="176" t="str">
        <f t="shared" si="6"/>
        <v>-</v>
      </c>
      <c r="G183" s="69"/>
      <c r="H183" s="177"/>
      <c r="I183" s="161"/>
      <c r="J183" s="178" t="str">
        <f>IFERROR(MIN('MP Calculations'!$E$29/I183,1),"-")</f>
        <v>-</v>
      </c>
      <c r="K183" s="12"/>
      <c r="L183" s="161"/>
      <c r="M183" s="161"/>
      <c r="N183" s="161"/>
      <c r="O183" s="180" t="str">
        <f t="shared" si="8"/>
        <v>-</v>
      </c>
      <c r="P183" s="181" t="str">
        <f t="shared" si="7"/>
        <v>-</v>
      </c>
    </row>
    <row r="184" spans="3:16" x14ac:dyDescent="0.25">
      <c r="C184" s="161"/>
      <c r="D184" s="175"/>
      <c r="E184" s="166"/>
      <c r="F184" s="176" t="str">
        <f t="shared" ref="F184:F217" si="9">IF(E184="","-",IF(OR(E184&lt;$E$15,E184&gt;$E$16),"ERROR - date outside of range","Date check - OK"))</f>
        <v>-</v>
      </c>
      <c r="G184" s="69"/>
      <c r="H184" s="177"/>
      <c r="I184" s="161"/>
      <c r="J184" s="178" t="str">
        <f>IFERROR(MIN('MP Calculations'!$E$29/I184,1),"-")</f>
        <v>-</v>
      </c>
      <c r="K184" s="12"/>
      <c r="L184" s="161"/>
      <c r="M184" s="161"/>
      <c r="N184" s="161"/>
      <c r="O184" s="180" t="str">
        <f t="shared" si="8"/>
        <v>-</v>
      </c>
      <c r="P184" s="181" t="str">
        <f t="shared" ref="P184:P217" si="10">IF(O184="-","-",IF(OR(E184&lt;$E$15,E184&gt;$E$16),0,O184*J184))</f>
        <v>-</v>
      </c>
    </row>
    <row r="185" spans="3:16" x14ac:dyDescent="0.25">
      <c r="C185" s="161"/>
      <c r="D185" s="175"/>
      <c r="E185" s="166"/>
      <c r="F185" s="176" t="str">
        <f t="shared" si="9"/>
        <v>-</v>
      </c>
      <c r="G185" s="69"/>
      <c r="H185" s="177"/>
      <c r="I185" s="161"/>
      <c r="J185" s="178" t="str">
        <f>IFERROR(MIN('MP Calculations'!$E$29/I185,1),"-")</f>
        <v>-</v>
      </c>
      <c r="K185" s="12"/>
      <c r="L185" s="161"/>
      <c r="M185" s="161"/>
      <c r="N185" s="161"/>
      <c r="O185" s="180" t="str">
        <f t="shared" si="8"/>
        <v>-</v>
      </c>
      <c r="P185" s="181" t="str">
        <f t="shared" si="10"/>
        <v>-</v>
      </c>
    </row>
    <row r="186" spans="3:16" x14ac:dyDescent="0.25">
      <c r="C186" s="161"/>
      <c r="D186" s="175"/>
      <c r="E186" s="166"/>
      <c r="F186" s="176" t="str">
        <f t="shared" si="9"/>
        <v>-</v>
      </c>
      <c r="G186" s="69"/>
      <c r="H186" s="177"/>
      <c r="I186" s="161"/>
      <c r="J186" s="178" t="str">
        <f>IFERROR(MIN('MP Calculations'!$E$29/I186,1),"-")</f>
        <v>-</v>
      </c>
      <c r="K186" s="12"/>
      <c r="L186" s="161"/>
      <c r="M186" s="161"/>
      <c r="N186" s="161"/>
      <c r="O186" s="180" t="str">
        <f t="shared" si="8"/>
        <v>-</v>
      </c>
      <c r="P186" s="181" t="str">
        <f t="shared" si="10"/>
        <v>-</v>
      </c>
    </row>
    <row r="187" spans="3:16" x14ac:dyDescent="0.25">
      <c r="C187" s="161"/>
      <c r="D187" s="175"/>
      <c r="E187" s="166"/>
      <c r="F187" s="176" t="str">
        <f t="shared" si="9"/>
        <v>-</v>
      </c>
      <c r="G187" s="69"/>
      <c r="H187" s="177"/>
      <c r="I187" s="161"/>
      <c r="J187" s="178" t="str">
        <f>IFERROR(MIN('MP Calculations'!$E$29/I187,1),"-")</f>
        <v>-</v>
      </c>
      <c r="K187" s="12"/>
      <c r="L187" s="161"/>
      <c r="M187" s="161"/>
      <c r="N187" s="161"/>
      <c r="O187" s="180" t="str">
        <f t="shared" si="8"/>
        <v>-</v>
      </c>
      <c r="P187" s="181" t="str">
        <f t="shared" si="10"/>
        <v>-</v>
      </c>
    </row>
    <row r="188" spans="3:16" x14ac:dyDescent="0.25">
      <c r="C188" s="161"/>
      <c r="D188" s="175"/>
      <c r="E188" s="166"/>
      <c r="F188" s="176" t="str">
        <f t="shared" si="9"/>
        <v>-</v>
      </c>
      <c r="G188" s="69"/>
      <c r="H188" s="177"/>
      <c r="I188" s="161"/>
      <c r="J188" s="178" t="str">
        <f>IFERROR(MIN('MP Calculations'!$E$29/I188,1),"-")</f>
        <v>-</v>
      </c>
      <c r="K188" s="12"/>
      <c r="L188" s="161"/>
      <c r="M188" s="161"/>
      <c r="N188" s="161"/>
      <c r="O188" s="180" t="str">
        <f t="shared" si="8"/>
        <v>-</v>
      </c>
      <c r="P188" s="181" t="str">
        <f t="shared" si="10"/>
        <v>-</v>
      </c>
    </row>
    <row r="189" spans="3:16" x14ac:dyDescent="0.25">
      <c r="C189" s="161"/>
      <c r="D189" s="175"/>
      <c r="E189" s="166"/>
      <c r="F189" s="176" t="str">
        <f t="shared" si="9"/>
        <v>-</v>
      </c>
      <c r="G189" s="69"/>
      <c r="H189" s="177"/>
      <c r="I189" s="161"/>
      <c r="J189" s="178" t="str">
        <f>IFERROR(MIN('MP Calculations'!$E$29/I189,1),"-")</f>
        <v>-</v>
      </c>
      <c r="K189" s="12"/>
      <c r="L189" s="161"/>
      <c r="M189" s="161"/>
      <c r="N189" s="161"/>
      <c r="O189" s="180" t="str">
        <f t="shared" si="8"/>
        <v>-</v>
      </c>
      <c r="P189" s="181" t="str">
        <f t="shared" si="10"/>
        <v>-</v>
      </c>
    </row>
    <row r="190" spans="3:16" x14ac:dyDescent="0.25">
      <c r="C190" s="161"/>
      <c r="D190" s="175"/>
      <c r="E190" s="166"/>
      <c r="F190" s="176" t="str">
        <f t="shared" si="9"/>
        <v>-</v>
      </c>
      <c r="G190" s="69"/>
      <c r="H190" s="177"/>
      <c r="I190" s="161"/>
      <c r="J190" s="178" t="str">
        <f>IFERROR(MIN('MP Calculations'!$E$29/I190,1),"-")</f>
        <v>-</v>
      </c>
      <c r="K190" s="12"/>
      <c r="L190" s="161"/>
      <c r="M190" s="161"/>
      <c r="N190" s="161"/>
      <c r="O190" s="180" t="str">
        <f t="shared" si="8"/>
        <v>-</v>
      </c>
      <c r="P190" s="181" t="str">
        <f t="shared" si="10"/>
        <v>-</v>
      </c>
    </row>
    <row r="191" spans="3:16" x14ac:dyDescent="0.25">
      <c r="C191" s="161"/>
      <c r="D191" s="175"/>
      <c r="E191" s="166"/>
      <c r="F191" s="176" t="str">
        <f t="shared" si="9"/>
        <v>-</v>
      </c>
      <c r="G191" s="69"/>
      <c r="H191" s="177"/>
      <c r="I191" s="161"/>
      <c r="J191" s="178" t="str">
        <f>IFERROR(MIN('MP Calculations'!$E$29/I191,1),"-")</f>
        <v>-</v>
      </c>
      <c r="K191" s="12"/>
      <c r="L191" s="161"/>
      <c r="M191" s="161"/>
      <c r="N191" s="161"/>
      <c r="O191" s="180" t="str">
        <f t="shared" si="8"/>
        <v>-</v>
      </c>
      <c r="P191" s="181" t="str">
        <f t="shared" si="10"/>
        <v>-</v>
      </c>
    </row>
    <row r="192" spans="3:16" x14ac:dyDescent="0.25">
      <c r="C192" s="161"/>
      <c r="D192" s="175"/>
      <c r="E192" s="166"/>
      <c r="F192" s="176" t="str">
        <f t="shared" si="9"/>
        <v>-</v>
      </c>
      <c r="G192" s="69"/>
      <c r="H192" s="177"/>
      <c r="I192" s="161"/>
      <c r="J192" s="178" t="str">
        <f>IFERROR(MIN('MP Calculations'!$E$29/I192,1),"-")</f>
        <v>-</v>
      </c>
      <c r="K192" s="12"/>
      <c r="L192" s="161"/>
      <c r="M192" s="161"/>
      <c r="N192" s="161"/>
      <c r="O192" s="180" t="str">
        <f t="shared" si="8"/>
        <v>-</v>
      </c>
      <c r="P192" s="181" t="str">
        <f t="shared" si="10"/>
        <v>-</v>
      </c>
    </row>
    <row r="193" spans="3:16" x14ac:dyDescent="0.25">
      <c r="C193" s="161"/>
      <c r="D193" s="175"/>
      <c r="E193" s="166"/>
      <c r="F193" s="176" t="str">
        <f t="shared" si="9"/>
        <v>-</v>
      </c>
      <c r="G193" s="69"/>
      <c r="H193" s="177"/>
      <c r="I193" s="161"/>
      <c r="J193" s="178" t="str">
        <f>IFERROR(MIN('MP Calculations'!$E$29/I193,1),"-")</f>
        <v>-</v>
      </c>
      <c r="K193" s="12"/>
      <c r="L193" s="161"/>
      <c r="M193" s="161"/>
      <c r="N193" s="161"/>
      <c r="O193" s="180" t="str">
        <f t="shared" si="8"/>
        <v>-</v>
      </c>
      <c r="P193" s="181" t="str">
        <f t="shared" si="10"/>
        <v>-</v>
      </c>
    </row>
    <row r="194" spans="3:16" x14ac:dyDescent="0.25">
      <c r="C194" s="161"/>
      <c r="D194" s="175"/>
      <c r="E194" s="166"/>
      <c r="F194" s="176" t="str">
        <f t="shared" si="9"/>
        <v>-</v>
      </c>
      <c r="G194" s="69"/>
      <c r="H194" s="177"/>
      <c r="I194" s="161"/>
      <c r="J194" s="178" t="str">
        <f>IFERROR(MIN('MP Calculations'!$E$29/I194,1),"-")</f>
        <v>-</v>
      </c>
      <c r="K194" s="12"/>
      <c r="L194" s="161"/>
      <c r="M194" s="161"/>
      <c r="N194" s="161"/>
      <c r="O194" s="180" t="str">
        <f t="shared" si="8"/>
        <v>-</v>
      </c>
      <c r="P194" s="181" t="str">
        <f t="shared" si="10"/>
        <v>-</v>
      </c>
    </row>
    <row r="195" spans="3:16" x14ac:dyDescent="0.25">
      <c r="C195" s="161"/>
      <c r="D195" s="175"/>
      <c r="E195" s="166"/>
      <c r="F195" s="176" t="str">
        <f t="shared" si="9"/>
        <v>-</v>
      </c>
      <c r="G195" s="69"/>
      <c r="H195" s="177"/>
      <c r="I195" s="161"/>
      <c r="J195" s="178" t="str">
        <f>IFERROR(MIN('MP Calculations'!$E$29/I195,1),"-")</f>
        <v>-</v>
      </c>
      <c r="K195" s="12"/>
      <c r="L195" s="161"/>
      <c r="M195" s="161"/>
      <c r="N195" s="161"/>
      <c r="O195" s="180" t="str">
        <f t="shared" si="8"/>
        <v>-</v>
      </c>
      <c r="P195" s="181" t="str">
        <f t="shared" si="10"/>
        <v>-</v>
      </c>
    </row>
    <row r="196" spans="3:16" x14ac:dyDescent="0.25">
      <c r="C196" s="161"/>
      <c r="D196" s="175"/>
      <c r="E196" s="166"/>
      <c r="F196" s="176" t="str">
        <f t="shared" si="9"/>
        <v>-</v>
      </c>
      <c r="G196" s="69"/>
      <c r="H196" s="177"/>
      <c r="I196" s="161"/>
      <c r="J196" s="178" t="str">
        <f>IFERROR(MIN('MP Calculations'!$E$29/I196,1),"-")</f>
        <v>-</v>
      </c>
      <c r="K196" s="12"/>
      <c r="L196" s="161"/>
      <c r="M196" s="161"/>
      <c r="N196" s="161"/>
      <c r="O196" s="180" t="str">
        <f t="shared" si="8"/>
        <v>-</v>
      </c>
      <c r="P196" s="181" t="str">
        <f t="shared" si="10"/>
        <v>-</v>
      </c>
    </row>
    <row r="197" spans="3:16" x14ac:dyDescent="0.25">
      <c r="C197" s="161"/>
      <c r="D197" s="175"/>
      <c r="E197" s="166"/>
      <c r="F197" s="176" t="str">
        <f t="shared" si="9"/>
        <v>-</v>
      </c>
      <c r="G197" s="69"/>
      <c r="H197" s="177"/>
      <c r="I197" s="161"/>
      <c r="J197" s="178" t="str">
        <f>IFERROR(MIN('MP Calculations'!$E$29/I197,1),"-")</f>
        <v>-</v>
      </c>
      <c r="K197" s="12"/>
      <c r="L197" s="161"/>
      <c r="M197" s="161"/>
      <c r="N197" s="161"/>
      <c r="O197" s="180" t="str">
        <f t="shared" si="8"/>
        <v>-</v>
      </c>
      <c r="P197" s="181" t="str">
        <f t="shared" si="10"/>
        <v>-</v>
      </c>
    </row>
    <row r="198" spans="3:16" x14ac:dyDescent="0.25">
      <c r="C198" s="161"/>
      <c r="D198" s="175"/>
      <c r="E198" s="166"/>
      <c r="F198" s="176" t="str">
        <f t="shared" si="9"/>
        <v>-</v>
      </c>
      <c r="G198" s="69"/>
      <c r="H198" s="177"/>
      <c r="I198" s="161"/>
      <c r="J198" s="178" t="str">
        <f>IFERROR(MIN('MP Calculations'!$E$29/I198,1),"-")</f>
        <v>-</v>
      </c>
      <c r="K198" s="12"/>
      <c r="L198" s="161"/>
      <c r="M198" s="161"/>
      <c r="N198" s="161"/>
      <c r="O198" s="180" t="str">
        <f t="shared" si="8"/>
        <v>-</v>
      </c>
      <c r="P198" s="181" t="str">
        <f t="shared" si="10"/>
        <v>-</v>
      </c>
    </row>
    <row r="199" spans="3:16" x14ac:dyDescent="0.25">
      <c r="C199" s="161"/>
      <c r="D199" s="175"/>
      <c r="E199" s="166"/>
      <c r="F199" s="176" t="str">
        <f t="shared" si="9"/>
        <v>-</v>
      </c>
      <c r="G199" s="69"/>
      <c r="H199" s="177"/>
      <c r="I199" s="161"/>
      <c r="J199" s="178" t="str">
        <f>IFERROR(MIN('MP Calculations'!$E$29/I199,1),"-")</f>
        <v>-</v>
      </c>
      <c r="K199" s="12"/>
      <c r="L199" s="161"/>
      <c r="M199" s="161"/>
      <c r="N199" s="161"/>
      <c r="O199" s="180" t="str">
        <f t="shared" si="8"/>
        <v>-</v>
      </c>
      <c r="P199" s="181" t="str">
        <f t="shared" si="10"/>
        <v>-</v>
      </c>
    </row>
    <row r="200" spans="3:16" x14ac:dyDescent="0.25">
      <c r="C200" s="161"/>
      <c r="D200" s="175"/>
      <c r="E200" s="166"/>
      <c r="F200" s="176" t="str">
        <f t="shared" si="9"/>
        <v>-</v>
      </c>
      <c r="G200" s="69"/>
      <c r="H200" s="177"/>
      <c r="I200" s="161"/>
      <c r="J200" s="178" t="str">
        <f>IFERROR(MIN('MP Calculations'!$E$29/I200,1),"-")</f>
        <v>-</v>
      </c>
      <c r="K200" s="12"/>
      <c r="L200" s="161"/>
      <c r="M200" s="161"/>
      <c r="N200" s="161"/>
      <c r="O200" s="180" t="str">
        <f t="shared" si="8"/>
        <v>-</v>
      </c>
      <c r="P200" s="181" t="str">
        <f t="shared" si="10"/>
        <v>-</v>
      </c>
    </row>
    <row r="201" spans="3:16" x14ac:dyDescent="0.25">
      <c r="C201" s="161"/>
      <c r="D201" s="175"/>
      <c r="E201" s="166"/>
      <c r="F201" s="176" t="str">
        <f t="shared" si="9"/>
        <v>-</v>
      </c>
      <c r="G201" s="69"/>
      <c r="H201" s="177"/>
      <c r="I201" s="161"/>
      <c r="J201" s="178" t="str">
        <f>IFERROR(MIN('MP Calculations'!$E$29/I201,1),"-")</f>
        <v>-</v>
      </c>
      <c r="K201" s="12"/>
      <c r="L201" s="161"/>
      <c r="M201" s="161"/>
      <c r="N201" s="161"/>
      <c r="O201" s="180" t="str">
        <f t="shared" si="8"/>
        <v>-</v>
      </c>
      <c r="P201" s="181" t="str">
        <f t="shared" si="10"/>
        <v>-</v>
      </c>
    </row>
    <row r="202" spans="3:16" x14ac:dyDescent="0.25">
      <c r="C202" s="161"/>
      <c r="D202" s="175"/>
      <c r="E202" s="166"/>
      <c r="F202" s="176" t="str">
        <f t="shared" si="9"/>
        <v>-</v>
      </c>
      <c r="G202" s="69"/>
      <c r="H202" s="177"/>
      <c r="I202" s="161"/>
      <c r="J202" s="178" t="str">
        <f>IFERROR(MIN('MP Calculations'!$E$29/I202,1),"-")</f>
        <v>-</v>
      </c>
      <c r="K202" s="12"/>
      <c r="L202" s="161"/>
      <c r="M202" s="161"/>
      <c r="N202" s="161"/>
      <c r="O202" s="180" t="str">
        <f t="shared" si="8"/>
        <v>-</v>
      </c>
      <c r="P202" s="181" t="str">
        <f t="shared" si="10"/>
        <v>-</v>
      </c>
    </row>
    <row r="203" spans="3:16" x14ac:dyDescent="0.25">
      <c r="C203" s="161"/>
      <c r="D203" s="175"/>
      <c r="E203" s="166"/>
      <c r="F203" s="176" t="str">
        <f t="shared" si="9"/>
        <v>-</v>
      </c>
      <c r="G203" s="69"/>
      <c r="H203" s="177"/>
      <c r="I203" s="161"/>
      <c r="J203" s="178" t="str">
        <f>IFERROR(MIN('MP Calculations'!$E$29/I203,1),"-")</f>
        <v>-</v>
      </c>
      <c r="K203" s="12"/>
      <c r="L203" s="161"/>
      <c r="M203" s="161"/>
      <c r="N203" s="161"/>
      <c r="O203" s="180" t="str">
        <f t="shared" si="8"/>
        <v>-</v>
      </c>
      <c r="P203" s="181" t="str">
        <f t="shared" si="10"/>
        <v>-</v>
      </c>
    </row>
    <row r="204" spans="3:16" x14ac:dyDescent="0.25">
      <c r="C204" s="161"/>
      <c r="D204" s="175"/>
      <c r="E204" s="166"/>
      <c r="F204" s="176" t="str">
        <f t="shared" si="9"/>
        <v>-</v>
      </c>
      <c r="G204" s="69"/>
      <c r="H204" s="177"/>
      <c r="I204" s="161"/>
      <c r="J204" s="178" t="str">
        <f>IFERROR(MIN('MP Calculations'!$E$29/I204,1),"-")</f>
        <v>-</v>
      </c>
      <c r="K204" s="12"/>
      <c r="L204" s="161"/>
      <c r="M204" s="161"/>
      <c r="N204" s="161"/>
      <c r="O204" s="180" t="str">
        <f t="shared" si="8"/>
        <v>-</v>
      </c>
      <c r="P204" s="181" t="str">
        <f t="shared" si="10"/>
        <v>-</v>
      </c>
    </row>
    <row r="205" spans="3:16" x14ac:dyDescent="0.25">
      <c r="C205" s="161"/>
      <c r="D205" s="175"/>
      <c r="E205" s="166"/>
      <c r="F205" s="176" t="str">
        <f t="shared" si="9"/>
        <v>-</v>
      </c>
      <c r="G205" s="69"/>
      <c r="H205" s="177"/>
      <c r="I205" s="161"/>
      <c r="J205" s="178" t="str">
        <f>IFERROR(MIN('MP Calculations'!$E$29/I205,1),"-")</f>
        <v>-</v>
      </c>
      <c r="K205" s="12"/>
      <c r="L205" s="161"/>
      <c r="M205" s="161"/>
      <c r="N205" s="161"/>
      <c r="O205" s="180" t="str">
        <f t="shared" si="8"/>
        <v>-</v>
      </c>
      <c r="P205" s="181" t="str">
        <f t="shared" si="10"/>
        <v>-</v>
      </c>
    </row>
    <row r="206" spans="3:16" x14ac:dyDescent="0.25">
      <c r="C206" s="161"/>
      <c r="D206" s="175"/>
      <c r="E206" s="166"/>
      <c r="F206" s="176" t="str">
        <f t="shared" si="9"/>
        <v>-</v>
      </c>
      <c r="G206" s="69"/>
      <c r="H206" s="177"/>
      <c r="I206" s="161"/>
      <c r="J206" s="178" t="str">
        <f>IFERROR(MIN('MP Calculations'!$E$29/I206,1),"-")</f>
        <v>-</v>
      </c>
      <c r="K206" s="12"/>
      <c r="L206" s="161"/>
      <c r="M206" s="161"/>
      <c r="N206" s="161"/>
      <c r="O206" s="180" t="str">
        <f t="shared" si="8"/>
        <v>-</v>
      </c>
      <c r="P206" s="181" t="str">
        <f t="shared" si="10"/>
        <v>-</v>
      </c>
    </row>
    <row r="207" spans="3:16" x14ac:dyDescent="0.25">
      <c r="C207" s="161"/>
      <c r="D207" s="175"/>
      <c r="E207" s="166"/>
      <c r="F207" s="176" t="str">
        <f t="shared" si="9"/>
        <v>-</v>
      </c>
      <c r="G207" s="69"/>
      <c r="H207" s="177"/>
      <c r="I207" s="161"/>
      <c r="J207" s="178" t="str">
        <f>IFERROR(MIN('MP Calculations'!$E$29/I207,1),"-")</f>
        <v>-</v>
      </c>
      <c r="K207" s="12"/>
      <c r="L207" s="161"/>
      <c r="M207" s="161"/>
      <c r="N207" s="161"/>
      <c r="O207" s="180" t="str">
        <f t="shared" si="8"/>
        <v>-</v>
      </c>
      <c r="P207" s="181" t="str">
        <f t="shared" si="10"/>
        <v>-</v>
      </c>
    </row>
    <row r="208" spans="3:16" x14ac:dyDescent="0.25">
      <c r="C208" s="161"/>
      <c r="D208" s="175"/>
      <c r="E208" s="166"/>
      <c r="F208" s="176" t="str">
        <f t="shared" si="9"/>
        <v>-</v>
      </c>
      <c r="G208" s="69"/>
      <c r="H208" s="177"/>
      <c r="I208" s="161"/>
      <c r="J208" s="178" t="str">
        <f>IFERROR(MIN('MP Calculations'!$E$29/I208,1),"-")</f>
        <v>-</v>
      </c>
      <c r="K208" s="12"/>
      <c r="L208" s="161"/>
      <c r="M208" s="161"/>
      <c r="N208" s="161"/>
      <c r="O208" s="180" t="str">
        <f t="shared" si="8"/>
        <v>-</v>
      </c>
      <c r="P208" s="181" t="str">
        <f t="shared" si="10"/>
        <v>-</v>
      </c>
    </row>
    <row r="209" spans="3:16" x14ac:dyDescent="0.25">
      <c r="C209" s="161"/>
      <c r="D209" s="175"/>
      <c r="E209" s="166"/>
      <c r="F209" s="176" t="str">
        <f t="shared" si="9"/>
        <v>-</v>
      </c>
      <c r="G209" s="69"/>
      <c r="H209" s="177"/>
      <c r="I209" s="161"/>
      <c r="J209" s="178" t="str">
        <f>IFERROR(MIN('MP Calculations'!$E$29/I209,1),"-")</f>
        <v>-</v>
      </c>
      <c r="K209" s="12"/>
      <c r="L209" s="161"/>
      <c r="M209" s="161"/>
      <c r="N209" s="161"/>
      <c r="O209" s="180" t="str">
        <f t="shared" si="8"/>
        <v>-</v>
      </c>
      <c r="P209" s="181" t="str">
        <f t="shared" si="10"/>
        <v>-</v>
      </c>
    </row>
    <row r="210" spans="3:16" x14ac:dyDescent="0.25">
      <c r="C210" s="161"/>
      <c r="D210" s="175"/>
      <c r="E210" s="166"/>
      <c r="F210" s="176" t="str">
        <f t="shared" si="9"/>
        <v>-</v>
      </c>
      <c r="G210" s="69"/>
      <c r="H210" s="177"/>
      <c r="I210" s="161"/>
      <c r="J210" s="178" t="str">
        <f>IFERROR(MIN('MP Calculations'!$E$29/I210,1),"-")</f>
        <v>-</v>
      </c>
      <c r="K210" s="12"/>
      <c r="L210" s="161"/>
      <c r="M210" s="161"/>
      <c r="N210" s="161"/>
      <c r="O210" s="180" t="str">
        <f t="shared" si="8"/>
        <v>-</v>
      </c>
      <c r="P210" s="181" t="str">
        <f t="shared" si="10"/>
        <v>-</v>
      </c>
    </row>
    <row r="211" spans="3:16" x14ac:dyDescent="0.25">
      <c r="C211" s="161"/>
      <c r="D211" s="175"/>
      <c r="E211" s="166"/>
      <c r="F211" s="176" t="str">
        <f t="shared" si="9"/>
        <v>-</v>
      </c>
      <c r="G211" s="69"/>
      <c r="H211" s="177"/>
      <c r="I211" s="161"/>
      <c r="J211" s="178" t="str">
        <f>IFERROR(MIN('MP Calculations'!$E$29/I211,1),"-")</f>
        <v>-</v>
      </c>
      <c r="K211" s="12"/>
      <c r="L211" s="161"/>
      <c r="M211" s="161"/>
      <c r="N211" s="161"/>
      <c r="O211" s="180" t="str">
        <f t="shared" si="8"/>
        <v>-</v>
      </c>
      <c r="P211" s="181" t="str">
        <f t="shared" si="10"/>
        <v>-</v>
      </c>
    </row>
    <row r="212" spans="3:16" x14ac:dyDescent="0.25">
      <c r="C212" s="161"/>
      <c r="D212" s="175"/>
      <c r="E212" s="166"/>
      <c r="F212" s="176" t="str">
        <f t="shared" si="9"/>
        <v>-</v>
      </c>
      <c r="G212" s="69"/>
      <c r="H212" s="177"/>
      <c r="I212" s="161"/>
      <c r="J212" s="178" t="str">
        <f>IFERROR(MIN('MP Calculations'!$E$29/I212,1),"-")</f>
        <v>-</v>
      </c>
      <c r="K212" s="12"/>
      <c r="L212" s="161"/>
      <c r="M212" s="161"/>
      <c r="N212" s="161"/>
      <c r="O212" s="180" t="str">
        <f t="shared" si="8"/>
        <v>-</v>
      </c>
      <c r="P212" s="181" t="str">
        <f t="shared" si="10"/>
        <v>-</v>
      </c>
    </row>
    <row r="213" spans="3:16" x14ac:dyDescent="0.25">
      <c r="C213" s="161"/>
      <c r="D213" s="175"/>
      <c r="E213" s="166"/>
      <c r="F213" s="176" t="str">
        <f t="shared" si="9"/>
        <v>-</v>
      </c>
      <c r="G213" s="69"/>
      <c r="H213" s="177"/>
      <c r="I213" s="161"/>
      <c r="J213" s="178" t="str">
        <f>IFERROR(MIN('MP Calculations'!$E$29/I213,1),"-")</f>
        <v>-</v>
      </c>
      <c r="K213" s="12"/>
      <c r="L213" s="161"/>
      <c r="M213" s="161"/>
      <c r="N213" s="161"/>
      <c r="O213" s="180" t="str">
        <f t="shared" si="8"/>
        <v>-</v>
      </c>
      <c r="P213" s="181" t="str">
        <f t="shared" si="10"/>
        <v>-</v>
      </c>
    </row>
    <row r="214" spans="3:16" x14ac:dyDescent="0.25">
      <c r="C214" s="161"/>
      <c r="D214" s="175"/>
      <c r="E214" s="166"/>
      <c r="F214" s="176" t="str">
        <f t="shared" si="9"/>
        <v>-</v>
      </c>
      <c r="G214" s="69"/>
      <c r="H214" s="177"/>
      <c r="I214" s="161"/>
      <c r="J214" s="178" t="str">
        <f>IFERROR(MIN('MP Calculations'!$E$29/I214,1),"-")</f>
        <v>-</v>
      </c>
      <c r="K214" s="12"/>
      <c r="L214" s="161"/>
      <c r="M214" s="161"/>
      <c r="N214" s="161"/>
      <c r="O214" s="180" t="str">
        <f t="shared" si="8"/>
        <v>-</v>
      </c>
      <c r="P214" s="181" t="str">
        <f t="shared" si="10"/>
        <v>-</v>
      </c>
    </row>
    <row r="215" spans="3:16" x14ac:dyDescent="0.25">
      <c r="C215" s="161"/>
      <c r="D215" s="175"/>
      <c r="E215" s="166"/>
      <c r="F215" s="176" t="str">
        <f t="shared" si="9"/>
        <v>-</v>
      </c>
      <c r="G215" s="69"/>
      <c r="H215" s="177"/>
      <c r="I215" s="161"/>
      <c r="J215" s="178" t="str">
        <f>IFERROR(MIN('MP Calculations'!$E$29/I215,1),"-")</f>
        <v>-</v>
      </c>
      <c r="K215" s="12"/>
      <c r="L215" s="161"/>
      <c r="M215" s="161"/>
      <c r="N215" s="161"/>
      <c r="O215" s="180" t="str">
        <f t="shared" ref="O215:O218" si="11">IF(N215="","-",L215*N215)</f>
        <v>-</v>
      </c>
      <c r="P215" s="181" t="str">
        <f t="shared" si="10"/>
        <v>-</v>
      </c>
    </row>
    <row r="216" spans="3:16" x14ac:dyDescent="0.25">
      <c r="C216" s="161"/>
      <c r="D216" s="175"/>
      <c r="E216" s="166"/>
      <c r="F216" s="176" t="str">
        <f t="shared" si="9"/>
        <v>-</v>
      </c>
      <c r="G216" s="69"/>
      <c r="H216" s="177"/>
      <c r="I216" s="161"/>
      <c r="J216" s="178" t="str">
        <f>IFERROR(MIN('MP Calculations'!$E$29/I216,1),"-")</f>
        <v>-</v>
      </c>
      <c r="K216" s="12"/>
      <c r="L216" s="161"/>
      <c r="M216" s="161"/>
      <c r="N216" s="161"/>
      <c r="O216" s="180" t="str">
        <f t="shared" si="11"/>
        <v>-</v>
      </c>
      <c r="P216" s="181" t="str">
        <f t="shared" si="10"/>
        <v>-</v>
      </c>
    </row>
    <row r="217" spans="3:16" x14ac:dyDescent="0.25">
      <c r="C217" s="161"/>
      <c r="D217" s="175"/>
      <c r="E217" s="166"/>
      <c r="F217" s="176" t="str">
        <f t="shared" si="9"/>
        <v>-</v>
      </c>
      <c r="G217" s="69"/>
      <c r="H217" s="177"/>
      <c r="I217" s="161"/>
      <c r="J217" s="178" t="str">
        <f>IFERROR(MIN('MP Calculations'!$E$29/I217,1),"-")</f>
        <v>-</v>
      </c>
      <c r="K217" s="12"/>
      <c r="L217" s="161"/>
      <c r="M217" s="161"/>
      <c r="N217" s="161"/>
      <c r="O217" s="180" t="str">
        <f t="shared" si="11"/>
        <v>-</v>
      </c>
      <c r="P217" s="181" t="str">
        <f t="shared" si="10"/>
        <v>-</v>
      </c>
    </row>
    <row r="218" spans="3:16" ht="57.5" x14ac:dyDescent="0.25">
      <c r="C218" s="162"/>
      <c r="D218" s="18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67"/>
      <c r="F218" s="183" t="str">
        <f t="shared" si="3"/>
        <v>-</v>
      </c>
      <c r="G218" s="69"/>
      <c r="H218" s="184"/>
      <c r="I218" s="185"/>
      <c r="J218" s="186" t="str">
        <f>IFERROR(MIN('MP Calculations'!$E$29/I218,1),"-")</f>
        <v>-</v>
      </c>
      <c r="K218" s="69"/>
      <c r="L218" s="187"/>
      <c r="M218" s="187"/>
      <c r="N218" s="187"/>
      <c r="O218" s="188" t="str">
        <f t="shared" si="11"/>
        <v>-</v>
      </c>
      <c r="P218" s="189" t="str">
        <f t="shared" si="5"/>
        <v>-</v>
      </c>
    </row>
    <row r="219" spans="3:16" x14ac:dyDescent="0.25">
      <c r="O219" s="6" t="s">
        <v>197</v>
      </c>
      <c r="P219" s="114">
        <f>SUM(P22:P218)</f>
        <v>0</v>
      </c>
    </row>
  </sheetData>
  <conditionalFormatting sqref="F22:F218">
    <cfRule type="containsText" dxfId="7" priority="4" operator="containsText" text="ERROR">
      <formula>NOT(ISERROR(SEARCH("ERROR",F22)))</formula>
    </cfRule>
  </conditionalFormatting>
  <conditionalFormatting sqref="J22:J218">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R219"/>
  <sheetViews>
    <sheetView showGridLines="0" zoomScaleNormal="100" workbookViewId="0">
      <pane ySplit="21" topLeftCell="A22" activePane="bottomLeft" state="frozen"/>
      <selection activeCell="A22" sqref="A22"/>
      <selection pane="bottomLeft" activeCell="G15" sqref="G15"/>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5" x14ac:dyDescent="0.25">
      <c r="E1" s="27"/>
    </row>
    <row r="2" spans="3:5" x14ac:dyDescent="0.25">
      <c r="E2" s="27"/>
    </row>
    <row r="3" spans="3:5" ht="20" x14ac:dyDescent="0.4">
      <c r="C3" s="51" t="s">
        <v>198</v>
      </c>
    </row>
    <row r="5" spans="3:5" x14ac:dyDescent="0.25">
      <c r="D5" s="27"/>
    </row>
    <row r="6" spans="3:5" ht="12" customHeight="1" x14ac:dyDescent="0.25">
      <c r="C6" s="9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5">
      <c r="C7" s="105" t="str">
        <f ca="1">"Hyperlink to the '"&amp;MID(CELL("filename",'Asset exclusions'!A1),FIND("]",CELL("filename",'Asset exclusions'!A1))+1,255)&amp;"' worksheet:"</f>
        <v>Hyperlink to the 'Asset exclusions' worksheet:</v>
      </c>
      <c r="E7" s="136" t="s">
        <v>176</v>
      </c>
    </row>
    <row r="8" spans="3:5" x14ac:dyDescent="0.25">
      <c r="C8" s="105"/>
      <c r="E8" s="136"/>
    </row>
    <row r="9" spans="3:5" x14ac:dyDescent="0.25">
      <c r="C9" s="105" t="s">
        <v>177</v>
      </c>
      <c r="E9" s="136"/>
    </row>
    <row r="10" spans="3:5" x14ac:dyDescent="0.25">
      <c r="C10" s="105" t="s">
        <v>178</v>
      </c>
      <c r="E10" s="136"/>
    </row>
    <row r="11" spans="3:5" x14ac:dyDescent="0.25">
      <c r="C11" s="105" t="s">
        <v>179</v>
      </c>
      <c r="E11" s="136"/>
    </row>
    <row r="12" spans="3:5" x14ac:dyDescent="0.25">
      <c r="C12" s="105" t="s">
        <v>180</v>
      </c>
      <c r="E12" s="136"/>
    </row>
    <row r="14" spans="3:5" x14ac:dyDescent="0.25">
      <c r="C14" s="6" t="s">
        <v>181</v>
      </c>
    </row>
    <row r="15" spans="3:5" x14ac:dyDescent="0.25">
      <c r="C15" s="58" t="s">
        <v>182</v>
      </c>
      <c r="E15" s="82">
        <f>'General inputs'!$H$24+1</f>
        <v>35065</v>
      </c>
    </row>
    <row r="16" spans="3:5" x14ac:dyDescent="0.25">
      <c r="C16" s="58" t="s">
        <v>183</v>
      </c>
      <c r="E16" s="83">
        <f>'General inputs'!$H$18</f>
        <v>45473</v>
      </c>
    </row>
    <row r="18" spans="3:18" ht="15.5" x14ac:dyDescent="0.35">
      <c r="C18" s="2" t="s">
        <v>199</v>
      </c>
    </row>
    <row r="20" spans="3:18" x14ac:dyDescent="0.25">
      <c r="C20" s="6" t="s">
        <v>185</v>
      </c>
      <c r="H20" s="6" t="s">
        <v>186</v>
      </c>
      <c r="L20" s="6" t="s">
        <v>187</v>
      </c>
      <c r="M20" s="6"/>
    </row>
    <row r="21" spans="3:18" ht="57.5" x14ac:dyDescent="0.25">
      <c r="C21" s="24" t="s">
        <v>188</v>
      </c>
      <c r="D21" s="24" t="s">
        <v>189</v>
      </c>
      <c r="E21" s="24" t="s">
        <v>190</v>
      </c>
      <c r="F21" s="24" t="s">
        <v>200</v>
      </c>
      <c r="H21" s="24" t="s">
        <v>192</v>
      </c>
      <c r="I21" s="24" t="s">
        <v>193</v>
      </c>
      <c r="J21" s="24" t="s">
        <v>194</v>
      </c>
      <c r="L21" s="24" t="s">
        <v>195</v>
      </c>
      <c r="M21" s="24" t="s">
        <v>196</v>
      </c>
      <c r="N21" s="24" t="str">
        <f>"MEERA value per unit/measure of length (B) 
("&amp;'General inputs'!$H$42&amp;" as at 1 July "&amp;LEFT('General inputs'!$I$40,4)&amp;")"</f>
        <v>MEERA value per unit/measure of length (B) 
($'000 as at 1 July 2023)</v>
      </c>
      <c r="O21" s="24" t="str">
        <f>"Total MEERA value (A x B)
("&amp;'General inputs'!$H$42&amp;", $"&amp;'General inputs'!$I$40&amp;")"</f>
        <v>Total MEERA value (A x B)
($'000, $2023-24)</v>
      </c>
      <c r="P21" s="24" t="str">
        <f>"MEERA value to be recovered via DSP ("&amp;'General inputs'!$H$42&amp;", $"&amp;'General inputs'!$I$40&amp;")"</f>
        <v>MEERA value to be recovered via DSP ($'000, $2023-24)</v>
      </c>
    </row>
    <row r="22" spans="3:18" x14ac:dyDescent="0.25">
      <c r="C22" s="193">
        <v>2022</v>
      </c>
      <c r="D22" s="168" t="str">
        <f>LEFT(C22,4)&amp;" Assets"</f>
        <v>2022 Assets</v>
      </c>
      <c r="E22" s="163">
        <f>DATE(C22,6,30)</f>
        <v>44742</v>
      </c>
      <c r="F22" s="190" t="str">
        <f>IF(E22="","-",IF(OR(E22&lt;$E$15,E22&gt;$E$16),"ERROR - date outside of range",IF(MONTH(E22)&gt;=7,YEAR(E22)&amp;"-"&amp;IF(YEAR(E22)=1999,"00",IF(AND(YEAR(E22)&gt;=2000,YEAR(E22)&lt;2009),"0","")&amp;RIGHT(YEAR(E22),2)+1),RIGHT(YEAR(E22),4)-1&amp;"-"&amp;RIGHT(YEAR(E22),2))))</f>
        <v>2021-22</v>
      </c>
      <c r="G22" s="69"/>
      <c r="H22" s="177" t="s">
        <v>135</v>
      </c>
      <c r="I22" s="160">
        <v>7189.7586453201966</v>
      </c>
      <c r="J22" s="171">
        <f>IFERROR(MIN('MP Calculations'!$E$29/I22,1),"-")</f>
        <v>1</v>
      </c>
      <c r="K22" s="12"/>
      <c r="L22" s="160">
        <v>1</v>
      </c>
      <c r="M22" s="160">
        <v>1</v>
      </c>
      <c r="N22" s="160">
        <v>403.48166820576654</v>
      </c>
      <c r="O22" s="173">
        <f>IF(N22="","-",L22*N22)</f>
        <v>403.48166820576654</v>
      </c>
      <c r="P22" s="174">
        <f>IF(O22="-","-",IF(OR(E22&lt;$E$15,E22&gt;$E$16),0,O22*J22))</f>
        <v>403.48166820576654</v>
      </c>
    </row>
    <row r="23" spans="3:18" x14ac:dyDescent="0.25">
      <c r="C23" s="194">
        <v>2023</v>
      </c>
      <c r="D23" s="198" t="str">
        <f>LEFT(C23,4)&amp;" Assets"</f>
        <v>2023 Assets</v>
      </c>
      <c r="E23" s="199">
        <f>DATE(C23,6,30)</f>
        <v>45107</v>
      </c>
      <c r="F23" s="191" t="str">
        <f t="shared" ref="F23:F86" si="0">IF(E23="","-",IF(OR(E23&lt;$E$15,E23&gt;$E$16),"ERROR - date outside of range",IF(MONTH(E23)&gt;=7,YEAR(E23)&amp;"-"&amp;IF(YEAR(E23)=1999,"00",IF(AND(YEAR(E23)&gt;=2000,YEAR(E23)&lt;2009),"0","")&amp;RIGHT(YEAR(E23),2)+1),RIGHT(YEAR(E23),4)-1&amp;"-"&amp;RIGHT(YEAR(E23),2))))</f>
        <v>2022-23</v>
      </c>
      <c r="G23" s="69"/>
      <c r="H23" s="177" t="s">
        <v>135</v>
      </c>
      <c r="I23" s="179">
        <v>7189.7586453201966</v>
      </c>
      <c r="J23" s="178">
        <f>IFERROR(MIN('MP Calculations'!$E$29/I23,1),"-")</f>
        <v>1</v>
      </c>
      <c r="K23" s="12"/>
      <c r="L23" s="179">
        <v>1</v>
      </c>
      <c r="M23" s="161">
        <v>1</v>
      </c>
      <c r="N23" s="161">
        <v>788.50800160567792</v>
      </c>
      <c r="O23" s="180">
        <f t="shared" ref="O23:O86" si="1">IF(N23="","-",L23*N23)</f>
        <v>788.50800160567792</v>
      </c>
      <c r="P23" s="181">
        <f t="shared" ref="P23:P86" si="2">IF(O23="-","-",IF(OR(E23&lt;$E$15,E23&gt;$E$16),0,O23*J23))</f>
        <v>788.50800160567792</v>
      </c>
      <c r="R23" s="84"/>
    </row>
    <row r="24" spans="3:18" x14ac:dyDescent="0.25">
      <c r="C24" s="161">
        <v>2024</v>
      </c>
      <c r="D24" s="198" t="str">
        <f>LEFT(C24,4)&amp;" Assets"</f>
        <v>2024 Assets</v>
      </c>
      <c r="E24" s="199">
        <f>DATE(C24,6,30)</f>
        <v>45473</v>
      </c>
      <c r="F24" s="191" t="str">
        <f t="shared" si="0"/>
        <v>2023-24</v>
      </c>
      <c r="G24" s="69"/>
      <c r="H24" s="177" t="s">
        <v>135</v>
      </c>
      <c r="I24" s="179">
        <v>7189.7586453201966</v>
      </c>
      <c r="J24" s="178">
        <f>IFERROR(MIN('MP Calculations'!$E$29/I24,1),"-")</f>
        <v>1</v>
      </c>
      <c r="K24" s="12"/>
      <c r="L24" s="179">
        <v>1</v>
      </c>
      <c r="M24" s="161">
        <v>1</v>
      </c>
      <c r="N24" s="161">
        <v>796.49841607999178</v>
      </c>
      <c r="O24" s="180">
        <f t="shared" si="1"/>
        <v>796.49841607999178</v>
      </c>
      <c r="P24" s="181">
        <f t="shared" si="2"/>
        <v>796.49841607999178</v>
      </c>
    </row>
    <row r="25" spans="3:18" x14ac:dyDescent="0.25">
      <c r="C25" s="161"/>
      <c r="D25" s="175"/>
      <c r="E25" s="164"/>
      <c r="F25" s="191" t="str">
        <f t="shared" si="0"/>
        <v>-</v>
      </c>
      <c r="G25" s="69"/>
      <c r="H25" s="177"/>
      <c r="I25" s="161"/>
      <c r="J25" s="178" t="str">
        <f>IFERROR(MIN('MP Calculations'!$E$29/I25,1),"-")</f>
        <v>-</v>
      </c>
      <c r="K25" s="12"/>
      <c r="L25" s="161"/>
      <c r="M25" s="161"/>
      <c r="N25" s="161"/>
      <c r="O25" s="180" t="str">
        <f t="shared" si="1"/>
        <v>-</v>
      </c>
      <c r="P25" s="181" t="str">
        <f t="shared" si="2"/>
        <v>-</v>
      </c>
    </row>
    <row r="26" spans="3:18" x14ac:dyDescent="0.25">
      <c r="C26" s="161"/>
      <c r="D26" s="175"/>
      <c r="E26" s="164"/>
      <c r="F26" s="191" t="str">
        <f t="shared" si="0"/>
        <v>-</v>
      </c>
      <c r="G26" s="69"/>
      <c r="H26" s="177"/>
      <c r="I26" s="161"/>
      <c r="J26" s="178" t="str">
        <f>IFERROR(MIN('MP Calculations'!$E$29/I26,1),"-")</f>
        <v>-</v>
      </c>
      <c r="K26" s="12"/>
      <c r="L26" s="161"/>
      <c r="M26" s="161"/>
      <c r="N26" s="161"/>
      <c r="O26" s="180" t="str">
        <f t="shared" si="1"/>
        <v>-</v>
      </c>
      <c r="P26" s="181" t="str">
        <f t="shared" si="2"/>
        <v>-</v>
      </c>
    </row>
    <row r="27" spans="3:18" x14ac:dyDescent="0.25">
      <c r="C27" s="161"/>
      <c r="D27" s="175"/>
      <c r="E27" s="164"/>
      <c r="F27" s="191" t="str">
        <f t="shared" si="0"/>
        <v>-</v>
      </c>
      <c r="G27" s="69"/>
      <c r="H27" s="177"/>
      <c r="I27" s="161"/>
      <c r="J27" s="178" t="str">
        <f>IFERROR(MIN('MP Calculations'!$E$29/I27,1),"-")</f>
        <v>-</v>
      </c>
      <c r="K27" s="12"/>
      <c r="L27" s="161"/>
      <c r="M27" s="161"/>
      <c r="N27" s="161"/>
      <c r="O27" s="180" t="str">
        <f t="shared" si="1"/>
        <v>-</v>
      </c>
      <c r="P27" s="181" t="str">
        <f t="shared" si="2"/>
        <v>-</v>
      </c>
    </row>
    <row r="28" spans="3:18" x14ac:dyDescent="0.25">
      <c r="C28" s="161"/>
      <c r="D28" s="175"/>
      <c r="E28" s="164"/>
      <c r="F28" s="191" t="str">
        <f t="shared" si="0"/>
        <v>-</v>
      </c>
      <c r="G28" s="69"/>
      <c r="H28" s="177"/>
      <c r="I28" s="161"/>
      <c r="J28" s="178" t="str">
        <f>IFERROR(MIN('MP Calculations'!$E$29/I28,1),"-")</f>
        <v>-</v>
      </c>
      <c r="K28" s="12"/>
      <c r="L28" s="161"/>
      <c r="M28" s="161"/>
      <c r="N28" s="161"/>
      <c r="O28" s="180" t="str">
        <f t="shared" si="1"/>
        <v>-</v>
      </c>
      <c r="P28" s="181" t="str">
        <f t="shared" si="2"/>
        <v>-</v>
      </c>
    </row>
    <row r="29" spans="3:18" x14ac:dyDescent="0.25">
      <c r="C29" s="161"/>
      <c r="D29" s="175"/>
      <c r="E29" s="164"/>
      <c r="F29" s="191" t="str">
        <f t="shared" si="0"/>
        <v>-</v>
      </c>
      <c r="G29" s="69"/>
      <c r="H29" s="177"/>
      <c r="I29" s="161"/>
      <c r="J29" s="178" t="str">
        <f>IFERROR(MIN('MP Calculations'!$E$29/I29,1),"-")</f>
        <v>-</v>
      </c>
      <c r="K29" s="12"/>
      <c r="L29" s="161"/>
      <c r="M29" s="161"/>
      <c r="N29" s="161"/>
      <c r="O29" s="180" t="str">
        <f t="shared" si="1"/>
        <v>-</v>
      </c>
      <c r="P29" s="181" t="str">
        <f t="shared" si="2"/>
        <v>-</v>
      </c>
    </row>
    <row r="30" spans="3:18" x14ac:dyDescent="0.25">
      <c r="C30" s="161"/>
      <c r="D30" s="175"/>
      <c r="E30" s="164"/>
      <c r="F30" s="191" t="str">
        <f t="shared" si="0"/>
        <v>-</v>
      </c>
      <c r="G30" s="69"/>
      <c r="H30" s="177"/>
      <c r="I30" s="161"/>
      <c r="J30" s="178" t="str">
        <f>IFERROR(MIN('MP Calculations'!$E$29/I30,1),"-")</f>
        <v>-</v>
      </c>
      <c r="K30" s="12"/>
      <c r="L30" s="161"/>
      <c r="M30" s="161"/>
      <c r="N30" s="161"/>
      <c r="O30" s="180" t="str">
        <f t="shared" si="1"/>
        <v>-</v>
      </c>
      <c r="P30" s="181" t="str">
        <f t="shared" si="2"/>
        <v>-</v>
      </c>
    </row>
    <row r="31" spans="3:18" x14ac:dyDescent="0.25">
      <c r="C31" s="161"/>
      <c r="D31" s="175"/>
      <c r="E31" s="164"/>
      <c r="F31" s="191" t="str">
        <f t="shared" si="0"/>
        <v>-</v>
      </c>
      <c r="G31" s="69"/>
      <c r="H31" s="177"/>
      <c r="I31" s="161"/>
      <c r="J31" s="178" t="str">
        <f>IFERROR(MIN('MP Calculations'!$E$29/I31,1),"-")</f>
        <v>-</v>
      </c>
      <c r="K31" s="12"/>
      <c r="L31" s="161"/>
      <c r="M31" s="161"/>
      <c r="N31" s="161"/>
      <c r="O31" s="180" t="str">
        <f t="shared" si="1"/>
        <v>-</v>
      </c>
      <c r="P31" s="181" t="str">
        <f t="shared" si="2"/>
        <v>-</v>
      </c>
    </row>
    <row r="32" spans="3:18" x14ac:dyDescent="0.25">
      <c r="C32" s="161"/>
      <c r="D32" s="175"/>
      <c r="E32" s="164"/>
      <c r="F32" s="191" t="str">
        <f t="shared" si="0"/>
        <v>-</v>
      </c>
      <c r="G32" s="69"/>
      <c r="H32" s="177"/>
      <c r="I32" s="161"/>
      <c r="J32" s="178" t="str">
        <f>IFERROR(MIN('MP Calculations'!$E$29/I32,1),"-")</f>
        <v>-</v>
      </c>
      <c r="K32" s="12"/>
      <c r="L32" s="161"/>
      <c r="M32" s="161"/>
      <c r="N32" s="161"/>
      <c r="O32" s="180" t="str">
        <f t="shared" si="1"/>
        <v>-</v>
      </c>
      <c r="P32" s="181" t="str">
        <f t="shared" si="2"/>
        <v>-</v>
      </c>
    </row>
    <row r="33" spans="3:16" x14ac:dyDescent="0.25">
      <c r="C33" s="161"/>
      <c r="D33" s="175"/>
      <c r="E33" s="164"/>
      <c r="F33" s="191" t="str">
        <f t="shared" si="0"/>
        <v>-</v>
      </c>
      <c r="G33" s="69"/>
      <c r="H33" s="177"/>
      <c r="I33" s="161"/>
      <c r="J33" s="178" t="str">
        <f>IFERROR(MIN('MP Calculations'!$E$29/I33,1),"-")</f>
        <v>-</v>
      </c>
      <c r="K33" s="12"/>
      <c r="L33" s="161"/>
      <c r="M33" s="161"/>
      <c r="N33" s="161"/>
      <c r="O33" s="180" t="str">
        <f t="shared" si="1"/>
        <v>-</v>
      </c>
      <c r="P33" s="181" t="str">
        <f t="shared" si="2"/>
        <v>-</v>
      </c>
    </row>
    <row r="34" spans="3:16" x14ac:dyDescent="0.25">
      <c r="C34" s="161"/>
      <c r="D34" s="175"/>
      <c r="E34" s="164"/>
      <c r="F34" s="191" t="str">
        <f t="shared" si="0"/>
        <v>-</v>
      </c>
      <c r="G34" s="69"/>
      <c r="H34" s="177"/>
      <c r="I34" s="161"/>
      <c r="J34" s="178" t="str">
        <f>IFERROR(MIN('MP Calculations'!$E$29/I34,1),"-")</f>
        <v>-</v>
      </c>
      <c r="K34" s="12"/>
      <c r="L34" s="161"/>
      <c r="M34" s="161"/>
      <c r="N34" s="161"/>
      <c r="O34" s="180" t="str">
        <f t="shared" si="1"/>
        <v>-</v>
      </c>
      <c r="P34" s="181" t="str">
        <f t="shared" si="2"/>
        <v>-</v>
      </c>
    </row>
    <row r="35" spans="3:16" x14ac:dyDescent="0.25">
      <c r="C35" s="161"/>
      <c r="D35" s="175"/>
      <c r="E35" s="164"/>
      <c r="F35" s="191" t="str">
        <f t="shared" si="0"/>
        <v>-</v>
      </c>
      <c r="G35" s="69"/>
      <c r="H35" s="177"/>
      <c r="I35" s="161"/>
      <c r="J35" s="178" t="str">
        <f>IFERROR(MIN('MP Calculations'!$E$29/I35,1),"-")</f>
        <v>-</v>
      </c>
      <c r="K35" s="12"/>
      <c r="L35" s="161"/>
      <c r="M35" s="161"/>
      <c r="N35" s="161"/>
      <c r="O35" s="180" t="str">
        <f t="shared" si="1"/>
        <v>-</v>
      </c>
      <c r="P35" s="181" t="str">
        <f t="shared" si="2"/>
        <v>-</v>
      </c>
    </row>
    <row r="36" spans="3:16" x14ac:dyDescent="0.25">
      <c r="C36" s="161"/>
      <c r="D36" s="175"/>
      <c r="E36" s="164"/>
      <c r="F36" s="191" t="str">
        <f t="shared" si="0"/>
        <v>-</v>
      </c>
      <c r="G36" s="69"/>
      <c r="H36" s="177"/>
      <c r="I36" s="161"/>
      <c r="J36" s="178" t="str">
        <f>IFERROR(MIN('MP Calculations'!$E$29/I36,1),"-")</f>
        <v>-</v>
      </c>
      <c r="K36" s="12"/>
      <c r="L36" s="161"/>
      <c r="M36" s="161"/>
      <c r="N36" s="161"/>
      <c r="O36" s="180" t="str">
        <f t="shared" si="1"/>
        <v>-</v>
      </c>
      <c r="P36" s="181" t="str">
        <f t="shared" si="2"/>
        <v>-</v>
      </c>
    </row>
    <row r="37" spans="3:16" x14ac:dyDescent="0.25">
      <c r="C37" s="161"/>
      <c r="D37" s="175"/>
      <c r="E37" s="164"/>
      <c r="F37" s="191" t="str">
        <f t="shared" si="0"/>
        <v>-</v>
      </c>
      <c r="G37" s="69"/>
      <c r="H37" s="177"/>
      <c r="I37" s="161"/>
      <c r="J37" s="178" t="str">
        <f>IFERROR(MIN('MP Calculations'!$E$29/I37,1),"-")</f>
        <v>-</v>
      </c>
      <c r="K37" s="12"/>
      <c r="L37" s="161"/>
      <c r="M37" s="161"/>
      <c r="N37" s="161"/>
      <c r="O37" s="180" t="str">
        <f t="shared" si="1"/>
        <v>-</v>
      </c>
      <c r="P37" s="181" t="str">
        <f t="shared" si="2"/>
        <v>-</v>
      </c>
    </row>
    <row r="38" spans="3:16" x14ac:dyDescent="0.25">
      <c r="C38" s="161"/>
      <c r="D38" s="175"/>
      <c r="E38" s="164"/>
      <c r="F38" s="191" t="str">
        <f t="shared" si="0"/>
        <v>-</v>
      </c>
      <c r="G38" s="69"/>
      <c r="H38" s="177"/>
      <c r="I38" s="161"/>
      <c r="J38" s="178" t="str">
        <f>IFERROR(MIN('MP Calculations'!$E$29/I38,1),"-")</f>
        <v>-</v>
      </c>
      <c r="K38" s="12"/>
      <c r="L38" s="161"/>
      <c r="M38" s="161"/>
      <c r="N38" s="161"/>
      <c r="O38" s="180" t="str">
        <f t="shared" si="1"/>
        <v>-</v>
      </c>
      <c r="P38" s="181" t="str">
        <f t="shared" si="2"/>
        <v>-</v>
      </c>
    </row>
    <row r="39" spans="3:16" x14ac:dyDescent="0.25">
      <c r="C39" s="161"/>
      <c r="D39" s="175"/>
      <c r="E39" s="164"/>
      <c r="F39" s="191" t="str">
        <f t="shared" si="0"/>
        <v>-</v>
      </c>
      <c r="G39" s="69"/>
      <c r="H39" s="177"/>
      <c r="I39" s="161"/>
      <c r="J39" s="178" t="str">
        <f>IFERROR(MIN('MP Calculations'!$E$29/I39,1),"-")</f>
        <v>-</v>
      </c>
      <c r="K39" s="12"/>
      <c r="L39" s="161"/>
      <c r="M39" s="161"/>
      <c r="N39" s="161"/>
      <c r="O39" s="180" t="str">
        <f t="shared" si="1"/>
        <v>-</v>
      </c>
      <c r="P39" s="181" t="str">
        <f t="shared" si="2"/>
        <v>-</v>
      </c>
    </row>
    <row r="40" spans="3:16" x14ac:dyDescent="0.25">
      <c r="C40" s="161"/>
      <c r="D40" s="175"/>
      <c r="E40" s="164"/>
      <c r="F40" s="191" t="str">
        <f t="shared" si="0"/>
        <v>-</v>
      </c>
      <c r="G40" s="69"/>
      <c r="H40" s="177"/>
      <c r="I40" s="161"/>
      <c r="J40" s="178" t="str">
        <f>IFERROR(MIN('MP Calculations'!$E$29/I40,1),"-")</f>
        <v>-</v>
      </c>
      <c r="K40" s="12"/>
      <c r="L40" s="161"/>
      <c r="M40" s="161"/>
      <c r="N40" s="161"/>
      <c r="O40" s="180" t="str">
        <f t="shared" si="1"/>
        <v>-</v>
      </c>
      <c r="P40" s="181" t="str">
        <f t="shared" si="2"/>
        <v>-</v>
      </c>
    </row>
    <row r="41" spans="3:16" x14ac:dyDescent="0.25">
      <c r="C41" s="161"/>
      <c r="D41" s="175"/>
      <c r="E41" s="164"/>
      <c r="F41" s="191" t="str">
        <f t="shared" si="0"/>
        <v>-</v>
      </c>
      <c r="G41" s="69"/>
      <c r="H41" s="177"/>
      <c r="I41" s="161"/>
      <c r="J41" s="178" t="str">
        <f>IFERROR(MIN('MP Calculations'!$E$29/I41,1),"-")</f>
        <v>-</v>
      </c>
      <c r="K41" s="12"/>
      <c r="L41" s="161"/>
      <c r="M41" s="161"/>
      <c r="N41" s="161"/>
      <c r="O41" s="180" t="str">
        <f t="shared" si="1"/>
        <v>-</v>
      </c>
      <c r="P41" s="181" t="str">
        <f t="shared" si="2"/>
        <v>-</v>
      </c>
    </row>
    <row r="42" spans="3:16" x14ac:dyDescent="0.25">
      <c r="C42" s="161"/>
      <c r="D42" s="175"/>
      <c r="E42" s="164"/>
      <c r="F42" s="191" t="str">
        <f t="shared" si="0"/>
        <v>-</v>
      </c>
      <c r="G42" s="69"/>
      <c r="H42" s="177"/>
      <c r="I42" s="161"/>
      <c r="J42" s="178" t="str">
        <f>IFERROR(MIN('MP Calculations'!$E$29/I42,1),"-")</f>
        <v>-</v>
      </c>
      <c r="K42" s="12"/>
      <c r="L42" s="161"/>
      <c r="M42" s="161"/>
      <c r="N42" s="161"/>
      <c r="O42" s="180" t="str">
        <f t="shared" si="1"/>
        <v>-</v>
      </c>
      <c r="P42" s="181" t="str">
        <f t="shared" si="2"/>
        <v>-</v>
      </c>
    </row>
    <row r="43" spans="3:16" x14ac:dyDescent="0.25">
      <c r="C43" s="161"/>
      <c r="D43" s="175"/>
      <c r="E43" s="164"/>
      <c r="F43" s="191" t="str">
        <f t="shared" si="0"/>
        <v>-</v>
      </c>
      <c r="G43" s="69"/>
      <c r="H43" s="177"/>
      <c r="I43" s="161"/>
      <c r="J43" s="178" t="str">
        <f>IFERROR(MIN('MP Calculations'!$E$29/I43,1),"-")</f>
        <v>-</v>
      </c>
      <c r="K43" s="12"/>
      <c r="L43" s="161"/>
      <c r="M43" s="161"/>
      <c r="N43" s="161"/>
      <c r="O43" s="180" t="str">
        <f t="shared" si="1"/>
        <v>-</v>
      </c>
      <c r="P43" s="181" t="str">
        <f t="shared" si="2"/>
        <v>-</v>
      </c>
    </row>
    <row r="44" spans="3:16" x14ac:dyDescent="0.25">
      <c r="C44" s="161"/>
      <c r="D44" s="175"/>
      <c r="E44" s="164"/>
      <c r="F44" s="191" t="str">
        <f t="shared" si="0"/>
        <v>-</v>
      </c>
      <c r="G44" s="69"/>
      <c r="H44" s="177"/>
      <c r="I44" s="161"/>
      <c r="J44" s="178" t="str">
        <f>IFERROR(MIN('MP Calculations'!$E$29/I44,1),"-")</f>
        <v>-</v>
      </c>
      <c r="K44" s="12"/>
      <c r="L44" s="161"/>
      <c r="M44" s="161"/>
      <c r="N44" s="161"/>
      <c r="O44" s="180" t="str">
        <f t="shared" si="1"/>
        <v>-</v>
      </c>
      <c r="P44" s="181" t="str">
        <f t="shared" si="2"/>
        <v>-</v>
      </c>
    </row>
    <row r="45" spans="3:16" x14ac:dyDescent="0.25">
      <c r="C45" s="161"/>
      <c r="D45" s="175"/>
      <c r="E45" s="164"/>
      <c r="F45" s="191" t="str">
        <f t="shared" si="0"/>
        <v>-</v>
      </c>
      <c r="G45" s="69"/>
      <c r="H45" s="177"/>
      <c r="I45" s="161"/>
      <c r="J45" s="178" t="str">
        <f>IFERROR(MIN('MP Calculations'!$E$29/I45,1),"-")</f>
        <v>-</v>
      </c>
      <c r="K45" s="12"/>
      <c r="L45" s="161"/>
      <c r="M45" s="161"/>
      <c r="N45" s="161"/>
      <c r="O45" s="180" t="str">
        <f t="shared" si="1"/>
        <v>-</v>
      </c>
      <c r="P45" s="181" t="str">
        <f t="shared" si="2"/>
        <v>-</v>
      </c>
    </row>
    <row r="46" spans="3:16" x14ac:dyDescent="0.25">
      <c r="C46" s="161"/>
      <c r="D46" s="175"/>
      <c r="E46" s="164"/>
      <c r="F46" s="191" t="str">
        <f t="shared" si="0"/>
        <v>-</v>
      </c>
      <c r="G46" s="69"/>
      <c r="H46" s="177"/>
      <c r="I46" s="161"/>
      <c r="J46" s="178" t="str">
        <f>IFERROR(MIN('MP Calculations'!$E$29/I46,1),"-")</f>
        <v>-</v>
      </c>
      <c r="K46" s="12"/>
      <c r="L46" s="161"/>
      <c r="M46" s="161"/>
      <c r="N46" s="161"/>
      <c r="O46" s="180" t="str">
        <f t="shared" si="1"/>
        <v>-</v>
      </c>
      <c r="P46" s="181" t="str">
        <f t="shared" si="2"/>
        <v>-</v>
      </c>
    </row>
    <row r="47" spans="3:16" x14ac:dyDescent="0.25">
      <c r="C47" s="161"/>
      <c r="D47" s="175"/>
      <c r="E47" s="164"/>
      <c r="F47" s="191" t="str">
        <f t="shared" si="0"/>
        <v>-</v>
      </c>
      <c r="G47" s="69"/>
      <c r="H47" s="177"/>
      <c r="I47" s="161"/>
      <c r="J47" s="178" t="str">
        <f>IFERROR(MIN('MP Calculations'!$E$29/I47,1),"-")</f>
        <v>-</v>
      </c>
      <c r="K47" s="12"/>
      <c r="L47" s="161"/>
      <c r="M47" s="161"/>
      <c r="N47" s="161"/>
      <c r="O47" s="180" t="str">
        <f t="shared" si="1"/>
        <v>-</v>
      </c>
      <c r="P47" s="181" t="str">
        <f t="shared" si="2"/>
        <v>-</v>
      </c>
    </row>
    <row r="48" spans="3:16" x14ac:dyDescent="0.25">
      <c r="C48" s="161"/>
      <c r="D48" s="175"/>
      <c r="E48" s="164"/>
      <c r="F48" s="191" t="str">
        <f t="shared" si="0"/>
        <v>-</v>
      </c>
      <c r="G48" s="69"/>
      <c r="H48" s="177"/>
      <c r="I48" s="161"/>
      <c r="J48" s="178" t="str">
        <f>IFERROR(MIN('MP Calculations'!$E$29/I48,1),"-")</f>
        <v>-</v>
      </c>
      <c r="K48" s="12"/>
      <c r="L48" s="161"/>
      <c r="M48" s="161"/>
      <c r="N48" s="161"/>
      <c r="O48" s="180" t="str">
        <f t="shared" si="1"/>
        <v>-</v>
      </c>
      <c r="P48" s="181" t="str">
        <f t="shared" si="2"/>
        <v>-</v>
      </c>
    </row>
    <row r="49" spans="3:16" x14ac:dyDescent="0.25">
      <c r="C49" s="161"/>
      <c r="D49" s="175"/>
      <c r="E49" s="164"/>
      <c r="F49" s="191" t="str">
        <f t="shared" si="0"/>
        <v>-</v>
      </c>
      <c r="G49" s="69"/>
      <c r="H49" s="177"/>
      <c r="I49" s="161"/>
      <c r="J49" s="178" t="str">
        <f>IFERROR(MIN('MP Calculations'!$E$29/I49,1),"-")</f>
        <v>-</v>
      </c>
      <c r="K49" s="12"/>
      <c r="L49" s="161"/>
      <c r="M49" s="161"/>
      <c r="N49" s="161"/>
      <c r="O49" s="180" t="str">
        <f t="shared" si="1"/>
        <v>-</v>
      </c>
      <c r="P49" s="181" t="str">
        <f t="shared" si="2"/>
        <v>-</v>
      </c>
    </row>
    <row r="50" spans="3:16" x14ac:dyDescent="0.25">
      <c r="C50" s="161"/>
      <c r="D50" s="175"/>
      <c r="E50" s="164"/>
      <c r="F50" s="191" t="str">
        <f t="shared" si="0"/>
        <v>-</v>
      </c>
      <c r="G50" s="69"/>
      <c r="H50" s="177"/>
      <c r="I50" s="161"/>
      <c r="J50" s="178" t="str">
        <f>IFERROR(MIN('MP Calculations'!$E$29/I50,1),"-")</f>
        <v>-</v>
      </c>
      <c r="K50" s="12"/>
      <c r="L50" s="161"/>
      <c r="M50" s="161"/>
      <c r="N50" s="161"/>
      <c r="O50" s="180" t="str">
        <f t="shared" si="1"/>
        <v>-</v>
      </c>
      <c r="P50" s="181" t="str">
        <f t="shared" si="2"/>
        <v>-</v>
      </c>
    </row>
    <row r="51" spans="3:16" x14ac:dyDescent="0.25">
      <c r="C51" s="161"/>
      <c r="D51" s="175"/>
      <c r="E51" s="164"/>
      <c r="F51" s="191" t="str">
        <f t="shared" si="0"/>
        <v>-</v>
      </c>
      <c r="G51" s="69"/>
      <c r="H51" s="177"/>
      <c r="I51" s="161"/>
      <c r="J51" s="178" t="str">
        <f>IFERROR(MIN('MP Calculations'!$E$29/I51,1),"-")</f>
        <v>-</v>
      </c>
      <c r="K51" s="12"/>
      <c r="L51" s="161"/>
      <c r="M51" s="161"/>
      <c r="N51" s="161"/>
      <c r="O51" s="180" t="str">
        <f t="shared" si="1"/>
        <v>-</v>
      </c>
      <c r="P51" s="181" t="str">
        <f t="shared" si="2"/>
        <v>-</v>
      </c>
    </row>
    <row r="52" spans="3:16" x14ac:dyDescent="0.25">
      <c r="C52" s="161"/>
      <c r="D52" s="175"/>
      <c r="E52" s="164"/>
      <c r="F52" s="191" t="str">
        <f t="shared" si="0"/>
        <v>-</v>
      </c>
      <c r="G52" s="69"/>
      <c r="H52" s="177"/>
      <c r="I52" s="161"/>
      <c r="J52" s="178" t="str">
        <f>IFERROR(MIN('MP Calculations'!$E$29/I52,1),"-")</f>
        <v>-</v>
      </c>
      <c r="K52" s="12"/>
      <c r="L52" s="161"/>
      <c r="M52" s="161"/>
      <c r="N52" s="161"/>
      <c r="O52" s="180" t="str">
        <f t="shared" si="1"/>
        <v>-</v>
      </c>
      <c r="P52" s="181" t="str">
        <f t="shared" si="2"/>
        <v>-</v>
      </c>
    </row>
    <row r="53" spans="3:16" x14ac:dyDescent="0.25">
      <c r="C53" s="161"/>
      <c r="D53" s="175"/>
      <c r="E53" s="164"/>
      <c r="F53" s="191" t="str">
        <f t="shared" si="0"/>
        <v>-</v>
      </c>
      <c r="G53" s="69"/>
      <c r="H53" s="177"/>
      <c r="I53" s="161"/>
      <c r="J53" s="178" t="str">
        <f>IFERROR(MIN('MP Calculations'!$E$29/I53,1),"-")</f>
        <v>-</v>
      </c>
      <c r="K53" s="12"/>
      <c r="L53" s="161"/>
      <c r="M53" s="161"/>
      <c r="N53" s="161"/>
      <c r="O53" s="180" t="str">
        <f t="shared" si="1"/>
        <v>-</v>
      </c>
      <c r="P53" s="181" t="str">
        <f t="shared" si="2"/>
        <v>-</v>
      </c>
    </row>
    <row r="54" spans="3:16" x14ac:dyDescent="0.25">
      <c r="C54" s="161"/>
      <c r="D54" s="175"/>
      <c r="E54" s="164"/>
      <c r="F54" s="191" t="str">
        <f t="shared" si="0"/>
        <v>-</v>
      </c>
      <c r="G54" s="69"/>
      <c r="H54" s="177"/>
      <c r="I54" s="161"/>
      <c r="J54" s="178" t="str">
        <f>IFERROR(MIN('MP Calculations'!$E$29/I54,1),"-")</f>
        <v>-</v>
      </c>
      <c r="K54" s="12"/>
      <c r="L54" s="161"/>
      <c r="M54" s="161"/>
      <c r="N54" s="161"/>
      <c r="O54" s="180" t="str">
        <f t="shared" si="1"/>
        <v>-</v>
      </c>
      <c r="P54" s="181" t="str">
        <f t="shared" si="2"/>
        <v>-</v>
      </c>
    </row>
    <row r="55" spans="3:16" x14ac:dyDescent="0.25">
      <c r="C55" s="161"/>
      <c r="D55" s="175"/>
      <c r="E55" s="164"/>
      <c r="F55" s="191" t="str">
        <f t="shared" si="0"/>
        <v>-</v>
      </c>
      <c r="G55" s="69"/>
      <c r="H55" s="177"/>
      <c r="I55" s="161"/>
      <c r="J55" s="178" t="str">
        <f>IFERROR(MIN('MP Calculations'!$E$29/I55,1),"-")</f>
        <v>-</v>
      </c>
      <c r="K55" s="12"/>
      <c r="L55" s="161"/>
      <c r="M55" s="161"/>
      <c r="N55" s="161"/>
      <c r="O55" s="180" t="str">
        <f t="shared" si="1"/>
        <v>-</v>
      </c>
      <c r="P55" s="181" t="str">
        <f t="shared" si="2"/>
        <v>-</v>
      </c>
    </row>
    <row r="56" spans="3:16" x14ac:dyDescent="0.25">
      <c r="C56" s="161"/>
      <c r="D56" s="175"/>
      <c r="E56" s="164"/>
      <c r="F56" s="191" t="str">
        <f t="shared" si="0"/>
        <v>-</v>
      </c>
      <c r="G56" s="69"/>
      <c r="H56" s="177"/>
      <c r="I56" s="161"/>
      <c r="J56" s="178" t="str">
        <f>IFERROR(MIN('MP Calculations'!$E$29/I56,1),"-")</f>
        <v>-</v>
      </c>
      <c r="K56" s="12"/>
      <c r="L56" s="161"/>
      <c r="M56" s="161"/>
      <c r="N56" s="161"/>
      <c r="O56" s="180" t="str">
        <f t="shared" si="1"/>
        <v>-</v>
      </c>
      <c r="P56" s="181" t="str">
        <f t="shared" si="2"/>
        <v>-</v>
      </c>
    </row>
    <row r="57" spans="3:16" x14ac:dyDescent="0.25">
      <c r="C57" s="161"/>
      <c r="D57" s="175"/>
      <c r="E57" s="164"/>
      <c r="F57" s="191" t="str">
        <f t="shared" si="0"/>
        <v>-</v>
      </c>
      <c r="G57" s="69"/>
      <c r="H57" s="177"/>
      <c r="I57" s="161"/>
      <c r="J57" s="178" t="str">
        <f>IFERROR(MIN('MP Calculations'!$E$29/I57,1),"-")</f>
        <v>-</v>
      </c>
      <c r="K57" s="12"/>
      <c r="L57" s="161"/>
      <c r="M57" s="161"/>
      <c r="N57" s="161"/>
      <c r="O57" s="180" t="str">
        <f t="shared" si="1"/>
        <v>-</v>
      </c>
      <c r="P57" s="181" t="str">
        <f t="shared" si="2"/>
        <v>-</v>
      </c>
    </row>
    <row r="58" spans="3:16" x14ac:dyDescent="0.25">
      <c r="C58" s="161"/>
      <c r="D58" s="175"/>
      <c r="E58" s="164"/>
      <c r="F58" s="191" t="str">
        <f t="shared" si="0"/>
        <v>-</v>
      </c>
      <c r="G58" s="69"/>
      <c r="H58" s="177"/>
      <c r="I58" s="161"/>
      <c r="J58" s="178" t="str">
        <f>IFERROR(MIN('MP Calculations'!$E$29/I58,1),"-")</f>
        <v>-</v>
      </c>
      <c r="K58" s="12"/>
      <c r="L58" s="161"/>
      <c r="M58" s="161"/>
      <c r="N58" s="161"/>
      <c r="O58" s="180" t="str">
        <f t="shared" si="1"/>
        <v>-</v>
      </c>
      <c r="P58" s="181" t="str">
        <f t="shared" si="2"/>
        <v>-</v>
      </c>
    </row>
    <row r="59" spans="3:16" x14ac:dyDescent="0.25">
      <c r="C59" s="161"/>
      <c r="D59" s="175"/>
      <c r="E59" s="164"/>
      <c r="F59" s="191" t="str">
        <f t="shared" si="0"/>
        <v>-</v>
      </c>
      <c r="G59" s="69"/>
      <c r="H59" s="177"/>
      <c r="I59" s="161"/>
      <c r="J59" s="178" t="str">
        <f>IFERROR(MIN('MP Calculations'!$E$29/I59,1),"-")</f>
        <v>-</v>
      </c>
      <c r="K59" s="12"/>
      <c r="L59" s="161"/>
      <c r="M59" s="161"/>
      <c r="N59" s="161"/>
      <c r="O59" s="180" t="str">
        <f t="shared" si="1"/>
        <v>-</v>
      </c>
      <c r="P59" s="181" t="str">
        <f t="shared" si="2"/>
        <v>-</v>
      </c>
    </row>
    <row r="60" spans="3:16" x14ac:dyDescent="0.25">
      <c r="C60" s="161"/>
      <c r="D60" s="175"/>
      <c r="E60" s="164"/>
      <c r="F60" s="191" t="str">
        <f t="shared" si="0"/>
        <v>-</v>
      </c>
      <c r="G60" s="69"/>
      <c r="H60" s="177"/>
      <c r="I60" s="161"/>
      <c r="J60" s="178" t="str">
        <f>IFERROR(MIN('MP Calculations'!$E$29/I60,1),"-")</f>
        <v>-</v>
      </c>
      <c r="K60" s="12"/>
      <c r="L60" s="161"/>
      <c r="M60" s="161"/>
      <c r="N60" s="161"/>
      <c r="O60" s="180" t="str">
        <f t="shared" si="1"/>
        <v>-</v>
      </c>
      <c r="P60" s="181" t="str">
        <f t="shared" si="2"/>
        <v>-</v>
      </c>
    </row>
    <row r="61" spans="3:16" x14ac:dyDescent="0.25">
      <c r="C61" s="161"/>
      <c r="D61" s="175"/>
      <c r="E61" s="164"/>
      <c r="F61" s="191" t="str">
        <f t="shared" si="0"/>
        <v>-</v>
      </c>
      <c r="G61" s="69"/>
      <c r="H61" s="177"/>
      <c r="I61" s="161"/>
      <c r="J61" s="178" t="str">
        <f>IFERROR(MIN('MP Calculations'!$E$29/I61,1),"-")</f>
        <v>-</v>
      </c>
      <c r="K61" s="12"/>
      <c r="L61" s="161"/>
      <c r="M61" s="161"/>
      <c r="N61" s="161"/>
      <c r="O61" s="180" t="str">
        <f t="shared" si="1"/>
        <v>-</v>
      </c>
      <c r="P61" s="181" t="str">
        <f t="shared" si="2"/>
        <v>-</v>
      </c>
    </row>
    <row r="62" spans="3:16" x14ac:dyDescent="0.25">
      <c r="C62" s="161"/>
      <c r="D62" s="175"/>
      <c r="E62" s="164"/>
      <c r="F62" s="191" t="str">
        <f t="shared" si="0"/>
        <v>-</v>
      </c>
      <c r="G62" s="69"/>
      <c r="H62" s="177"/>
      <c r="I62" s="161"/>
      <c r="J62" s="178" t="str">
        <f>IFERROR(MIN('MP Calculations'!$E$29/I62,1),"-")</f>
        <v>-</v>
      </c>
      <c r="K62" s="12"/>
      <c r="L62" s="161"/>
      <c r="M62" s="161"/>
      <c r="N62" s="161"/>
      <c r="O62" s="180" t="str">
        <f t="shared" si="1"/>
        <v>-</v>
      </c>
      <c r="P62" s="181" t="str">
        <f t="shared" si="2"/>
        <v>-</v>
      </c>
    </row>
    <row r="63" spans="3:16" x14ac:dyDescent="0.25">
      <c r="C63" s="161"/>
      <c r="D63" s="175"/>
      <c r="E63" s="164"/>
      <c r="F63" s="191" t="str">
        <f t="shared" si="0"/>
        <v>-</v>
      </c>
      <c r="G63" s="69"/>
      <c r="H63" s="177"/>
      <c r="I63" s="161"/>
      <c r="J63" s="178" t="str">
        <f>IFERROR(MIN('MP Calculations'!$E$29/I63,1),"-")</f>
        <v>-</v>
      </c>
      <c r="K63" s="12"/>
      <c r="L63" s="161"/>
      <c r="M63" s="161"/>
      <c r="N63" s="161"/>
      <c r="O63" s="180" t="str">
        <f t="shared" si="1"/>
        <v>-</v>
      </c>
      <c r="P63" s="181" t="str">
        <f t="shared" si="2"/>
        <v>-</v>
      </c>
    </row>
    <row r="64" spans="3:16" x14ac:dyDescent="0.25">
      <c r="C64" s="161"/>
      <c r="D64" s="175"/>
      <c r="E64" s="164"/>
      <c r="F64" s="191" t="str">
        <f t="shared" si="0"/>
        <v>-</v>
      </c>
      <c r="G64" s="69"/>
      <c r="H64" s="177"/>
      <c r="I64" s="161"/>
      <c r="J64" s="178" t="str">
        <f>IFERROR(MIN('MP Calculations'!$E$29/I64,1),"-")</f>
        <v>-</v>
      </c>
      <c r="K64" s="12"/>
      <c r="L64" s="161"/>
      <c r="M64" s="161"/>
      <c r="N64" s="161"/>
      <c r="O64" s="180" t="str">
        <f t="shared" si="1"/>
        <v>-</v>
      </c>
      <c r="P64" s="181" t="str">
        <f t="shared" si="2"/>
        <v>-</v>
      </c>
    </row>
    <row r="65" spans="3:16" x14ac:dyDescent="0.25">
      <c r="C65" s="161"/>
      <c r="D65" s="175"/>
      <c r="E65" s="164"/>
      <c r="F65" s="191" t="str">
        <f t="shared" si="0"/>
        <v>-</v>
      </c>
      <c r="G65" s="69"/>
      <c r="H65" s="177"/>
      <c r="I65" s="161"/>
      <c r="J65" s="178" t="str">
        <f>IFERROR(MIN('MP Calculations'!$E$29/I65,1),"-")</f>
        <v>-</v>
      </c>
      <c r="K65" s="12"/>
      <c r="L65" s="161"/>
      <c r="M65" s="161"/>
      <c r="N65" s="161"/>
      <c r="O65" s="180" t="str">
        <f t="shared" si="1"/>
        <v>-</v>
      </c>
      <c r="P65" s="181" t="str">
        <f t="shared" si="2"/>
        <v>-</v>
      </c>
    </row>
    <row r="66" spans="3:16" x14ac:dyDescent="0.25">
      <c r="C66" s="161"/>
      <c r="D66" s="175"/>
      <c r="E66" s="164"/>
      <c r="F66" s="191" t="str">
        <f t="shared" si="0"/>
        <v>-</v>
      </c>
      <c r="G66" s="69"/>
      <c r="H66" s="177"/>
      <c r="I66" s="161"/>
      <c r="J66" s="178" t="str">
        <f>IFERROR(MIN('MP Calculations'!$E$29/I66,1),"-")</f>
        <v>-</v>
      </c>
      <c r="K66" s="12"/>
      <c r="L66" s="161"/>
      <c r="M66" s="161"/>
      <c r="N66" s="161"/>
      <c r="O66" s="180" t="str">
        <f t="shared" si="1"/>
        <v>-</v>
      </c>
      <c r="P66" s="181" t="str">
        <f t="shared" si="2"/>
        <v>-</v>
      </c>
    </row>
    <row r="67" spans="3:16" x14ac:dyDescent="0.25">
      <c r="C67" s="161"/>
      <c r="D67" s="175"/>
      <c r="E67" s="164"/>
      <c r="F67" s="191" t="str">
        <f t="shared" si="0"/>
        <v>-</v>
      </c>
      <c r="G67" s="69"/>
      <c r="H67" s="177"/>
      <c r="I67" s="161"/>
      <c r="J67" s="178" t="str">
        <f>IFERROR(MIN('MP Calculations'!$E$29/I67,1),"-")</f>
        <v>-</v>
      </c>
      <c r="K67" s="12"/>
      <c r="L67" s="161"/>
      <c r="M67" s="161"/>
      <c r="N67" s="161"/>
      <c r="O67" s="180" t="str">
        <f t="shared" si="1"/>
        <v>-</v>
      </c>
      <c r="P67" s="181" t="str">
        <f t="shared" si="2"/>
        <v>-</v>
      </c>
    </row>
    <row r="68" spans="3:16" x14ac:dyDescent="0.25">
      <c r="C68" s="161"/>
      <c r="D68" s="175"/>
      <c r="E68" s="164"/>
      <c r="F68" s="191" t="str">
        <f t="shared" si="0"/>
        <v>-</v>
      </c>
      <c r="G68" s="69"/>
      <c r="H68" s="177"/>
      <c r="I68" s="161"/>
      <c r="J68" s="178" t="str">
        <f>IFERROR(MIN('MP Calculations'!$E$29/I68,1),"-")</f>
        <v>-</v>
      </c>
      <c r="K68" s="12"/>
      <c r="L68" s="161"/>
      <c r="M68" s="161"/>
      <c r="N68" s="161"/>
      <c r="O68" s="180" t="str">
        <f t="shared" si="1"/>
        <v>-</v>
      </c>
      <c r="P68" s="181" t="str">
        <f t="shared" si="2"/>
        <v>-</v>
      </c>
    </row>
    <row r="69" spans="3:16" x14ac:dyDescent="0.25">
      <c r="C69" s="161"/>
      <c r="D69" s="175"/>
      <c r="E69" s="164"/>
      <c r="F69" s="191" t="str">
        <f t="shared" si="0"/>
        <v>-</v>
      </c>
      <c r="G69" s="69"/>
      <c r="H69" s="177"/>
      <c r="I69" s="161"/>
      <c r="J69" s="178" t="str">
        <f>IFERROR(MIN('MP Calculations'!$E$29/I69,1),"-")</f>
        <v>-</v>
      </c>
      <c r="K69" s="12"/>
      <c r="L69" s="161"/>
      <c r="M69" s="161"/>
      <c r="N69" s="161"/>
      <c r="O69" s="180" t="str">
        <f t="shared" si="1"/>
        <v>-</v>
      </c>
      <c r="P69" s="181" t="str">
        <f t="shared" si="2"/>
        <v>-</v>
      </c>
    </row>
    <row r="70" spans="3:16" x14ac:dyDescent="0.25">
      <c r="C70" s="161"/>
      <c r="D70" s="175"/>
      <c r="E70" s="164"/>
      <c r="F70" s="191" t="str">
        <f t="shared" si="0"/>
        <v>-</v>
      </c>
      <c r="G70" s="69"/>
      <c r="H70" s="177"/>
      <c r="I70" s="161"/>
      <c r="J70" s="178" t="str">
        <f>IFERROR(MIN('MP Calculations'!$E$29/I70,1),"-")</f>
        <v>-</v>
      </c>
      <c r="K70" s="12"/>
      <c r="L70" s="161"/>
      <c r="M70" s="161"/>
      <c r="N70" s="161"/>
      <c r="O70" s="180" t="str">
        <f t="shared" si="1"/>
        <v>-</v>
      </c>
      <c r="P70" s="181" t="str">
        <f t="shared" si="2"/>
        <v>-</v>
      </c>
    </row>
    <row r="71" spans="3:16" x14ac:dyDescent="0.25">
      <c r="C71" s="161"/>
      <c r="D71" s="175"/>
      <c r="E71" s="164"/>
      <c r="F71" s="191" t="str">
        <f t="shared" si="0"/>
        <v>-</v>
      </c>
      <c r="G71" s="69"/>
      <c r="H71" s="177"/>
      <c r="I71" s="161"/>
      <c r="J71" s="178" t="str">
        <f>IFERROR(MIN('MP Calculations'!$E$29/I71,1),"-")</f>
        <v>-</v>
      </c>
      <c r="K71" s="12"/>
      <c r="L71" s="161"/>
      <c r="M71" s="161"/>
      <c r="N71" s="161"/>
      <c r="O71" s="180" t="str">
        <f t="shared" si="1"/>
        <v>-</v>
      </c>
      <c r="P71" s="181" t="str">
        <f t="shared" si="2"/>
        <v>-</v>
      </c>
    </row>
    <row r="72" spans="3:16" x14ac:dyDescent="0.25">
      <c r="C72" s="161"/>
      <c r="D72" s="175"/>
      <c r="E72" s="164"/>
      <c r="F72" s="191" t="str">
        <f t="shared" si="0"/>
        <v>-</v>
      </c>
      <c r="G72" s="69"/>
      <c r="H72" s="177"/>
      <c r="I72" s="161"/>
      <c r="J72" s="178" t="str">
        <f>IFERROR(MIN('MP Calculations'!$E$29/I72,1),"-")</f>
        <v>-</v>
      </c>
      <c r="K72" s="12"/>
      <c r="L72" s="161"/>
      <c r="M72" s="161"/>
      <c r="N72" s="161"/>
      <c r="O72" s="180" t="str">
        <f t="shared" si="1"/>
        <v>-</v>
      </c>
      <c r="P72" s="181" t="str">
        <f t="shared" si="2"/>
        <v>-</v>
      </c>
    </row>
    <row r="73" spans="3:16" x14ac:dyDescent="0.25">
      <c r="C73" s="161"/>
      <c r="D73" s="175"/>
      <c r="E73" s="164"/>
      <c r="F73" s="191" t="str">
        <f t="shared" si="0"/>
        <v>-</v>
      </c>
      <c r="G73" s="69"/>
      <c r="H73" s="177"/>
      <c r="I73" s="161"/>
      <c r="J73" s="178" t="str">
        <f>IFERROR(MIN('MP Calculations'!$E$29/I73,1),"-")</f>
        <v>-</v>
      </c>
      <c r="K73" s="12"/>
      <c r="L73" s="161"/>
      <c r="M73" s="161"/>
      <c r="N73" s="161"/>
      <c r="O73" s="180" t="str">
        <f t="shared" si="1"/>
        <v>-</v>
      </c>
      <c r="P73" s="181" t="str">
        <f t="shared" si="2"/>
        <v>-</v>
      </c>
    </row>
    <row r="74" spans="3:16" x14ac:dyDescent="0.25">
      <c r="C74" s="161"/>
      <c r="D74" s="175"/>
      <c r="E74" s="164"/>
      <c r="F74" s="191" t="str">
        <f t="shared" si="0"/>
        <v>-</v>
      </c>
      <c r="G74" s="69"/>
      <c r="H74" s="177"/>
      <c r="I74" s="161"/>
      <c r="J74" s="178" t="str">
        <f>IFERROR(MIN('MP Calculations'!$E$29/I74,1),"-")</f>
        <v>-</v>
      </c>
      <c r="K74" s="12"/>
      <c r="L74" s="161"/>
      <c r="M74" s="161"/>
      <c r="N74" s="161"/>
      <c r="O74" s="180" t="str">
        <f t="shared" si="1"/>
        <v>-</v>
      </c>
      <c r="P74" s="181" t="str">
        <f t="shared" si="2"/>
        <v>-</v>
      </c>
    </row>
    <row r="75" spans="3:16" x14ac:dyDescent="0.25">
      <c r="C75" s="161"/>
      <c r="D75" s="175"/>
      <c r="E75" s="164"/>
      <c r="F75" s="191" t="str">
        <f t="shared" si="0"/>
        <v>-</v>
      </c>
      <c r="G75" s="69"/>
      <c r="H75" s="177"/>
      <c r="I75" s="161"/>
      <c r="J75" s="178" t="str">
        <f>IFERROR(MIN('MP Calculations'!$E$29/I75,1),"-")</f>
        <v>-</v>
      </c>
      <c r="K75" s="12"/>
      <c r="L75" s="161"/>
      <c r="M75" s="161"/>
      <c r="N75" s="161"/>
      <c r="O75" s="180" t="str">
        <f t="shared" si="1"/>
        <v>-</v>
      </c>
      <c r="P75" s="181" t="str">
        <f t="shared" si="2"/>
        <v>-</v>
      </c>
    </row>
    <row r="76" spans="3:16" x14ac:dyDescent="0.25">
      <c r="C76" s="161"/>
      <c r="D76" s="175"/>
      <c r="E76" s="164"/>
      <c r="F76" s="191" t="str">
        <f t="shared" si="0"/>
        <v>-</v>
      </c>
      <c r="G76" s="69"/>
      <c r="H76" s="177"/>
      <c r="I76" s="161"/>
      <c r="J76" s="178" t="str">
        <f>IFERROR(MIN('MP Calculations'!$E$29/I76,1),"-")</f>
        <v>-</v>
      </c>
      <c r="K76" s="12"/>
      <c r="L76" s="161"/>
      <c r="M76" s="161"/>
      <c r="N76" s="161"/>
      <c r="O76" s="180" t="str">
        <f t="shared" si="1"/>
        <v>-</v>
      </c>
      <c r="P76" s="181" t="str">
        <f t="shared" si="2"/>
        <v>-</v>
      </c>
    </row>
    <row r="77" spans="3:16" x14ac:dyDescent="0.25">
      <c r="C77" s="161"/>
      <c r="D77" s="175"/>
      <c r="E77" s="164"/>
      <c r="F77" s="191" t="str">
        <f t="shared" si="0"/>
        <v>-</v>
      </c>
      <c r="G77" s="69"/>
      <c r="H77" s="177"/>
      <c r="I77" s="161"/>
      <c r="J77" s="178" t="str">
        <f>IFERROR(MIN('MP Calculations'!$E$29/I77,1),"-")</f>
        <v>-</v>
      </c>
      <c r="K77" s="12"/>
      <c r="L77" s="161"/>
      <c r="M77" s="161"/>
      <c r="N77" s="161"/>
      <c r="O77" s="180" t="str">
        <f t="shared" si="1"/>
        <v>-</v>
      </c>
      <c r="P77" s="181" t="str">
        <f t="shared" si="2"/>
        <v>-</v>
      </c>
    </row>
    <row r="78" spans="3:16" x14ac:dyDescent="0.25">
      <c r="C78" s="161"/>
      <c r="D78" s="175"/>
      <c r="E78" s="164"/>
      <c r="F78" s="191" t="str">
        <f t="shared" si="0"/>
        <v>-</v>
      </c>
      <c r="G78" s="69"/>
      <c r="H78" s="177"/>
      <c r="I78" s="161"/>
      <c r="J78" s="178" t="str">
        <f>IFERROR(MIN('MP Calculations'!$E$29/I78,1),"-")</f>
        <v>-</v>
      </c>
      <c r="K78" s="12"/>
      <c r="L78" s="161"/>
      <c r="M78" s="161"/>
      <c r="N78" s="161"/>
      <c r="O78" s="180" t="str">
        <f t="shared" si="1"/>
        <v>-</v>
      </c>
      <c r="P78" s="181" t="str">
        <f t="shared" si="2"/>
        <v>-</v>
      </c>
    </row>
    <row r="79" spans="3:16" x14ac:dyDescent="0.25">
      <c r="C79" s="161"/>
      <c r="D79" s="175"/>
      <c r="E79" s="164"/>
      <c r="F79" s="191" t="str">
        <f t="shared" si="0"/>
        <v>-</v>
      </c>
      <c r="G79" s="69"/>
      <c r="H79" s="177"/>
      <c r="I79" s="161"/>
      <c r="J79" s="178" t="str">
        <f>IFERROR(MIN('MP Calculations'!$E$29/I79,1),"-")</f>
        <v>-</v>
      </c>
      <c r="K79" s="12"/>
      <c r="L79" s="161"/>
      <c r="M79" s="161"/>
      <c r="N79" s="161"/>
      <c r="O79" s="180" t="str">
        <f t="shared" si="1"/>
        <v>-</v>
      </c>
      <c r="P79" s="181" t="str">
        <f t="shared" si="2"/>
        <v>-</v>
      </c>
    </row>
    <row r="80" spans="3:16" x14ac:dyDescent="0.25">
      <c r="C80" s="161"/>
      <c r="D80" s="175"/>
      <c r="E80" s="164"/>
      <c r="F80" s="191" t="str">
        <f t="shared" si="0"/>
        <v>-</v>
      </c>
      <c r="G80" s="69"/>
      <c r="H80" s="177"/>
      <c r="I80" s="161"/>
      <c r="J80" s="178" t="str">
        <f>IFERROR(MIN('MP Calculations'!$E$29/I80,1),"-")</f>
        <v>-</v>
      </c>
      <c r="K80" s="12"/>
      <c r="L80" s="161"/>
      <c r="M80" s="161"/>
      <c r="N80" s="161"/>
      <c r="O80" s="180" t="str">
        <f t="shared" si="1"/>
        <v>-</v>
      </c>
      <c r="P80" s="181" t="str">
        <f t="shared" si="2"/>
        <v>-</v>
      </c>
    </row>
    <row r="81" spans="3:16" x14ac:dyDescent="0.25">
      <c r="C81" s="161"/>
      <c r="D81" s="175"/>
      <c r="E81" s="164"/>
      <c r="F81" s="191" t="str">
        <f t="shared" si="0"/>
        <v>-</v>
      </c>
      <c r="G81" s="69"/>
      <c r="H81" s="177"/>
      <c r="I81" s="161"/>
      <c r="J81" s="178" t="str">
        <f>IFERROR(MIN('MP Calculations'!$E$29/I81,1),"-")</f>
        <v>-</v>
      </c>
      <c r="K81" s="12"/>
      <c r="L81" s="161"/>
      <c r="M81" s="161"/>
      <c r="N81" s="161"/>
      <c r="O81" s="180" t="str">
        <f t="shared" si="1"/>
        <v>-</v>
      </c>
      <c r="P81" s="181" t="str">
        <f t="shared" si="2"/>
        <v>-</v>
      </c>
    </row>
    <row r="82" spans="3:16" x14ac:dyDescent="0.25">
      <c r="C82" s="161"/>
      <c r="D82" s="175"/>
      <c r="E82" s="164"/>
      <c r="F82" s="191" t="str">
        <f t="shared" si="0"/>
        <v>-</v>
      </c>
      <c r="G82" s="69"/>
      <c r="H82" s="177"/>
      <c r="I82" s="161"/>
      <c r="J82" s="178" t="str">
        <f>IFERROR(MIN('MP Calculations'!$E$29/I82,1),"-")</f>
        <v>-</v>
      </c>
      <c r="K82" s="12"/>
      <c r="L82" s="161"/>
      <c r="M82" s="161"/>
      <c r="N82" s="161"/>
      <c r="O82" s="180" t="str">
        <f t="shared" si="1"/>
        <v>-</v>
      </c>
      <c r="P82" s="181" t="str">
        <f t="shared" si="2"/>
        <v>-</v>
      </c>
    </row>
    <row r="83" spans="3:16" x14ac:dyDescent="0.25">
      <c r="C83" s="161"/>
      <c r="D83" s="175"/>
      <c r="E83" s="164"/>
      <c r="F83" s="191" t="str">
        <f t="shared" si="0"/>
        <v>-</v>
      </c>
      <c r="G83" s="69"/>
      <c r="H83" s="177"/>
      <c r="I83" s="161"/>
      <c r="J83" s="178" t="str">
        <f>IFERROR(MIN('MP Calculations'!$E$29/I83,1),"-")</f>
        <v>-</v>
      </c>
      <c r="K83" s="12"/>
      <c r="L83" s="161"/>
      <c r="M83" s="161"/>
      <c r="N83" s="161"/>
      <c r="O83" s="180" t="str">
        <f t="shared" si="1"/>
        <v>-</v>
      </c>
      <c r="P83" s="181" t="str">
        <f t="shared" si="2"/>
        <v>-</v>
      </c>
    </row>
    <row r="84" spans="3:16" x14ac:dyDescent="0.25">
      <c r="C84" s="161"/>
      <c r="D84" s="175"/>
      <c r="E84" s="164"/>
      <c r="F84" s="191" t="str">
        <f t="shared" si="0"/>
        <v>-</v>
      </c>
      <c r="G84" s="69"/>
      <c r="H84" s="177"/>
      <c r="I84" s="161"/>
      <c r="J84" s="178" t="str">
        <f>IFERROR(MIN('MP Calculations'!$E$29/I84,1),"-")</f>
        <v>-</v>
      </c>
      <c r="K84" s="12"/>
      <c r="L84" s="161"/>
      <c r="M84" s="161"/>
      <c r="N84" s="161"/>
      <c r="O84" s="180" t="str">
        <f t="shared" si="1"/>
        <v>-</v>
      </c>
      <c r="P84" s="181" t="str">
        <f t="shared" si="2"/>
        <v>-</v>
      </c>
    </row>
    <row r="85" spans="3:16" x14ac:dyDescent="0.25">
      <c r="C85" s="161"/>
      <c r="D85" s="175"/>
      <c r="E85" s="164"/>
      <c r="F85" s="191" t="str">
        <f t="shared" si="0"/>
        <v>-</v>
      </c>
      <c r="G85" s="69"/>
      <c r="H85" s="177"/>
      <c r="I85" s="161"/>
      <c r="J85" s="178" t="str">
        <f>IFERROR(MIN('MP Calculations'!$E$29/I85,1),"-")</f>
        <v>-</v>
      </c>
      <c r="K85" s="12"/>
      <c r="L85" s="161"/>
      <c r="M85" s="161"/>
      <c r="N85" s="161"/>
      <c r="O85" s="180" t="str">
        <f t="shared" si="1"/>
        <v>-</v>
      </c>
      <c r="P85" s="181" t="str">
        <f t="shared" si="2"/>
        <v>-</v>
      </c>
    </row>
    <row r="86" spans="3:16" x14ac:dyDescent="0.25">
      <c r="C86" s="161"/>
      <c r="D86" s="175"/>
      <c r="E86" s="164"/>
      <c r="F86" s="191" t="str">
        <f t="shared" si="0"/>
        <v>-</v>
      </c>
      <c r="G86" s="69"/>
      <c r="H86" s="177"/>
      <c r="I86" s="161"/>
      <c r="J86" s="178" t="str">
        <f>IFERROR(MIN('MP Calculations'!$E$29/I86,1),"-")</f>
        <v>-</v>
      </c>
      <c r="K86" s="12"/>
      <c r="L86" s="161"/>
      <c r="M86" s="161"/>
      <c r="N86" s="161"/>
      <c r="O86" s="180" t="str">
        <f t="shared" si="1"/>
        <v>-</v>
      </c>
      <c r="P86" s="181" t="str">
        <f t="shared" si="2"/>
        <v>-</v>
      </c>
    </row>
    <row r="87" spans="3:16" x14ac:dyDescent="0.25">
      <c r="C87" s="161"/>
      <c r="D87" s="175"/>
      <c r="E87" s="164"/>
      <c r="F87" s="191" t="str">
        <f t="shared" ref="F87:F218" si="3">IF(E87="","-",IF(OR(E87&lt;$E$15,E87&gt;$E$16),"ERROR - date outside of range",IF(MONTH(E87)&gt;=7,YEAR(E87)&amp;"-"&amp;IF(YEAR(E87)=1999,"00",IF(AND(YEAR(E87)&gt;=2000,YEAR(E87)&lt;2009),"0","")&amp;RIGHT(YEAR(E87),2)+1),RIGHT(YEAR(E87),4)-1&amp;"-"&amp;RIGHT(YEAR(E87),2))))</f>
        <v>-</v>
      </c>
      <c r="G87" s="69"/>
      <c r="H87" s="177"/>
      <c r="I87" s="161"/>
      <c r="J87" s="178" t="str">
        <f>IFERROR(MIN('MP Calculations'!$E$29/I87,1),"-")</f>
        <v>-</v>
      </c>
      <c r="K87" s="12"/>
      <c r="L87" s="161"/>
      <c r="M87" s="161"/>
      <c r="N87" s="161"/>
      <c r="O87" s="180" t="str">
        <f t="shared" ref="O87:O150" si="4">IF(N87="","-",L87*N87)</f>
        <v>-</v>
      </c>
      <c r="P87" s="181" t="str">
        <f t="shared" ref="P87:P218" si="5">IF(O87="-","-",IF(OR(E87&lt;$E$15,E87&gt;$E$16),0,O87*J87))</f>
        <v>-</v>
      </c>
    </row>
    <row r="88" spans="3:16" x14ac:dyDescent="0.25">
      <c r="C88" s="161"/>
      <c r="D88" s="175"/>
      <c r="E88" s="164"/>
      <c r="F88" s="191" t="str">
        <f t="shared" si="3"/>
        <v>-</v>
      </c>
      <c r="G88" s="69"/>
      <c r="H88" s="177"/>
      <c r="I88" s="161"/>
      <c r="J88" s="178" t="str">
        <f>IFERROR(MIN('MP Calculations'!$E$29/I88,1),"-")</f>
        <v>-</v>
      </c>
      <c r="K88" s="12"/>
      <c r="L88" s="161"/>
      <c r="M88" s="161"/>
      <c r="N88" s="161"/>
      <c r="O88" s="180" t="str">
        <f t="shared" si="4"/>
        <v>-</v>
      </c>
      <c r="P88" s="181" t="str">
        <f t="shared" si="5"/>
        <v>-</v>
      </c>
    </row>
    <row r="89" spans="3:16" x14ac:dyDescent="0.25">
      <c r="C89" s="161"/>
      <c r="D89" s="175"/>
      <c r="E89" s="164"/>
      <c r="F89" s="191" t="str">
        <f t="shared" si="3"/>
        <v>-</v>
      </c>
      <c r="G89" s="69"/>
      <c r="H89" s="177"/>
      <c r="I89" s="161"/>
      <c r="J89" s="178" t="str">
        <f>IFERROR(MIN('MP Calculations'!$E$29/I89,1),"-")</f>
        <v>-</v>
      </c>
      <c r="K89" s="12"/>
      <c r="L89" s="161"/>
      <c r="M89" s="161"/>
      <c r="N89" s="161"/>
      <c r="O89" s="180" t="str">
        <f t="shared" si="4"/>
        <v>-</v>
      </c>
      <c r="P89" s="181" t="str">
        <f t="shared" si="5"/>
        <v>-</v>
      </c>
    </row>
    <row r="90" spans="3:16" x14ac:dyDescent="0.25">
      <c r="C90" s="161"/>
      <c r="D90" s="175"/>
      <c r="E90" s="164"/>
      <c r="F90" s="191" t="str">
        <f t="shared" si="3"/>
        <v>-</v>
      </c>
      <c r="G90" s="69"/>
      <c r="H90" s="177"/>
      <c r="I90" s="161"/>
      <c r="J90" s="178" t="str">
        <f>IFERROR(MIN('MP Calculations'!$E$29/I90,1),"-")</f>
        <v>-</v>
      </c>
      <c r="K90" s="12"/>
      <c r="L90" s="161"/>
      <c r="M90" s="161"/>
      <c r="N90" s="161"/>
      <c r="O90" s="180" t="str">
        <f t="shared" si="4"/>
        <v>-</v>
      </c>
      <c r="P90" s="181" t="str">
        <f t="shared" si="5"/>
        <v>-</v>
      </c>
    </row>
    <row r="91" spans="3:16" x14ac:dyDescent="0.25">
      <c r="C91" s="161"/>
      <c r="D91" s="175"/>
      <c r="E91" s="164"/>
      <c r="F91" s="191" t="str">
        <f t="shared" si="3"/>
        <v>-</v>
      </c>
      <c r="G91" s="69"/>
      <c r="H91" s="177"/>
      <c r="I91" s="161"/>
      <c r="J91" s="178" t="str">
        <f>IFERROR(MIN('MP Calculations'!$E$29/I91,1),"-")</f>
        <v>-</v>
      </c>
      <c r="K91" s="12"/>
      <c r="L91" s="161"/>
      <c r="M91" s="161"/>
      <c r="N91" s="161"/>
      <c r="O91" s="180" t="str">
        <f t="shared" si="4"/>
        <v>-</v>
      </c>
      <c r="P91" s="181" t="str">
        <f t="shared" si="5"/>
        <v>-</v>
      </c>
    </row>
    <row r="92" spans="3:16" x14ac:dyDescent="0.25">
      <c r="C92" s="161"/>
      <c r="D92" s="175"/>
      <c r="E92" s="164"/>
      <c r="F92" s="191" t="str">
        <f t="shared" si="3"/>
        <v>-</v>
      </c>
      <c r="G92" s="69"/>
      <c r="H92" s="177"/>
      <c r="I92" s="161"/>
      <c r="J92" s="178" t="str">
        <f>IFERROR(MIN('MP Calculations'!$E$29/I92,1),"-")</f>
        <v>-</v>
      </c>
      <c r="K92" s="12"/>
      <c r="L92" s="161"/>
      <c r="M92" s="161"/>
      <c r="N92" s="161"/>
      <c r="O92" s="180" t="str">
        <f t="shared" si="4"/>
        <v>-</v>
      </c>
      <c r="P92" s="181" t="str">
        <f t="shared" si="5"/>
        <v>-</v>
      </c>
    </row>
    <row r="93" spans="3:16" x14ac:dyDescent="0.25">
      <c r="C93" s="161"/>
      <c r="D93" s="175"/>
      <c r="E93" s="164"/>
      <c r="F93" s="191" t="str">
        <f t="shared" si="3"/>
        <v>-</v>
      </c>
      <c r="G93" s="69"/>
      <c r="H93" s="177"/>
      <c r="I93" s="161"/>
      <c r="J93" s="178" t="str">
        <f>IFERROR(MIN('MP Calculations'!$E$29/I93,1),"-")</f>
        <v>-</v>
      </c>
      <c r="K93" s="12"/>
      <c r="L93" s="161"/>
      <c r="M93" s="161"/>
      <c r="N93" s="161"/>
      <c r="O93" s="180" t="str">
        <f t="shared" si="4"/>
        <v>-</v>
      </c>
      <c r="P93" s="181" t="str">
        <f t="shared" si="5"/>
        <v>-</v>
      </c>
    </row>
    <row r="94" spans="3:16" x14ac:dyDescent="0.25">
      <c r="C94" s="161"/>
      <c r="D94" s="175"/>
      <c r="E94" s="164"/>
      <c r="F94" s="191" t="str">
        <f t="shared" si="3"/>
        <v>-</v>
      </c>
      <c r="G94" s="69"/>
      <c r="H94" s="177"/>
      <c r="I94" s="161"/>
      <c r="J94" s="178" t="str">
        <f>IFERROR(MIN('MP Calculations'!$E$29/I94,1),"-")</f>
        <v>-</v>
      </c>
      <c r="K94" s="12"/>
      <c r="L94" s="161"/>
      <c r="M94" s="161"/>
      <c r="N94" s="161"/>
      <c r="O94" s="180" t="str">
        <f t="shared" si="4"/>
        <v>-</v>
      </c>
      <c r="P94" s="181" t="str">
        <f t="shared" si="5"/>
        <v>-</v>
      </c>
    </row>
    <row r="95" spans="3:16" x14ac:dyDescent="0.25">
      <c r="C95" s="161"/>
      <c r="D95" s="175"/>
      <c r="E95" s="164"/>
      <c r="F95" s="191" t="str">
        <f t="shared" si="3"/>
        <v>-</v>
      </c>
      <c r="G95" s="69"/>
      <c r="H95" s="177"/>
      <c r="I95" s="161"/>
      <c r="J95" s="178" t="str">
        <f>IFERROR(MIN('MP Calculations'!$E$29/I95,1),"-")</f>
        <v>-</v>
      </c>
      <c r="K95" s="12"/>
      <c r="L95" s="161"/>
      <c r="M95" s="161"/>
      <c r="N95" s="161"/>
      <c r="O95" s="180" t="str">
        <f t="shared" si="4"/>
        <v>-</v>
      </c>
      <c r="P95" s="181" t="str">
        <f t="shared" si="5"/>
        <v>-</v>
      </c>
    </row>
    <row r="96" spans="3:16" x14ac:dyDescent="0.25">
      <c r="C96" s="161"/>
      <c r="D96" s="175"/>
      <c r="E96" s="164"/>
      <c r="F96" s="191" t="str">
        <f t="shared" si="3"/>
        <v>-</v>
      </c>
      <c r="G96" s="69"/>
      <c r="H96" s="177"/>
      <c r="I96" s="161"/>
      <c r="J96" s="178" t="str">
        <f>IFERROR(MIN('MP Calculations'!$E$29/I96,1),"-")</f>
        <v>-</v>
      </c>
      <c r="K96" s="12"/>
      <c r="L96" s="161"/>
      <c r="M96" s="161"/>
      <c r="N96" s="161"/>
      <c r="O96" s="180" t="str">
        <f t="shared" si="4"/>
        <v>-</v>
      </c>
      <c r="P96" s="181" t="str">
        <f t="shared" si="5"/>
        <v>-</v>
      </c>
    </row>
    <row r="97" spans="3:16" x14ac:dyDescent="0.25">
      <c r="C97" s="161"/>
      <c r="D97" s="175"/>
      <c r="E97" s="164"/>
      <c r="F97" s="191" t="str">
        <f t="shared" si="3"/>
        <v>-</v>
      </c>
      <c r="G97" s="69"/>
      <c r="H97" s="177"/>
      <c r="I97" s="161"/>
      <c r="J97" s="178" t="str">
        <f>IFERROR(MIN('MP Calculations'!$E$29/I97,1),"-")</f>
        <v>-</v>
      </c>
      <c r="K97" s="12"/>
      <c r="L97" s="161"/>
      <c r="M97" s="161"/>
      <c r="N97" s="161"/>
      <c r="O97" s="180" t="str">
        <f t="shared" si="4"/>
        <v>-</v>
      </c>
      <c r="P97" s="181" t="str">
        <f t="shared" si="5"/>
        <v>-</v>
      </c>
    </row>
    <row r="98" spans="3:16" x14ac:dyDescent="0.25">
      <c r="C98" s="161"/>
      <c r="D98" s="175"/>
      <c r="E98" s="164"/>
      <c r="F98" s="191" t="str">
        <f t="shared" si="3"/>
        <v>-</v>
      </c>
      <c r="G98" s="69"/>
      <c r="H98" s="177"/>
      <c r="I98" s="161"/>
      <c r="J98" s="178" t="str">
        <f>IFERROR(MIN('MP Calculations'!$E$29/I98,1),"-")</f>
        <v>-</v>
      </c>
      <c r="K98" s="12"/>
      <c r="L98" s="161"/>
      <c r="M98" s="161"/>
      <c r="N98" s="161"/>
      <c r="O98" s="180" t="str">
        <f t="shared" si="4"/>
        <v>-</v>
      </c>
      <c r="P98" s="181" t="str">
        <f t="shared" si="5"/>
        <v>-</v>
      </c>
    </row>
    <row r="99" spans="3:16" x14ac:dyDescent="0.25">
      <c r="C99" s="161"/>
      <c r="D99" s="175"/>
      <c r="E99" s="164"/>
      <c r="F99" s="191" t="str">
        <f t="shared" si="3"/>
        <v>-</v>
      </c>
      <c r="G99" s="69"/>
      <c r="H99" s="177"/>
      <c r="I99" s="161"/>
      <c r="J99" s="178" t="str">
        <f>IFERROR(MIN('MP Calculations'!$E$29/I99,1),"-")</f>
        <v>-</v>
      </c>
      <c r="K99" s="12"/>
      <c r="L99" s="161"/>
      <c r="M99" s="161"/>
      <c r="N99" s="161"/>
      <c r="O99" s="180" t="str">
        <f t="shared" si="4"/>
        <v>-</v>
      </c>
      <c r="P99" s="181" t="str">
        <f t="shared" si="5"/>
        <v>-</v>
      </c>
    </row>
    <row r="100" spans="3:16" x14ac:dyDescent="0.25">
      <c r="C100" s="161"/>
      <c r="D100" s="175"/>
      <c r="E100" s="164"/>
      <c r="F100" s="191" t="str">
        <f t="shared" si="3"/>
        <v>-</v>
      </c>
      <c r="G100" s="69"/>
      <c r="H100" s="177"/>
      <c r="I100" s="161"/>
      <c r="J100" s="178" t="str">
        <f>IFERROR(MIN('MP Calculations'!$E$29/I100,1),"-")</f>
        <v>-</v>
      </c>
      <c r="K100" s="12"/>
      <c r="L100" s="161"/>
      <c r="M100" s="161"/>
      <c r="N100" s="161"/>
      <c r="O100" s="180" t="str">
        <f t="shared" si="4"/>
        <v>-</v>
      </c>
      <c r="P100" s="181" t="str">
        <f t="shared" si="5"/>
        <v>-</v>
      </c>
    </row>
    <row r="101" spans="3:16" x14ac:dyDescent="0.25">
      <c r="C101" s="161"/>
      <c r="D101" s="175"/>
      <c r="E101" s="164"/>
      <c r="F101" s="191" t="str">
        <f t="shared" si="3"/>
        <v>-</v>
      </c>
      <c r="G101" s="69"/>
      <c r="H101" s="177"/>
      <c r="I101" s="161"/>
      <c r="J101" s="178" t="str">
        <f>IFERROR(MIN('MP Calculations'!$E$29/I101,1),"-")</f>
        <v>-</v>
      </c>
      <c r="K101" s="12"/>
      <c r="L101" s="161"/>
      <c r="M101" s="161"/>
      <c r="N101" s="161"/>
      <c r="O101" s="180" t="str">
        <f t="shared" si="4"/>
        <v>-</v>
      </c>
      <c r="P101" s="181" t="str">
        <f t="shared" si="5"/>
        <v>-</v>
      </c>
    </row>
    <row r="102" spans="3:16" x14ac:dyDescent="0.25">
      <c r="C102" s="161"/>
      <c r="D102" s="175"/>
      <c r="E102" s="164"/>
      <c r="F102" s="191" t="str">
        <f t="shared" si="3"/>
        <v>-</v>
      </c>
      <c r="G102" s="69"/>
      <c r="H102" s="177"/>
      <c r="I102" s="161"/>
      <c r="J102" s="178" t="str">
        <f>IFERROR(MIN('MP Calculations'!$E$29/I102,1),"-")</f>
        <v>-</v>
      </c>
      <c r="K102" s="12"/>
      <c r="L102" s="161"/>
      <c r="M102" s="161"/>
      <c r="N102" s="161"/>
      <c r="O102" s="180" t="str">
        <f t="shared" si="4"/>
        <v>-</v>
      </c>
      <c r="P102" s="181" t="str">
        <f t="shared" si="5"/>
        <v>-</v>
      </c>
    </row>
    <row r="103" spans="3:16" x14ac:dyDescent="0.25">
      <c r="C103" s="161"/>
      <c r="D103" s="175"/>
      <c r="E103" s="164"/>
      <c r="F103" s="191" t="str">
        <f t="shared" si="3"/>
        <v>-</v>
      </c>
      <c r="G103" s="69"/>
      <c r="H103" s="177"/>
      <c r="I103" s="161"/>
      <c r="J103" s="178" t="str">
        <f>IFERROR(MIN('MP Calculations'!$E$29/I103,1),"-")</f>
        <v>-</v>
      </c>
      <c r="K103" s="12"/>
      <c r="L103" s="161"/>
      <c r="M103" s="161"/>
      <c r="N103" s="161"/>
      <c r="O103" s="180" t="str">
        <f t="shared" si="4"/>
        <v>-</v>
      </c>
      <c r="P103" s="181" t="str">
        <f t="shared" si="5"/>
        <v>-</v>
      </c>
    </row>
    <row r="104" spans="3:16" x14ac:dyDescent="0.25">
      <c r="C104" s="161"/>
      <c r="D104" s="175"/>
      <c r="E104" s="164"/>
      <c r="F104" s="191" t="str">
        <f t="shared" si="3"/>
        <v>-</v>
      </c>
      <c r="G104" s="69"/>
      <c r="H104" s="177"/>
      <c r="I104" s="161"/>
      <c r="J104" s="178" t="str">
        <f>IFERROR(MIN('MP Calculations'!$E$29/I104,1),"-")</f>
        <v>-</v>
      </c>
      <c r="K104" s="12"/>
      <c r="L104" s="161"/>
      <c r="M104" s="161"/>
      <c r="N104" s="161"/>
      <c r="O104" s="180" t="str">
        <f t="shared" si="4"/>
        <v>-</v>
      </c>
      <c r="P104" s="181" t="str">
        <f t="shared" si="5"/>
        <v>-</v>
      </c>
    </row>
    <row r="105" spans="3:16" x14ac:dyDescent="0.25">
      <c r="C105" s="161"/>
      <c r="D105" s="175"/>
      <c r="E105" s="164"/>
      <c r="F105" s="191" t="str">
        <f t="shared" si="3"/>
        <v>-</v>
      </c>
      <c r="G105" s="69"/>
      <c r="H105" s="177"/>
      <c r="I105" s="161"/>
      <c r="J105" s="178" t="str">
        <f>IFERROR(MIN('MP Calculations'!$E$29/I105,1),"-")</f>
        <v>-</v>
      </c>
      <c r="K105" s="12"/>
      <c r="L105" s="161"/>
      <c r="M105" s="161"/>
      <c r="N105" s="161"/>
      <c r="O105" s="180" t="str">
        <f t="shared" si="4"/>
        <v>-</v>
      </c>
      <c r="P105" s="181" t="str">
        <f t="shared" si="5"/>
        <v>-</v>
      </c>
    </row>
    <row r="106" spans="3:16" x14ac:dyDescent="0.25">
      <c r="C106" s="161"/>
      <c r="D106" s="175"/>
      <c r="E106" s="164"/>
      <c r="F106" s="191" t="str">
        <f t="shared" si="3"/>
        <v>-</v>
      </c>
      <c r="G106" s="69"/>
      <c r="H106" s="177"/>
      <c r="I106" s="161"/>
      <c r="J106" s="178" t="str">
        <f>IFERROR(MIN('MP Calculations'!$E$29/I106,1),"-")</f>
        <v>-</v>
      </c>
      <c r="K106" s="12"/>
      <c r="L106" s="161"/>
      <c r="M106" s="161"/>
      <c r="N106" s="161"/>
      <c r="O106" s="180" t="str">
        <f t="shared" si="4"/>
        <v>-</v>
      </c>
      <c r="P106" s="181" t="str">
        <f t="shared" si="5"/>
        <v>-</v>
      </c>
    </row>
    <row r="107" spans="3:16" x14ac:dyDescent="0.25">
      <c r="C107" s="161"/>
      <c r="D107" s="175"/>
      <c r="E107" s="164"/>
      <c r="F107" s="191" t="str">
        <f t="shared" si="3"/>
        <v>-</v>
      </c>
      <c r="G107" s="69"/>
      <c r="H107" s="177"/>
      <c r="I107" s="161"/>
      <c r="J107" s="178" t="str">
        <f>IFERROR(MIN('MP Calculations'!$E$29/I107,1),"-")</f>
        <v>-</v>
      </c>
      <c r="K107" s="12"/>
      <c r="L107" s="161"/>
      <c r="M107" s="161"/>
      <c r="N107" s="161"/>
      <c r="O107" s="180" t="str">
        <f t="shared" si="4"/>
        <v>-</v>
      </c>
      <c r="P107" s="181" t="str">
        <f t="shared" si="5"/>
        <v>-</v>
      </c>
    </row>
    <row r="108" spans="3:16" x14ac:dyDescent="0.25">
      <c r="C108" s="161"/>
      <c r="D108" s="175"/>
      <c r="E108" s="164"/>
      <c r="F108" s="191" t="str">
        <f t="shared" si="3"/>
        <v>-</v>
      </c>
      <c r="G108" s="69"/>
      <c r="H108" s="177"/>
      <c r="I108" s="161"/>
      <c r="J108" s="178" t="str">
        <f>IFERROR(MIN('MP Calculations'!$E$29/I108,1),"-")</f>
        <v>-</v>
      </c>
      <c r="K108" s="12"/>
      <c r="L108" s="161"/>
      <c r="M108" s="161"/>
      <c r="N108" s="161"/>
      <c r="O108" s="180" t="str">
        <f t="shared" si="4"/>
        <v>-</v>
      </c>
      <c r="P108" s="181" t="str">
        <f t="shared" si="5"/>
        <v>-</v>
      </c>
    </row>
    <row r="109" spans="3:16" x14ac:dyDescent="0.25">
      <c r="C109" s="161"/>
      <c r="D109" s="175"/>
      <c r="E109" s="164"/>
      <c r="F109" s="191" t="str">
        <f t="shared" si="3"/>
        <v>-</v>
      </c>
      <c r="G109" s="69"/>
      <c r="H109" s="177"/>
      <c r="I109" s="161"/>
      <c r="J109" s="178" t="str">
        <f>IFERROR(MIN('MP Calculations'!$E$29/I109,1),"-")</f>
        <v>-</v>
      </c>
      <c r="K109" s="12"/>
      <c r="L109" s="161"/>
      <c r="M109" s="161"/>
      <c r="N109" s="161"/>
      <c r="O109" s="180" t="str">
        <f t="shared" si="4"/>
        <v>-</v>
      </c>
      <c r="P109" s="181" t="str">
        <f t="shared" si="5"/>
        <v>-</v>
      </c>
    </row>
    <row r="110" spans="3:16" x14ac:dyDescent="0.25">
      <c r="C110" s="161"/>
      <c r="D110" s="175"/>
      <c r="E110" s="164"/>
      <c r="F110" s="191" t="str">
        <f t="shared" si="3"/>
        <v>-</v>
      </c>
      <c r="G110" s="69"/>
      <c r="H110" s="177"/>
      <c r="I110" s="161"/>
      <c r="J110" s="178" t="str">
        <f>IFERROR(MIN('MP Calculations'!$E$29/I110,1),"-")</f>
        <v>-</v>
      </c>
      <c r="K110" s="12"/>
      <c r="L110" s="161"/>
      <c r="M110" s="161"/>
      <c r="N110" s="161"/>
      <c r="O110" s="180" t="str">
        <f t="shared" si="4"/>
        <v>-</v>
      </c>
      <c r="P110" s="181" t="str">
        <f t="shared" si="5"/>
        <v>-</v>
      </c>
    </row>
    <row r="111" spans="3:16" x14ac:dyDescent="0.25">
      <c r="C111" s="161"/>
      <c r="D111" s="175"/>
      <c r="E111" s="164"/>
      <c r="F111" s="191" t="str">
        <f t="shared" si="3"/>
        <v>-</v>
      </c>
      <c r="G111" s="69"/>
      <c r="H111" s="177"/>
      <c r="I111" s="161"/>
      <c r="J111" s="178" t="str">
        <f>IFERROR(MIN('MP Calculations'!$E$29/I111,1),"-")</f>
        <v>-</v>
      </c>
      <c r="K111" s="12"/>
      <c r="L111" s="161"/>
      <c r="M111" s="161"/>
      <c r="N111" s="161"/>
      <c r="O111" s="180" t="str">
        <f t="shared" si="4"/>
        <v>-</v>
      </c>
      <c r="P111" s="181" t="str">
        <f t="shared" si="5"/>
        <v>-</v>
      </c>
    </row>
    <row r="112" spans="3:16" x14ac:dyDescent="0.25">
      <c r="C112" s="161"/>
      <c r="D112" s="175"/>
      <c r="E112" s="164"/>
      <c r="F112" s="191" t="str">
        <f t="shared" si="3"/>
        <v>-</v>
      </c>
      <c r="G112" s="69"/>
      <c r="H112" s="177"/>
      <c r="I112" s="161"/>
      <c r="J112" s="178" t="str">
        <f>IFERROR(MIN('MP Calculations'!$E$29/I112,1),"-")</f>
        <v>-</v>
      </c>
      <c r="K112" s="12"/>
      <c r="L112" s="161"/>
      <c r="M112" s="161"/>
      <c r="N112" s="161"/>
      <c r="O112" s="180" t="str">
        <f t="shared" si="4"/>
        <v>-</v>
      </c>
      <c r="P112" s="181" t="str">
        <f t="shared" si="5"/>
        <v>-</v>
      </c>
    </row>
    <row r="113" spans="3:16" x14ac:dyDescent="0.25">
      <c r="C113" s="161"/>
      <c r="D113" s="175"/>
      <c r="E113" s="164"/>
      <c r="F113" s="191" t="str">
        <f t="shared" si="3"/>
        <v>-</v>
      </c>
      <c r="G113" s="69"/>
      <c r="H113" s="177"/>
      <c r="I113" s="161"/>
      <c r="J113" s="178" t="str">
        <f>IFERROR(MIN('MP Calculations'!$E$29/I113,1),"-")</f>
        <v>-</v>
      </c>
      <c r="K113" s="12"/>
      <c r="L113" s="161"/>
      <c r="M113" s="161"/>
      <c r="N113" s="161"/>
      <c r="O113" s="180" t="str">
        <f t="shared" si="4"/>
        <v>-</v>
      </c>
      <c r="P113" s="181" t="str">
        <f t="shared" si="5"/>
        <v>-</v>
      </c>
    </row>
    <row r="114" spans="3:16" x14ac:dyDescent="0.25">
      <c r="C114" s="161"/>
      <c r="D114" s="175"/>
      <c r="E114" s="164"/>
      <c r="F114" s="191" t="str">
        <f t="shared" si="3"/>
        <v>-</v>
      </c>
      <c r="G114" s="69"/>
      <c r="H114" s="177"/>
      <c r="I114" s="161"/>
      <c r="J114" s="178" t="str">
        <f>IFERROR(MIN('MP Calculations'!$E$29/I114,1),"-")</f>
        <v>-</v>
      </c>
      <c r="K114" s="12"/>
      <c r="L114" s="161"/>
      <c r="M114" s="161"/>
      <c r="N114" s="161"/>
      <c r="O114" s="180" t="str">
        <f t="shared" si="4"/>
        <v>-</v>
      </c>
      <c r="P114" s="181" t="str">
        <f t="shared" si="5"/>
        <v>-</v>
      </c>
    </row>
    <row r="115" spans="3:16" x14ac:dyDescent="0.25">
      <c r="C115" s="161"/>
      <c r="D115" s="175"/>
      <c r="E115" s="164"/>
      <c r="F115" s="191" t="str">
        <f t="shared" si="3"/>
        <v>-</v>
      </c>
      <c r="G115" s="69"/>
      <c r="H115" s="177"/>
      <c r="I115" s="161"/>
      <c r="J115" s="178" t="str">
        <f>IFERROR(MIN('MP Calculations'!$E$29/I115,1),"-")</f>
        <v>-</v>
      </c>
      <c r="K115" s="12"/>
      <c r="L115" s="161"/>
      <c r="M115" s="161"/>
      <c r="N115" s="161"/>
      <c r="O115" s="180" t="str">
        <f t="shared" si="4"/>
        <v>-</v>
      </c>
      <c r="P115" s="181" t="str">
        <f t="shared" si="5"/>
        <v>-</v>
      </c>
    </row>
    <row r="116" spans="3:16" x14ac:dyDescent="0.25">
      <c r="C116" s="161"/>
      <c r="D116" s="175"/>
      <c r="E116" s="164"/>
      <c r="F116" s="191" t="str">
        <f t="shared" si="3"/>
        <v>-</v>
      </c>
      <c r="G116" s="69"/>
      <c r="H116" s="177"/>
      <c r="I116" s="161"/>
      <c r="J116" s="178" t="str">
        <f>IFERROR(MIN('MP Calculations'!$E$29/I116,1),"-")</f>
        <v>-</v>
      </c>
      <c r="K116" s="12"/>
      <c r="L116" s="161"/>
      <c r="M116" s="161"/>
      <c r="N116" s="161"/>
      <c r="O116" s="180" t="str">
        <f t="shared" si="4"/>
        <v>-</v>
      </c>
      <c r="P116" s="181" t="str">
        <f t="shared" si="5"/>
        <v>-</v>
      </c>
    </row>
    <row r="117" spans="3:16" x14ac:dyDescent="0.25">
      <c r="C117" s="161"/>
      <c r="D117" s="175"/>
      <c r="E117" s="164"/>
      <c r="F117" s="191" t="str">
        <f t="shared" si="3"/>
        <v>-</v>
      </c>
      <c r="G117" s="69"/>
      <c r="H117" s="177"/>
      <c r="I117" s="161"/>
      <c r="J117" s="178" t="str">
        <f>IFERROR(MIN('MP Calculations'!$E$29/I117,1),"-")</f>
        <v>-</v>
      </c>
      <c r="K117" s="12"/>
      <c r="L117" s="161"/>
      <c r="M117" s="161"/>
      <c r="N117" s="161"/>
      <c r="O117" s="180" t="str">
        <f t="shared" si="4"/>
        <v>-</v>
      </c>
      <c r="P117" s="181" t="str">
        <f t="shared" si="5"/>
        <v>-</v>
      </c>
    </row>
    <row r="118" spans="3:16" x14ac:dyDescent="0.25">
      <c r="C118" s="161"/>
      <c r="D118" s="175"/>
      <c r="E118" s="164"/>
      <c r="F118" s="191" t="str">
        <f t="shared" si="3"/>
        <v>-</v>
      </c>
      <c r="G118" s="69"/>
      <c r="H118" s="177"/>
      <c r="I118" s="161"/>
      <c r="J118" s="178" t="str">
        <f>IFERROR(MIN('MP Calculations'!$E$29/I118,1),"-")</f>
        <v>-</v>
      </c>
      <c r="K118" s="12"/>
      <c r="L118" s="161"/>
      <c r="M118" s="161"/>
      <c r="N118" s="161"/>
      <c r="O118" s="180" t="str">
        <f t="shared" si="4"/>
        <v>-</v>
      </c>
      <c r="P118" s="181" t="str">
        <f t="shared" si="5"/>
        <v>-</v>
      </c>
    </row>
    <row r="119" spans="3:16" x14ac:dyDescent="0.25">
      <c r="C119" s="161"/>
      <c r="D119" s="175"/>
      <c r="E119" s="164"/>
      <c r="F119" s="191" t="str">
        <f t="shared" si="3"/>
        <v>-</v>
      </c>
      <c r="G119" s="69"/>
      <c r="H119" s="177"/>
      <c r="I119" s="161"/>
      <c r="J119" s="178" t="str">
        <f>IFERROR(MIN('MP Calculations'!$E$29/I119,1),"-")</f>
        <v>-</v>
      </c>
      <c r="K119" s="12"/>
      <c r="L119" s="161"/>
      <c r="M119" s="161"/>
      <c r="N119" s="161"/>
      <c r="O119" s="180" t="str">
        <f t="shared" si="4"/>
        <v>-</v>
      </c>
      <c r="P119" s="181" t="str">
        <f t="shared" si="5"/>
        <v>-</v>
      </c>
    </row>
    <row r="120" spans="3:16" x14ac:dyDescent="0.25">
      <c r="C120" s="161"/>
      <c r="D120" s="175"/>
      <c r="E120" s="164"/>
      <c r="F120" s="191" t="str">
        <f t="shared" ref="F120:F183" si="6">IF(E120="","-",IF(OR(E120&lt;$E$15,E120&gt;$E$16),"ERROR - date outside of range",IF(MONTH(E120)&gt;=7,YEAR(E120)&amp;"-"&amp;IF(YEAR(E120)=1999,"00",IF(AND(YEAR(E120)&gt;=2000,YEAR(E120)&lt;2009),"0","")&amp;RIGHT(YEAR(E120),2)+1),RIGHT(YEAR(E120),4)-1&amp;"-"&amp;RIGHT(YEAR(E120),2))))</f>
        <v>-</v>
      </c>
      <c r="G120" s="69"/>
      <c r="H120" s="177"/>
      <c r="I120" s="161"/>
      <c r="J120" s="178" t="str">
        <f>IFERROR(MIN('MP Calculations'!$E$29/I120,1),"-")</f>
        <v>-</v>
      </c>
      <c r="K120" s="12"/>
      <c r="L120" s="161"/>
      <c r="M120" s="161"/>
      <c r="N120" s="161"/>
      <c r="O120" s="180" t="str">
        <f t="shared" si="4"/>
        <v>-</v>
      </c>
      <c r="P120" s="181" t="str">
        <f t="shared" ref="P120:P183" si="7">IF(O120="-","-",IF(OR(E120&lt;$E$15,E120&gt;$E$16),0,O120*J120))</f>
        <v>-</v>
      </c>
    </row>
    <row r="121" spans="3:16" x14ac:dyDescent="0.25">
      <c r="C121" s="161"/>
      <c r="D121" s="175"/>
      <c r="E121" s="164"/>
      <c r="F121" s="191" t="str">
        <f t="shared" si="6"/>
        <v>-</v>
      </c>
      <c r="G121" s="69"/>
      <c r="H121" s="177"/>
      <c r="I121" s="161"/>
      <c r="J121" s="178" t="str">
        <f>IFERROR(MIN('MP Calculations'!$E$29/I121,1),"-")</f>
        <v>-</v>
      </c>
      <c r="K121" s="12"/>
      <c r="L121" s="161"/>
      <c r="M121" s="161"/>
      <c r="N121" s="161"/>
      <c r="O121" s="180" t="str">
        <f t="shared" si="4"/>
        <v>-</v>
      </c>
      <c r="P121" s="181" t="str">
        <f t="shared" si="7"/>
        <v>-</v>
      </c>
    </row>
    <row r="122" spans="3:16" x14ac:dyDescent="0.25">
      <c r="C122" s="161"/>
      <c r="D122" s="175"/>
      <c r="E122" s="164"/>
      <c r="F122" s="191" t="str">
        <f t="shared" si="6"/>
        <v>-</v>
      </c>
      <c r="G122" s="69"/>
      <c r="H122" s="177"/>
      <c r="I122" s="161"/>
      <c r="J122" s="178" t="str">
        <f>IFERROR(MIN('MP Calculations'!$E$29/I122,1),"-")</f>
        <v>-</v>
      </c>
      <c r="K122" s="12"/>
      <c r="L122" s="161"/>
      <c r="M122" s="161"/>
      <c r="N122" s="161"/>
      <c r="O122" s="180" t="str">
        <f t="shared" si="4"/>
        <v>-</v>
      </c>
      <c r="P122" s="181" t="str">
        <f t="shared" si="7"/>
        <v>-</v>
      </c>
    </row>
    <row r="123" spans="3:16" x14ac:dyDescent="0.25">
      <c r="C123" s="161"/>
      <c r="D123" s="175"/>
      <c r="E123" s="164"/>
      <c r="F123" s="191" t="str">
        <f t="shared" si="6"/>
        <v>-</v>
      </c>
      <c r="G123" s="69"/>
      <c r="H123" s="177"/>
      <c r="I123" s="161"/>
      <c r="J123" s="178" t="str">
        <f>IFERROR(MIN('MP Calculations'!$E$29/I123,1),"-")</f>
        <v>-</v>
      </c>
      <c r="K123" s="12"/>
      <c r="L123" s="161"/>
      <c r="M123" s="161"/>
      <c r="N123" s="161"/>
      <c r="O123" s="180" t="str">
        <f t="shared" si="4"/>
        <v>-</v>
      </c>
      <c r="P123" s="181" t="str">
        <f t="shared" si="7"/>
        <v>-</v>
      </c>
    </row>
    <row r="124" spans="3:16" x14ac:dyDescent="0.25">
      <c r="C124" s="161"/>
      <c r="D124" s="175"/>
      <c r="E124" s="164"/>
      <c r="F124" s="191" t="str">
        <f t="shared" si="6"/>
        <v>-</v>
      </c>
      <c r="G124" s="69"/>
      <c r="H124" s="177"/>
      <c r="I124" s="161"/>
      <c r="J124" s="178" t="str">
        <f>IFERROR(MIN('MP Calculations'!$E$29/I124,1),"-")</f>
        <v>-</v>
      </c>
      <c r="K124" s="12"/>
      <c r="L124" s="161"/>
      <c r="M124" s="161"/>
      <c r="N124" s="161"/>
      <c r="O124" s="180" t="str">
        <f t="shared" si="4"/>
        <v>-</v>
      </c>
      <c r="P124" s="181" t="str">
        <f t="shared" si="7"/>
        <v>-</v>
      </c>
    </row>
    <row r="125" spans="3:16" x14ac:dyDescent="0.25">
      <c r="C125" s="161"/>
      <c r="D125" s="175"/>
      <c r="E125" s="164"/>
      <c r="F125" s="191" t="str">
        <f t="shared" si="6"/>
        <v>-</v>
      </c>
      <c r="G125" s="69"/>
      <c r="H125" s="177"/>
      <c r="I125" s="161"/>
      <c r="J125" s="178" t="str">
        <f>IFERROR(MIN('MP Calculations'!$E$29/I125,1),"-")</f>
        <v>-</v>
      </c>
      <c r="K125" s="12"/>
      <c r="L125" s="161"/>
      <c r="M125" s="161"/>
      <c r="N125" s="161"/>
      <c r="O125" s="180" t="str">
        <f t="shared" si="4"/>
        <v>-</v>
      </c>
      <c r="P125" s="181" t="str">
        <f t="shared" si="7"/>
        <v>-</v>
      </c>
    </row>
    <row r="126" spans="3:16" x14ac:dyDescent="0.25">
      <c r="C126" s="161"/>
      <c r="D126" s="175"/>
      <c r="E126" s="164"/>
      <c r="F126" s="191" t="str">
        <f t="shared" si="6"/>
        <v>-</v>
      </c>
      <c r="G126" s="69"/>
      <c r="H126" s="177"/>
      <c r="I126" s="161"/>
      <c r="J126" s="178" t="str">
        <f>IFERROR(MIN('MP Calculations'!$E$29/I126,1),"-")</f>
        <v>-</v>
      </c>
      <c r="K126" s="12"/>
      <c r="L126" s="161"/>
      <c r="M126" s="161"/>
      <c r="N126" s="161"/>
      <c r="O126" s="180" t="str">
        <f t="shared" si="4"/>
        <v>-</v>
      </c>
      <c r="P126" s="181" t="str">
        <f t="shared" si="7"/>
        <v>-</v>
      </c>
    </row>
    <row r="127" spans="3:16" x14ac:dyDescent="0.25">
      <c r="C127" s="161"/>
      <c r="D127" s="175"/>
      <c r="E127" s="164"/>
      <c r="F127" s="191" t="str">
        <f t="shared" si="6"/>
        <v>-</v>
      </c>
      <c r="G127" s="69"/>
      <c r="H127" s="177"/>
      <c r="I127" s="161"/>
      <c r="J127" s="178" t="str">
        <f>IFERROR(MIN('MP Calculations'!$E$29/I127,1),"-")</f>
        <v>-</v>
      </c>
      <c r="K127" s="12"/>
      <c r="L127" s="161"/>
      <c r="M127" s="161"/>
      <c r="N127" s="161"/>
      <c r="O127" s="180" t="str">
        <f t="shared" si="4"/>
        <v>-</v>
      </c>
      <c r="P127" s="181" t="str">
        <f t="shared" si="7"/>
        <v>-</v>
      </c>
    </row>
    <row r="128" spans="3:16" x14ac:dyDescent="0.25">
      <c r="C128" s="161"/>
      <c r="D128" s="175"/>
      <c r="E128" s="164"/>
      <c r="F128" s="191" t="str">
        <f t="shared" si="6"/>
        <v>-</v>
      </c>
      <c r="G128" s="69"/>
      <c r="H128" s="177"/>
      <c r="I128" s="161"/>
      <c r="J128" s="178" t="str">
        <f>IFERROR(MIN('MP Calculations'!$E$29/I128,1),"-")</f>
        <v>-</v>
      </c>
      <c r="K128" s="12"/>
      <c r="L128" s="161"/>
      <c r="M128" s="161"/>
      <c r="N128" s="161"/>
      <c r="O128" s="180" t="str">
        <f t="shared" si="4"/>
        <v>-</v>
      </c>
      <c r="P128" s="181" t="str">
        <f t="shared" si="7"/>
        <v>-</v>
      </c>
    </row>
    <row r="129" spans="3:16" x14ac:dyDescent="0.25">
      <c r="C129" s="161"/>
      <c r="D129" s="175"/>
      <c r="E129" s="164"/>
      <c r="F129" s="191" t="str">
        <f t="shared" si="6"/>
        <v>-</v>
      </c>
      <c r="G129" s="69"/>
      <c r="H129" s="177"/>
      <c r="I129" s="161"/>
      <c r="J129" s="178" t="str">
        <f>IFERROR(MIN('MP Calculations'!$E$29/I129,1),"-")</f>
        <v>-</v>
      </c>
      <c r="K129" s="12"/>
      <c r="L129" s="161"/>
      <c r="M129" s="161"/>
      <c r="N129" s="161"/>
      <c r="O129" s="180" t="str">
        <f t="shared" si="4"/>
        <v>-</v>
      </c>
      <c r="P129" s="181" t="str">
        <f t="shared" si="7"/>
        <v>-</v>
      </c>
    </row>
    <row r="130" spans="3:16" x14ac:dyDescent="0.25">
      <c r="C130" s="161"/>
      <c r="D130" s="175"/>
      <c r="E130" s="164"/>
      <c r="F130" s="191" t="str">
        <f t="shared" si="6"/>
        <v>-</v>
      </c>
      <c r="G130" s="69"/>
      <c r="H130" s="177"/>
      <c r="I130" s="161"/>
      <c r="J130" s="178" t="str">
        <f>IFERROR(MIN('MP Calculations'!$E$29/I130,1),"-")</f>
        <v>-</v>
      </c>
      <c r="K130" s="12"/>
      <c r="L130" s="161"/>
      <c r="M130" s="161"/>
      <c r="N130" s="161"/>
      <c r="O130" s="180" t="str">
        <f t="shared" si="4"/>
        <v>-</v>
      </c>
      <c r="P130" s="181" t="str">
        <f t="shared" si="7"/>
        <v>-</v>
      </c>
    </row>
    <row r="131" spans="3:16" x14ac:dyDescent="0.25">
      <c r="C131" s="161"/>
      <c r="D131" s="175"/>
      <c r="E131" s="164"/>
      <c r="F131" s="191" t="str">
        <f t="shared" si="6"/>
        <v>-</v>
      </c>
      <c r="G131" s="69"/>
      <c r="H131" s="177"/>
      <c r="I131" s="161"/>
      <c r="J131" s="178" t="str">
        <f>IFERROR(MIN('MP Calculations'!$E$29/I131,1),"-")</f>
        <v>-</v>
      </c>
      <c r="K131" s="12"/>
      <c r="L131" s="161"/>
      <c r="M131" s="161"/>
      <c r="N131" s="161"/>
      <c r="O131" s="180" t="str">
        <f t="shared" si="4"/>
        <v>-</v>
      </c>
      <c r="P131" s="181" t="str">
        <f t="shared" si="7"/>
        <v>-</v>
      </c>
    </row>
    <row r="132" spans="3:16" x14ac:dyDescent="0.25">
      <c r="C132" s="161"/>
      <c r="D132" s="175"/>
      <c r="E132" s="164"/>
      <c r="F132" s="191" t="str">
        <f t="shared" si="6"/>
        <v>-</v>
      </c>
      <c r="G132" s="69"/>
      <c r="H132" s="177"/>
      <c r="I132" s="161"/>
      <c r="J132" s="178" t="str">
        <f>IFERROR(MIN('MP Calculations'!$E$29/I132,1),"-")</f>
        <v>-</v>
      </c>
      <c r="K132" s="12"/>
      <c r="L132" s="161"/>
      <c r="M132" s="161"/>
      <c r="N132" s="161"/>
      <c r="O132" s="180" t="str">
        <f t="shared" si="4"/>
        <v>-</v>
      </c>
      <c r="P132" s="181" t="str">
        <f t="shared" si="7"/>
        <v>-</v>
      </c>
    </row>
    <row r="133" spans="3:16" x14ac:dyDescent="0.25">
      <c r="C133" s="161"/>
      <c r="D133" s="175"/>
      <c r="E133" s="164"/>
      <c r="F133" s="191" t="str">
        <f t="shared" si="6"/>
        <v>-</v>
      </c>
      <c r="G133" s="69"/>
      <c r="H133" s="177"/>
      <c r="I133" s="161"/>
      <c r="J133" s="178" t="str">
        <f>IFERROR(MIN('MP Calculations'!$E$29/I133,1),"-")</f>
        <v>-</v>
      </c>
      <c r="K133" s="12"/>
      <c r="L133" s="161"/>
      <c r="M133" s="161"/>
      <c r="N133" s="161"/>
      <c r="O133" s="180" t="str">
        <f t="shared" si="4"/>
        <v>-</v>
      </c>
      <c r="P133" s="181" t="str">
        <f t="shared" si="7"/>
        <v>-</v>
      </c>
    </row>
    <row r="134" spans="3:16" x14ac:dyDescent="0.25">
      <c r="C134" s="161"/>
      <c r="D134" s="175"/>
      <c r="E134" s="164"/>
      <c r="F134" s="191" t="str">
        <f t="shared" si="6"/>
        <v>-</v>
      </c>
      <c r="G134" s="69"/>
      <c r="H134" s="177"/>
      <c r="I134" s="161"/>
      <c r="J134" s="178" t="str">
        <f>IFERROR(MIN('MP Calculations'!$E$29/I134,1),"-")</f>
        <v>-</v>
      </c>
      <c r="K134" s="12"/>
      <c r="L134" s="161"/>
      <c r="M134" s="161"/>
      <c r="N134" s="161"/>
      <c r="O134" s="180" t="str">
        <f t="shared" si="4"/>
        <v>-</v>
      </c>
      <c r="P134" s="181" t="str">
        <f t="shared" si="7"/>
        <v>-</v>
      </c>
    </row>
    <row r="135" spans="3:16" x14ac:dyDescent="0.25">
      <c r="C135" s="161"/>
      <c r="D135" s="175"/>
      <c r="E135" s="164"/>
      <c r="F135" s="191" t="str">
        <f t="shared" si="6"/>
        <v>-</v>
      </c>
      <c r="G135" s="69"/>
      <c r="H135" s="177"/>
      <c r="I135" s="161"/>
      <c r="J135" s="178" t="str">
        <f>IFERROR(MIN('MP Calculations'!$E$29/I135,1),"-")</f>
        <v>-</v>
      </c>
      <c r="K135" s="12"/>
      <c r="L135" s="161"/>
      <c r="M135" s="161"/>
      <c r="N135" s="161"/>
      <c r="O135" s="180" t="str">
        <f t="shared" si="4"/>
        <v>-</v>
      </c>
      <c r="P135" s="181" t="str">
        <f t="shared" si="7"/>
        <v>-</v>
      </c>
    </row>
    <row r="136" spans="3:16" x14ac:dyDescent="0.25">
      <c r="C136" s="161"/>
      <c r="D136" s="175"/>
      <c r="E136" s="164"/>
      <c r="F136" s="191" t="str">
        <f t="shared" si="6"/>
        <v>-</v>
      </c>
      <c r="G136" s="69"/>
      <c r="H136" s="177"/>
      <c r="I136" s="161"/>
      <c r="J136" s="178" t="str">
        <f>IFERROR(MIN('MP Calculations'!$E$29/I136,1),"-")</f>
        <v>-</v>
      </c>
      <c r="K136" s="12"/>
      <c r="L136" s="161"/>
      <c r="M136" s="161"/>
      <c r="N136" s="161"/>
      <c r="O136" s="180" t="str">
        <f t="shared" si="4"/>
        <v>-</v>
      </c>
      <c r="P136" s="181" t="str">
        <f t="shared" si="7"/>
        <v>-</v>
      </c>
    </row>
    <row r="137" spans="3:16" x14ac:dyDescent="0.25">
      <c r="C137" s="161"/>
      <c r="D137" s="175"/>
      <c r="E137" s="164"/>
      <c r="F137" s="191" t="str">
        <f t="shared" si="6"/>
        <v>-</v>
      </c>
      <c r="G137" s="69"/>
      <c r="H137" s="177"/>
      <c r="I137" s="161"/>
      <c r="J137" s="178" t="str">
        <f>IFERROR(MIN('MP Calculations'!$E$29/I137,1),"-")</f>
        <v>-</v>
      </c>
      <c r="K137" s="12"/>
      <c r="L137" s="161"/>
      <c r="M137" s="161"/>
      <c r="N137" s="161"/>
      <c r="O137" s="180" t="str">
        <f t="shared" si="4"/>
        <v>-</v>
      </c>
      <c r="P137" s="181" t="str">
        <f t="shared" si="7"/>
        <v>-</v>
      </c>
    </row>
    <row r="138" spans="3:16" x14ac:dyDescent="0.25">
      <c r="C138" s="161"/>
      <c r="D138" s="175"/>
      <c r="E138" s="164"/>
      <c r="F138" s="191" t="str">
        <f t="shared" si="6"/>
        <v>-</v>
      </c>
      <c r="G138" s="69"/>
      <c r="H138" s="177"/>
      <c r="I138" s="161"/>
      <c r="J138" s="178" t="str">
        <f>IFERROR(MIN('MP Calculations'!$E$29/I138,1),"-")</f>
        <v>-</v>
      </c>
      <c r="K138" s="12"/>
      <c r="L138" s="161"/>
      <c r="M138" s="161"/>
      <c r="N138" s="161"/>
      <c r="O138" s="180" t="str">
        <f t="shared" si="4"/>
        <v>-</v>
      </c>
      <c r="P138" s="181" t="str">
        <f t="shared" si="7"/>
        <v>-</v>
      </c>
    </row>
    <row r="139" spans="3:16" x14ac:dyDescent="0.25">
      <c r="C139" s="161"/>
      <c r="D139" s="175"/>
      <c r="E139" s="164"/>
      <c r="F139" s="191" t="str">
        <f t="shared" si="6"/>
        <v>-</v>
      </c>
      <c r="G139" s="69"/>
      <c r="H139" s="177"/>
      <c r="I139" s="161"/>
      <c r="J139" s="178" t="str">
        <f>IFERROR(MIN('MP Calculations'!$E$29/I139,1),"-")</f>
        <v>-</v>
      </c>
      <c r="K139" s="12"/>
      <c r="L139" s="161"/>
      <c r="M139" s="161"/>
      <c r="N139" s="161"/>
      <c r="O139" s="180" t="str">
        <f t="shared" si="4"/>
        <v>-</v>
      </c>
      <c r="P139" s="181" t="str">
        <f t="shared" si="7"/>
        <v>-</v>
      </c>
    </row>
    <row r="140" spans="3:16" x14ac:dyDescent="0.25">
      <c r="C140" s="161"/>
      <c r="D140" s="175"/>
      <c r="E140" s="164"/>
      <c r="F140" s="191" t="str">
        <f t="shared" si="6"/>
        <v>-</v>
      </c>
      <c r="G140" s="69"/>
      <c r="H140" s="177"/>
      <c r="I140" s="161"/>
      <c r="J140" s="178" t="str">
        <f>IFERROR(MIN('MP Calculations'!$E$29/I140,1),"-")</f>
        <v>-</v>
      </c>
      <c r="K140" s="12"/>
      <c r="L140" s="161"/>
      <c r="M140" s="161"/>
      <c r="N140" s="161"/>
      <c r="O140" s="180" t="str">
        <f t="shared" si="4"/>
        <v>-</v>
      </c>
      <c r="P140" s="181" t="str">
        <f t="shared" si="7"/>
        <v>-</v>
      </c>
    </row>
    <row r="141" spans="3:16" x14ac:dyDescent="0.25">
      <c r="C141" s="161"/>
      <c r="D141" s="175"/>
      <c r="E141" s="164"/>
      <c r="F141" s="191" t="str">
        <f t="shared" si="6"/>
        <v>-</v>
      </c>
      <c r="G141" s="69"/>
      <c r="H141" s="177"/>
      <c r="I141" s="161"/>
      <c r="J141" s="178" t="str">
        <f>IFERROR(MIN('MP Calculations'!$E$29/I141,1),"-")</f>
        <v>-</v>
      </c>
      <c r="K141" s="12"/>
      <c r="L141" s="161"/>
      <c r="M141" s="161"/>
      <c r="N141" s="161"/>
      <c r="O141" s="180" t="str">
        <f t="shared" si="4"/>
        <v>-</v>
      </c>
      <c r="P141" s="181" t="str">
        <f t="shared" si="7"/>
        <v>-</v>
      </c>
    </row>
    <row r="142" spans="3:16" x14ac:dyDescent="0.25">
      <c r="C142" s="161"/>
      <c r="D142" s="175"/>
      <c r="E142" s="164"/>
      <c r="F142" s="191" t="str">
        <f t="shared" si="6"/>
        <v>-</v>
      </c>
      <c r="G142" s="69"/>
      <c r="H142" s="177"/>
      <c r="I142" s="161"/>
      <c r="J142" s="178" t="str">
        <f>IFERROR(MIN('MP Calculations'!$E$29/I142,1),"-")</f>
        <v>-</v>
      </c>
      <c r="K142" s="12"/>
      <c r="L142" s="161"/>
      <c r="M142" s="161"/>
      <c r="N142" s="161"/>
      <c r="O142" s="180" t="str">
        <f t="shared" si="4"/>
        <v>-</v>
      </c>
      <c r="P142" s="181" t="str">
        <f t="shared" si="7"/>
        <v>-</v>
      </c>
    </row>
    <row r="143" spans="3:16" x14ac:dyDescent="0.25">
      <c r="C143" s="161"/>
      <c r="D143" s="175"/>
      <c r="E143" s="164"/>
      <c r="F143" s="191" t="str">
        <f t="shared" si="6"/>
        <v>-</v>
      </c>
      <c r="G143" s="69"/>
      <c r="H143" s="177"/>
      <c r="I143" s="161"/>
      <c r="J143" s="178" t="str">
        <f>IFERROR(MIN('MP Calculations'!$E$29/I143,1),"-")</f>
        <v>-</v>
      </c>
      <c r="K143" s="12"/>
      <c r="L143" s="161"/>
      <c r="M143" s="161"/>
      <c r="N143" s="161"/>
      <c r="O143" s="180" t="str">
        <f t="shared" si="4"/>
        <v>-</v>
      </c>
      <c r="P143" s="181" t="str">
        <f t="shared" si="7"/>
        <v>-</v>
      </c>
    </row>
    <row r="144" spans="3:16" x14ac:dyDescent="0.25">
      <c r="C144" s="161"/>
      <c r="D144" s="175"/>
      <c r="E144" s="164"/>
      <c r="F144" s="191" t="str">
        <f t="shared" si="6"/>
        <v>-</v>
      </c>
      <c r="G144" s="69"/>
      <c r="H144" s="177"/>
      <c r="I144" s="161"/>
      <c r="J144" s="178" t="str">
        <f>IFERROR(MIN('MP Calculations'!$E$29/I144,1),"-")</f>
        <v>-</v>
      </c>
      <c r="K144" s="12"/>
      <c r="L144" s="161"/>
      <c r="M144" s="161"/>
      <c r="N144" s="161"/>
      <c r="O144" s="180" t="str">
        <f t="shared" si="4"/>
        <v>-</v>
      </c>
      <c r="P144" s="181" t="str">
        <f t="shared" si="7"/>
        <v>-</v>
      </c>
    </row>
    <row r="145" spans="3:16" x14ac:dyDescent="0.25">
      <c r="C145" s="161"/>
      <c r="D145" s="175"/>
      <c r="E145" s="164"/>
      <c r="F145" s="191" t="str">
        <f t="shared" si="6"/>
        <v>-</v>
      </c>
      <c r="G145" s="69"/>
      <c r="H145" s="177"/>
      <c r="I145" s="161"/>
      <c r="J145" s="178" t="str">
        <f>IFERROR(MIN('MP Calculations'!$E$29/I145,1),"-")</f>
        <v>-</v>
      </c>
      <c r="K145" s="12"/>
      <c r="L145" s="161"/>
      <c r="M145" s="161"/>
      <c r="N145" s="161"/>
      <c r="O145" s="180" t="str">
        <f t="shared" si="4"/>
        <v>-</v>
      </c>
      <c r="P145" s="181" t="str">
        <f t="shared" si="7"/>
        <v>-</v>
      </c>
    </row>
    <row r="146" spans="3:16" x14ac:dyDescent="0.25">
      <c r="C146" s="161"/>
      <c r="D146" s="175"/>
      <c r="E146" s="164"/>
      <c r="F146" s="191" t="str">
        <f t="shared" si="6"/>
        <v>-</v>
      </c>
      <c r="G146" s="69"/>
      <c r="H146" s="177"/>
      <c r="I146" s="161"/>
      <c r="J146" s="178" t="str">
        <f>IFERROR(MIN('MP Calculations'!$E$29/I146,1),"-")</f>
        <v>-</v>
      </c>
      <c r="K146" s="12"/>
      <c r="L146" s="161"/>
      <c r="M146" s="161"/>
      <c r="N146" s="161"/>
      <c r="O146" s="180" t="str">
        <f t="shared" si="4"/>
        <v>-</v>
      </c>
      <c r="P146" s="181" t="str">
        <f t="shared" si="7"/>
        <v>-</v>
      </c>
    </row>
    <row r="147" spans="3:16" x14ac:dyDescent="0.25">
      <c r="C147" s="161"/>
      <c r="D147" s="175"/>
      <c r="E147" s="164"/>
      <c r="F147" s="191" t="str">
        <f t="shared" si="6"/>
        <v>-</v>
      </c>
      <c r="G147" s="69"/>
      <c r="H147" s="177"/>
      <c r="I147" s="161"/>
      <c r="J147" s="178" t="str">
        <f>IFERROR(MIN('MP Calculations'!$E$29/I147,1),"-")</f>
        <v>-</v>
      </c>
      <c r="K147" s="12"/>
      <c r="L147" s="161"/>
      <c r="M147" s="161"/>
      <c r="N147" s="161"/>
      <c r="O147" s="180" t="str">
        <f t="shared" si="4"/>
        <v>-</v>
      </c>
      <c r="P147" s="181" t="str">
        <f t="shared" si="7"/>
        <v>-</v>
      </c>
    </row>
    <row r="148" spans="3:16" x14ac:dyDescent="0.25">
      <c r="C148" s="161"/>
      <c r="D148" s="175"/>
      <c r="E148" s="164"/>
      <c r="F148" s="191" t="str">
        <f t="shared" si="6"/>
        <v>-</v>
      </c>
      <c r="G148" s="69"/>
      <c r="H148" s="177"/>
      <c r="I148" s="161"/>
      <c r="J148" s="178" t="str">
        <f>IFERROR(MIN('MP Calculations'!$E$29/I148,1),"-")</f>
        <v>-</v>
      </c>
      <c r="K148" s="12"/>
      <c r="L148" s="161"/>
      <c r="M148" s="161"/>
      <c r="N148" s="161"/>
      <c r="O148" s="180" t="str">
        <f t="shared" si="4"/>
        <v>-</v>
      </c>
      <c r="P148" s="181" t="str">
        <f t="shared" si="7"/>
        <v>-</v>
      </c>
    </row>
    <row r="149" spans="3:16" x14ac:dyDescent="0.25">
      <c r="C149" s="161"/>
      <c r="D149" s="175"/>
      <c r="E149" s="164"/>
      <c r="F149" s="191" t="str">
        <f t="shared" si="6"/>
        <v>-</v>
      </c>
      <c r="G149" s="69"/>
      <c r="H149" s="177"/>
      <c r="I149" s="161"/>
      <c r="J149" s="178" t="str">
        <f>IFERROR(MIN('MP Calculations'!$E$29/I149,1),"-")</f>
        <v>-</v>
      </c>
      <c r="K149" s="12"/>
      <c r="L149" s="161"/>
      <c r="M149" s="161"/>
      <c r="N149" s="161"/>
      <c r="O149" s="180" t="str">
        <f t="shared" si="4"/>
        <v>-</v>
      </c>
      <c r="P149" s="181" t="str">
        <f t="shared" si="7"/>
        <v>-</v>
      </c>
    </row>
    <row r="150" spans="3:16" x14ac:dyDescent="0.25">
      <c r="C150" s="161"/>
      <c r="D150" s="175"/>
      <c r="E150" s="164"/>
      <c r="F150" s="191" t="str">
        <f t="shared" si="6"/>
        <v>-</v>
      </c>
      <c r="G150" s="69"/>
      <c r="H150" s="177"/>
      <c r="I150" s="161"/>
      <c r="J150" s="178" t="str">
        <f>IFERROR(MIN('MP Calculations'!$E$29/I150,1),"-")</f>
        <v>-</v>
      </c>
      <c r="K150" s="12"/>
      <c r="L150" s="161"/>
      <c r="M150" s="161"/>
      <c r="N150" s="161"/>
      <c r="O150" s="180" t="str">
        <f t="shared" si="4"/>
        <v>-</v>
      </c>
      <c r="P150" s="181" t="str">
        <f t="shared" si="7"/>
        <v>-</v>
      </c>
    </row>
    <row r="151" spans="3:16" x14ac:dyDescent="0.25">
      <c r="C151" s="161"/>
      <c r="D151" s="175"/>
      <c r="E151" s="164"/>
      <c r="F151" s="191" t="str">
        <f t="shared" si="6"/>
        <v>-</v>
      </c>
      <c r="G151" s="69"/>
      <c r="H151" s="177"/>
      <c r="I151" s="161"/>
      <c r="J151" s="178" t="str">
        <f>IFERROR(MIN('MP Calculations'!$E$29/I151,1),"-")</f>
        <v>-</v>
      </c>
      <c r="K151" s="12"/>
      <c r="L151" s="161"/>
      <c r="M151" s="161"/>
      <c r="N151" s="161"/>
      <c r="O151" s="180" t="str">
        <f t="shared" ref="O151:O214" si="8">IF(N151="","-",L151*N151)</f>
        <v>-</v>
      </c>
      <c r="P151" s="181" t="str">
        <f t="shared" si="7"/>
        <v>-</v>
      </c>
    </row>
    <row r="152" spans="3:16" x14ac:dyDescent="0.25">
      <c r="C152" s="161"/>
      <c r="D152" s="175"/>
      <c r="E152" s="164"/>
      <c r="F152" s="191" t="str">
        <f t="shared" si="6"/>
        <v>-</v>
      </c>
      <c r="G152" s="69"/>
      <c r="H152" s="177"/>
      <c r="I152" s="161"/>
      <c r="J152" s="178" t="str">
        <f>IFERROR(MIN('MP Calculations'!$E$29/I152,1),"-")</f>
        <v>-</v>
      </c>
      <c r="K152" s="12"/>
      <c r="L152" s="161"/>
      <c r="M152" s="161"/>
      <c r="N152" s="161"/>
      <c r="O152" s="180" t="str">
        <f t="shared" si="8"/>
        <v>-</v>
      </c>
      <c r="P152" s="181" t="str">
        <f t="shared" si="7"/>
        <v>-</v>
      </c>
    </row>
    <row r="153" spans="3:16" x14ac:dyDescent="0.25">
      <c r="C153" s="161"/>
      <c r="D153" s="175"/>
      <c r="E153" s="164"/>
      <c r="F153" s="191" t="str">
        <f t="shared" si="6"/>
        <v>-</v>
      </c>
      <c r="G153" s="69"/>
      <c r="H153" s="177"/>
      <c r="I153" s="161"/>
      <c r="J153" s="178" t="str">
        <f>IFERROR(MIN('MP Calculations'!$E$29/I153,1),"-")</f>
        <v>-</v>
      </c>
      <c r="K153" s="12"/>
      <c r="L153" s="161"/>
      <c r="M153" s="161"/>
      <c r="N153" s="161"/>
      <c r="O153" s="180" t="str">
        <f t="shared" si="8"/>
        <v>-</v>
      </c>
      <c r="P153" s="181" t="str">
        <f t="shared" si="7"/>
        <v>-</v>
      </c>
    </row>
    <row r="154" spans="3:16" x14ac:dyDescent="0.25">
      <c r="C154" s="161"/>
      <c r="D154" s="175"/>
      <c r="E154" s="164"/>
      <c r="F154" s="191" t="str">
        <f t="shared" si="6"/>
        <v>-</v>
      </c>
      <c r="G154" s="69"/>
      <c r="H154" s="177"/>
      <c r="I154" s="161"/>
      <c r="J154" s="178" t="str">
        <f>IFERROR(MIN('MP Calculations'!$E$29/I154,1),"-")</f>
        <v>-</v>
      </c>
      <c r="K154" s="12"/>
      <c r="L154" s="161"/>
      <c r="M154" s="161"/>
      <c r="N154" s="161"/>
      <c r="O154" s="180" t="str">
        <f t="shared" si="8"/>
        <v>-</v>
      </c>
      <c r="P154" s="181" t="str">
        <f t="shared" si="7"/>
        <v>-</v>
      </c>
    </row>
    <row r="155" spans="3:16" x14ac:dyDescent="0.25">
      <c r="C155" s="161"/>
      <c r="D155" s="175"/>
      <c r="E155" s="164"/>
      <c r="F155" s="191" t="str">
        <f t="shared" si="6"/>
        <v>-</v>
      </c>
      <c r="G155" s="69"/>
      <c r="H155" s="177"/>
      <c r="I155" s="161"/>
      <c r="J155" s="178" t="str">
        <f>IFERROR(MIN('MP Calculations'!$E$29/I155,1),"-")</f>
        <v>-</v>
      </c>
      <c r="K155" s="12"/>
      <c r="L155" s="161"/>
      <c r="M155" s="161"/>
      <c r="N155" s="161"/>
      <c r="O155" s="180" t="str">
        <f t="shared" si="8"/>
        <v>-</v>
      </c>
      <c r="P155" s="181" t="str">
        <f t="shared" si="7"/>
        <v>-</v>
      </c>
    </row>
    <row r="156" spans="3:16" x14ac:dyDescent="0.25">
      <c r="C156" s="161"/>
      <c r="D156" s="175"/>
      <c r="E156" s="164"/>
      <c r="F156" s="191" t="str">
        <f t="shared" si="6"/>
        <v>-</v>
      </c>
      <c r="G156" s="69"/>
      <c r="H156" s="177"/>
      <c r="I156" s="161"/>
      <c r="J156" s="178" t="str">
        <f>IFERROR(MIN('MP Calculations'!$E$29/I156,1),"-")</f>
        <v>-</v>
      </c>
      <c r="K156" s="12"/>
      <c r="L156" s="161"/>
      <c r="M156" s="161"/>
      <c r="N156" s="161"/>
      <c r="O156" s="180" t="str">
        <f t="shared" si="8"/>
        <v>-</v>
      </c>
      <c r="P156" s="181" t="str">
        <f t="shared" si="7"/>
        <v>-</v>
      </c>
    </row>
    <row r="157" spans="3:16" x14ac:dyDescent="0.25">
      <c r="C157" s="161"/>
      <c r="D157" s="175"/>
      <c r="E157" s="164"/>
      <c r="F157" s="191" t="str">
        <f t="shared" si="6"/>
        <v>-</v>
      </c>
      <c r="G157" s="69"/>
      <c r="H157" s="177"/>
      <c r="I157" s="161"/>
      <c r="J157" s="178" t="str">
        <f>IFERROR(MIN('MP Calculations'!$E$29/I157,1),"-")</f>
        <v>-</v>
      </c>
      <c r="K157" s="12"/>
      <c r="L157" s="161"/>
      <c r="M157" s="161"/>
      <c r="N157" s="161"/>
      <c r="O157" s="180" t="str">
        <f t="shared" si="8"/>
        <v>-</v>
      </c>
      <c r="P157" s="181" t="str">
        <f t="shared" si="7"/>
        <v>-</v>
      </c>
    </row>
    <row r="158" spans="3:16" x14ac:dyDescent="0.25">
      <c r="C158" s="161"/>
      <c r="D158" s="175"/>
      <c r="E158" s="164"/>
      <c r="F158" s="191" t="str">
        <f t="shared" si="6"/>
        <v>-</v>
      </c>
      <c r="G158" s="69"/>
      <c r="H158" s="177"/>
      <c r="I158" s="161"/>
      <c r="J158" s="178" t="str">
        <f>IFERROR(MIN('MP Calculations'!$E$29/I158,1),"-")</f>
        <v>-</v>
      </c>
      <c r="K158" s="12"/>
      <c r="L158" s="161"/>
      <c r="M158" s="161"/>
      <c r="N158" s="161"/>
      <c r="O158" s="180" t="str">
        <f t="shared" si="8"/>
        <v>-</v>
      </c>
      <c r="P158" s="181" t="str">
        <f t="shared" si="7"/>
        <v>-</v>
      </c>
    </row>
    <row r="159" spans="3:16" x14ac:dyDescent="0.25">
      <c r="C159" s="161"/>
      <c r="D159" s="175"/>
      <c r="E159" s="164"/>
      <c r="F159" s="191" t="str">
        <f t="shared" si="6"/>
        <v>-</v>
      </c>
      <c r="G159" s="69"/>
      <c r="H159" s="177"/>
      <c r="I159" s="161"/>
      <c r="J159" s="178" t="str">
        <f>IFERROR(MIN('MP Calculations'!$E$29/I159,1),"-")</f>
        <v>-</v>
      </c>
      <c r="K159" s="12"/>
      <c r="L159" s="161"/>
      <c r="M159" s="161"/>
      <c r="N159" s="161"/>
      <c r="O159" s="180" t="str">
        <f t="shared" si="8"/>
        <v>-</v>
      </c>
      <c r="P159" s="181" t="str">
        <f t="shared" si="7"/>
        <v>-</v>
      </c>
    </row>
    <row r="160" spans="3:16" x14ac:dyDescent="0.25">
      <c r="C160" s="161"/>
      <c r="D160" s="175"/>
      <c r="E160" s="164"/>
      <c r="F160" s="191" t="str">
        <f t="shared" si="6"/>
        <v>-</v>
      </c>
      <c r="G160" s="69"/>
      <c r="H160" s="177"/>
      <c r="I160" s="161"/>
      <c r="J160" s="178" t="str">
        <f>IFERROR(MIN('MP Calculations'!$E$29/I160,1),"-")</f>
        <v>-</v>
      </c>
      <c r="K160" s="12"/>
      <c r="L160" s="161"/>
      <c r="M160" s="161"/>
      <c r="N160" s="161"/>
      <c r="O160" s="180" t="str">
        <f t="shared" si="8"/>
        <v>-</v>
      </c>
      <c r="P160" s="181" t="str">
        <f t="shared" si="7"/>
        <v>-</v>
      </c>
    </row>
    <row r="161" spans="3:16" x14ac:dyDescent="0.25">
      <c r="C161" s="161"/>
      <c r="D161" s="175"/>
      <c r="E161" s="164"/>
      <c r="F161" s="191" t="str">
        <f t="shared" si="6"/>
        <v>-</v>
      </c>
      <c r="G161" s="69"/>
      <c r="H161" s="177"/>
      <c r="I161" s="161"/>
      <c r="J161" s="178" t="str">
        <f>IFERROR(MIN('MP Calculations'!$E$29/I161,1),"-")</f>
        <v>-</v>
      </c>
      <c r="K161" s="12"/>
      <c r="L161" s="161"/>
      <c r="M161" s="161"/>
      <c r="N161" s="161"/>
      <c r="O161" s="180" t="str">
        <f t="shared" si="8"/>
        <v>-</v>
      </c>
      <c r="P161" s="181" t="str">
        <f t="shared" si="7"/>
        <v>-</v>
      </c>
    </row>
    <row r="162" spans="3:16" x14ac:dyDescent="0.25">
      <c r="C162" s="161"/>
      <c r="D162" s="175"/>
      <c r="E162" s="164"/>
      <c r="F162" s="191" t="str">
        <f t="shared" si="6"/>
        <v>-</v>
      </c>
      <c r="G162" s="69"/>
      <c r="H162" s="177"/>
      <c r="I162" s="161"/>
      <c r="J162" s="178" t="str">
        <f>IFERROR(MIN('MP Calculations'!$E$29/I162,1),"-")</f>
        <v>-</v>
      </c>
      <c r="K162" s="12"/>
      <c r="L162" s="161"/>
      <c r="M162" s="161"/>
      <c r="N162" s="161"/>
      <c r="O162" s="180" t="str">
        <f t="shared" si="8"/>
        <v>-</v>
      </c>
      <c r="P162" s="181" t="str">
        <f t="shared" si="7"/>
        <v>-</v>
      </c>
    </row>
    <row r="163" spans="3:16" x14ac:dyDescent="0.25">
      <c r="C163" s="161"/>
      <c r="D163" s="175"/>
      <c r="E163" s="164"/>
      <c r="F163" s="191" t="str">
        <f t="shared" si="6"/>
        <v>-</v>
      </c>
      <c r="G163" s="69"/>
      <c r="H163" s="177"/>
      <c r="I163" s="161"/>
      <c r="J163" s="178" t="str">
        <f>IFERROR(MIN('MP Calculations'!$E$29/I163,1),"-")</f>
        <v>-</v>
      </c>
      <c r="K163" s="12"/>
      <c r="L163" s="161"/>
      <c r="M163" s="161"/>
      <c r="N163" s="161"/>
      <c r="O163" s="180" t="str">
        <f t="shared" si="8"/>
        <v>-</v>
      </c>
      <c r="P163" s="181" t="str">
        <f t="shared" si="7"/>
        <v>-</v>
      </c>
    </row>
    <row r="164" spans="3:16" x14ac:dyDescent="0.25">
      <c r="C164" s="161"/>
      <c r="D164" s="175"/>
      <c r="E164" s="164"/>
      <c r="F164" s="191" t="str">
        <f t="shared" si="6"/>
        <v>-</v>
      </c>
      <c r="G164" s="69"/>
      <c r="H164" s="177"/>
      <c r="I164" s="161"/>
      <c r="J164" s="178" t="str">
        <f>IFERROR(MIN('MP Calculations'!$E$29/I164,1),"-")</f>
        <v>-</v>
      </c>
      <c r="K164" s="12"/>
      <c r="L164" s="161"/>
      <c r="M164" s="161"/>
      <c r="N164" s="161"/>
      <c r="O164" s="180" t="str">
        <f t="shared" si="8"/>
        <v>-</v>
      </c>
      <c r="P164" s="181" t="str">
        <f t="shared" si="7"/>
        <v>-</v>
      </c>
    </row>
    <row r="165" spans="3:16" x14ac:dyDescent="0.25">
      <c r="C165" s="161"/>
      <c r="D165" s="175"/>
      <c r="E165" s="164"/>
      <c r="F165" s="191" t="str">
        <f t="shared" si="6"/>
        <v>-</v>
      </c>
      <c r="G165" s="69"/>
      <c r="H165" s="177"/>
      <c r="I165" s="161"/>
      <c r="J165" s="178" t="str">
        <f>IFERROR(MIN('MP Calculations'!$E$29/I165,1),"-")</f>
        <v>-</v>
      </c>
      <c r="K165" s="12"/>
      <c r="L165" s="161"/>
      <c r="M165" s="161"/>
      <c r="N165" s="161"/>
      <c r="O165" s="180" t="str">
        <f t="shared" si="8"/>
        <v>-</v>
      </c>
      <c r="P165" s="181" t="str">
        <f t="shared" si="7"/>
        <v>-</v>
      </c>
    </row>
    <row r="166" spans="3:16" x14ac:dyDescent="0.25">
      <c r="C166" s="161"/>
      <c r="D166" s="175"/>
      <c r="E166" s="164"/>
      <c r="F166" s="191" t="str">
        <f t="shared" si="6"/>
        <v>-</v>
      </c>
      <c r="G166" s="69"/>
      <c r="H166" s="177"/>
      <c r="I166" s="161"/>
      <c r="J166" s="178" t="str">
        <f>IFERROR(MIN('MP Calculations'!$E$29/I166,1),"-")</f>
        <v>-</v>
      </c>
      <c r="K166" s="12"/>
      <c r="L166" s="161"/>
      <c r="M166" s="161"/>
      <c r="N166" s="161"/>
      <c r="O166" s="180" t="str">
        <f t="shared" si="8"/>
        <v>-</v>
      </c>
      <c r="P166" s="181" t="str">
        <f t="shared" si="7"/>
        <v>-</v>
      </c>
    </row>
    <row r="167" spans="3:16" x14ac:dyDescent="0.25">
      <c r="C167" s="161"/>
      <c r="D167" s="175"/>
      <c r="E167" s="164"/>
      <c r="F167" s="191" t="str">
        <f t="shared" si="6"/>
        <v>-</v>
      </c>
      <c r="G167" s="69"/>
      <c r="H167" s="177"/>
      <c r="I167" s="161"/>
      <c r="J167" s="178" t="str">
        <f>IFERROR(MIN('MP Calculations'!$E$29/I167,1),"-")</f>
        <v>-</v>
      </c>
      <c r="K167" s="12"/>
      <c r="L167" s="161"/>
      <c r="M167" s="161"/>
      <c r="N167" s="161"/>
      <c r="O167" s="180" t="str">
        <f t="shared" si="8"/>
        <v>-</v>
      </c>
      <c r="P167" s="181" t="str">
        <f t="shared" si="7"/>
        <v>-</v>
      </c>
    </row>
    <row r="168" spans="3:16" x14ac:dyDescent="0.25">
      <c r="C168" s="161"/>
      <c r="D168" s="175"/>
      <c r="E168" s="164"/>
      <c r="F168" s="191" t="str">
        <f t="shared" si="6"/>
        <v>-</v>
      </c>
      <c r="G168" s="69"/>
      <c r="H168" s="177"/>
      <c r="I168" s="161"/>
      <c r="J168" s="178" t="str">
        <f>IFERROR(MIN('MP Calculations'!$E$29/I168,1),"-")</f>
        <v>-</v>
      </c>
      <c r="K168" s="12"/>
      <c r="L168" s="161"/>
      <c r="M168" s="161"/>
      <c r="N168" s="161"/>
      <c r="O168" s="180" t="str">
        <f t="shared" si="8"/>
        <v>-</v>
      </c>
      <c r="P168" s="181" t="str">
        <f t="shared" si="7"/>
        <v>-</v>
      </c>
    </row>
    <row r="169" spans="3:16" x14ac:dyDescent="0.25">
      <c r="C169" s="161"/>
      <c r="D169" s="175"/>
      <c r="E169" s="164"/>
      <c r="F169" s="191" t="str">
        <f t="shared" si="6"/>
        <v>-</v>
      </c>
      <c r="G169" s="69"/>
      <c r="H169" s="177"/>
      <c r="I169" s="161"/>
      <c r="J169" s="178" t="str">
        <f>IFERROR(MIN('MP Calculations'!$E$29/I169,1),"-")</f>
        <v>-</v>
      </c>
      <c r="K169" s="12"/>
      <c r="L169" s="161"/>
      <c r="M169" s="161"/>
      <c r="N169" s="161"/>
      <c r="O169" s="180" t="str">
        <f t="shared" si="8"/>
        <v>-</v>
      </c>
      <c r="P169" s="181" t="str">
        <f t="shared" si="7"/>
        <v>-</v>
      </c>
    </row>
    <row r="170" spans="3:16" x14ac:dyDescent="0.25">
      <c r="C170" s="161"/>
      <c r="D170" s="175"/>
      <c r="E170" s="164"/>
      <c r="F170" s="191" t="str">
        <f t="shared" si="6"/>
        <v>-</v>
      </c>
      <c r="G170" s="69"/>
      <c r="H170" s="177"/>
      <c r="I170" s="161"/>
      <c r="J170" s="178" t="str">
        <f>IFERROR(MIN('MP Calculations'!$E$29/I170,1),"-")</f>
        <v>-</v>
      </c>
      <c r="K170" s="12"/>
      <c r="L170" s="161"/>
      <c r="M170" s="161"/>
      <c r="N170" s="161"/>
      <c r="O170" s="180" t="str">
        <f t="shared" si="8"/>
        <v>-</v>
      </c>
      <c r="P170" s="181" t="str">
        <f t="shared" si="7"/>
        <v>-</v>
      </c>
    </row>
    <row r="171" spans="3:16" x14ac:dyDescent="0.25">
      <c r="C171" s="161"/>
      <c r="D171" s="175"/>
      <c r="E171" s="164"/>
      <c r="F171" s="191" t="str">
        <f t="shared" si="6"/>
        <v>-</v>
      </c>
      <c r="G171" s="69"/>
      <c r="H171" s="177"/>
      <c r="I171" s="161"/>
      <c r="J171" s="178" t="str">
        <f>IFERROR(MIN('MP Calculations'!$E$29/I171,1),"-")</f>
        <v>-</v>
      </c>
      <c r="K171" s="12"/>
      <c r="L171" s="161"/>
      <c r="M171" s="161"/>
      <c r="N171" s="161"/>
      <c r="O171" s="180" t="str">
        <f t="shared" si="8"/>
        <v>-</v>
      </c>
      <c r="P171" s="181" t="str">
        <f t="shared" si="7"/>
        <v>-</v>
      </c>
    </row>
    <row r="172" spans="3:16" x14ac:dyDescent="0.25">
      <c r="C172" s="161"/>
      <c r="D172" s="175"/>
      <c r="E172" s="164"/>
      <c r="F172" s="191" t="str">
        <f t="shared" si="6"/>
        <v>-</v>
      </c>
      <c r="G172" s="69"/>
      <c r="H172" s="177"/>
      <c r="I172" s="161"/>
      <c r="J172" s="178" t="str">
        <f>IFERROR(MIN('MP Calculations'!$E$29/I172,1),"-")</f>
        <v>-</v>
      </c>
      <c r="K172" s="12"/>
      <c r="L172" s="161"/>
      <c r="M172" s="161"/>
      <c r="N172" s="161"/>
      <c r="O172" s="180" t="str">
        <f t="shared" si="8"/>
        <v>-</v>
      </c>
      <c r="P172" s="181" t="str">
        <f t="shared" si="7"/>
        <v>-</v>
      </c>
    </row>
    <row r="173" spans="3:16" x14ac:dyDescent="0.25">
      <c r="C173" s="161"/>
      <c r="D173" s="175"/>
      <c r="E173" s="164"/>
      <c r="F173" s="191" t="str">
        <f t="shared" si="6"/>
        <v>-</v>
      </c>
      <c r="G173" s="69"/>
      <c r="H173" s="177"/>
      <c r="I173" s="161"/>
      <c r="J173" s="178" t="str">
        <f>IFERROR(MIN('MP Calculations'!$E$29/I173,1),"-")</f>
        <v>-</v>
      </c>
      <c r="K173" s="12"/>
      <c r="L173" s="161"/>
      <c r="M173" s="161"/>
      <c r="N173" s="161"/>
      <c r="O173" s="180" t="str">
        <f t="shared" si="8"/>
        <v>-</v>
      </c>
      <c r="P173" s="181" t="str">
        <f t="shared" si="7"/>
        <v>-</v>
      </c>
    </row>
    <row r="174" spans="3:16" x14ac:dyDescent="0.25">
      <c r="C174" s="161"/>
      <c r="D174" s="175"/>
      <c r="E174" s="164"/>
      <c r="F174" s="191" t="str">
        <f t="shared" si="6"/>
        <v>-</v>
      </c>
      <c r="G174" s="69"/>
      <c r="H174" s="177"/>
      <c r="I174" s="161"/>
      <c r="J174" s="178" t="str">
        <f>IFERROR(MIN('MP Calculations'!$E$29/I174,1),"-")</f>
        <v>-</v>
      </c>
      <c r="K174" s="12"/>
      <c r="L174" s="161"/>
      <c r="M174" s="161"/>
      <c r="N174" s="161"/>
      <c r="O174" s="180" t="str">
        <f t="shared" si="8"/>
        <v>-</v>
      </c>
      <c r="P174" s="181" t="str">
        <f t="shared" si="7"/>
        <v>-</v>
      </c>
    </row>
    <row r="175" spans="3:16" x14ac:dyDescent="0.25">
      <c r="C175" s="161"/>
      <c r="D175" s="175"/>
      <c r="E175" s="164"/>
      <c r="F175" s="191" t="str">
        <f t="shared" si="6"/>
        <v>-</v>
      </c>
      <c r="G175" s="69"/>
      <c r="H175" s="177"/>
      <c r="I175" s="161"/>
      <c r="J175" s="178" t="str">
        <f>IFERROR(MIN('MP Calculations'!$E$29/I175,1),"-")</f>
        <v>-</v>
      </c>
      <c r="K175" s="12"/>
      <c r="L175" s="161"/>
      <c r="M175" s="161"/>
      <c r="N175" s="161"/>
      <c r="O175" s="180" t="str">
        <f t="shared" si="8"/>
        <v>-</v>
      </c>
      <c r="P175" s="181" t="str">
        <f t="shared" si="7"/>
        <v>-</v>
      </c>
    </row>
    <row r="176" spans="3:16" x14ac:dyDescent="0.25">
      <c r="C176" s="161"/>
      <c r="D176" s="175"/>
      <c r="E176" s="164"/>
      <c r="F176" s="191" t="str">
        <f t="shared" si="6"/>
        <v>-</v>
      </c>
      <c r="G176" s="69"/>
      <c r="H176" s="177"/>
      <c r="I176" s="161"/>
      <c r="J176" s="178" t="str">
        <f>IFERROR(MIN('MP Calculations'!$E$29/I176,1),"-")</f>
        <v>-</v>
      </c>
      <c r="K176" s="12"/>
      <c r="L176" s="161"/>
      <c r="M176" s="161"/>
      <c r="N176" s="161"/>
      <c r="O176" s="180" t="str">
        <f t="shared" si="8"/>
        <v>-</v>
      </c>
      <c r="P176" s="181" t="str">
        <f t="shared" si="7"/>
        <v>-</v>
      </c>
    </row>
    <row r="177" spans="3:16" x14ac:dyDescent="0.25">
      <c r="C177" s="161"/>
      <c r="D177" s="175"/>
      <c r="E177" s="164"/>
      <c r="F177" s="191" t="str">
        <f t="shared" si="6"/>
        <v>-</v>
      </c>
      <c r="G177" s="69"/>
      <c r="H177" s="177"/>
      <c r="I177" s="161"/>
      <c r="J177" s="178" t="str">
        <f>IFERROR(MIN('MP Calculations'!$E$29/I177,1),"-")</f>
        <v>-</v>
      </c>
      <c r="K177" s="12"/>
      <c r="L177" s="161"/>
      <c r="M177" s="161"/>
      <c r="N177" s="161"/>
      <c r="O177" s="180" t="str">
        <f t="shared" si="8"/>
        <v>-</v>
      </c>
      <c r="P177" s="181" t="str">
        <f t="shared" si="7"/>
        <v>-</v>
      </c>
    </row>
    <row r="178" spans="3:16" x14ac:dyDescent="0.25">
      <c r="C178" s="161"/>
      <c r="D178" s="175"/>
      <c r="E178" s="164"/>
      <c r="F178" s="191" t="str">
        <f t="shared" si="6"/>
        <v>-</v>
      </c>
      <c r="G178" s="69"/>
      <c r="H178" s="177"/>
      <c r="I178" s="161"/>
      <c r="J178" s="178" t="str">
        <f>IFERROR(MIN('MP Calculations'!$E$29/I178,1),"-")</f>
        <v>-</v>
      </c>
      <c r="K178" s="12"/>
      <c r="L178" s="161"/>
      <c r="M178" s="161"/>
      <c r="N178" s="161"/>
      <c r="O178" s="180" t="str">
        <f t="shared" si="8"/>
        <v>-</v>
      </c>
      <c r="P178" s="181" t="str">
        <f t="shared" si="7"/>
        <v>-</v>
      </c>
    </row>
    <row r="179" spans="3:16" x14ac:dyDescent="0.25">
      <c r="C179" s="161"/>
      <c r="D179" s="175"/>
      <c r="E179" s="164"/>
      <c r="F179" s="191" t="str">
        <f t="shared" si="6"/>
        <v>-</v>
      </c>
      <c r="G179" s="69"/>
      <c r="H179" s="177"/>
      <c r="I179" s="161"/>
      <c r="J179" s="178" t="str">
        <f>IFERROR(MIN('MP Calculations'!$E$29/I179,1),"-")</f>
        <v>-</v>
      </c>
      <c r="K179" s="12"/>
      <c r="L179" s="161"/>
      <c r="M179" s="161"/>
      <c r="N179" s="161"/>
      <c r="O179" s="180" t="str">
        <f t="shared" si="8"/>
        <v>-</v>
      </c>
      <c r="P179" s="181" t="str">
        <f t="shared" si="7"/>
        <v>-</v>
      </c>
    </row>
    <row r="180" spans="3:16" x14ac:dyDescent="0.25">
      <c r="C180" s="161"/>
      <c r="D180" s="175"/>
      <c r="E180" s="164"/>
      <c r="F180" s="191" t="str">
        <f t="shared" si="6"/>
        <v>-</v>
      </c>
      <c r="G180" s="69"/>
      <c r="H180" s="177"/>
      <c r="I180" s="161"/>
      <c r="J180" s="178" t="str">
        <f>IFERROR(MIN('MP Calculations'!$E$29/I180,1),"-")</f>
        <v>-</v>
      </c>
      <c r="K180" s="12"/>
      <c r="L180" s="161"/>
      <c r="M180" s="161"/>
      <c r="N180" s="161"/>
      <c r="O180" s="180" t="str">
        <f t="shared" si="8"/>
        <v>-</v>
      </c>
      <c r="P180" s="181" t="str">
        <f t="shared" si="7"/>
        <v>-</v>
      </c>
    </row>
    <row r="181" spans="3:16" x14ac:dyDescent="0.25">
      <c r="C181" s="161"/>
      <c r="D181" s="175"/>
      <c r="E181" s="164"/>
      <c r="F181" s="191" t="str">
        <f t="shared" si="6"/>
        <v>-</v>
      </c>
      <c r="G181" s="69"/>
      <c r="H181" s="177"/>
      <c r="I181" s="161"/>
      <c r="J181" s="178" t="str">
        <f>IFERROR(MIN('MP Calculations'!$E$29/I181,1),"-")</f>
        <v>-</v>
      </c>
      <c r="K181" s="12"/>
      <c r="L181" s="161"/>
      <c r="M181" s="161"/>
      <c r="N181" s="161"/>
      <c r="O181" s="180" t="str">
        <f t="shared" si="8"/>
        <v>-</v>
      </c>
      <c r="P181" s="181" t="str">
        <f t="shared" si="7"/>
        <v>-</v>
      </c>
    </row>
    <row r="182" spans="3:16" x14ac:dyDescent="0.25">
      <c r="C182" s="161"/>
      <c r="D182" s="175"/>
      <c r="E182" s="164"/>
      <c r="F182" s="191" t="str">
        <f t="shared" si="6"/>
        <v>-</v>
      </c>
      <c r="G182" s="69"/>
      <c r="H182" s="177"/>
      <c r="I182" s="161"/>
      <c r="J182" s="178" t="str">
        <f>IFERROR(MIN('MP Calculations'!$E$29/I182,1),"-")</f>
        <v>-</v>
      </c>
      <c r="K182" s="12"/>
      <c r="L182" s="161"/>
      <c r="M182" s="161"/>
      <c r="N182" s="161"/>
      <c r="O182" s="180" t="str">
        <f t="shared" si="8"/>
        <v>-</v>
      </c>
      <c r="P182" s="181" t="str">
        <f t="shared" si="7"/>
        <v>-</v>
      </c>
    </row>
    <row r="183" spans="3:16" x14ac:dyDescent="0.25">
      <c r="C183" s="161"/>
      <c r="D183" s="175"/>
      <c r="E183" s="164"/>
      <c r="F183" s="191" t="str">
        <f t="shared" si="6"/>
        <v>-</v>
      </c>
      <c r="G183" s="69"/>
      <c r="H183" s="177"/>
      <c r="I183" s="161"/>
      <c r="J183" s="178" t="str">
        <f>IFERROR(MIN('MP Calculations'!$E$29/I183,1),"-")</f>
        <v>-</v>
      </c>
      <c r="K183" s="12"/>
      <c r="L183" s="161"/>
      <c r="M183" s="161"/>
      <c r="N183" s="161"/>
      <c r="O183" s="180" t="str">
        <f t="shared" si="8"/>
        <v>-</v>
      </c>
      <c r="P183" s="181" t="str">
        <f t="shared" si="7"/>
        <v>-</v>
      </c>
    </row>
    <row r="184" spans="3:16" x14ac:dyDescent="0.25">
      <c r="C184" s="161"/>
      <c r="D184" s="175"/>
      <c r="E184" s="164"/>
      <c r="F184" s="191" t="str">
        <f t="shared" ref="F184:F217" si="9">IF(E184="","-",IF(OR(E184&lt;$E$15,E184&gt;$E$16),"ERROR - date outside of range",IF(MONTH(E184)&gt;=7,YEAR(E184)&amp;"-"&amp;IF(YEAR(E184)=1999,"00",IF(AND(YEAR(E184)&gt;=2000,YEAR(E184)&lt;2009),"0","")&amp;RIGHT(YEAR(E184),2)+1),RIGHT(YEAR(E184),4)-1&amp;"-"&amp;RIGHT(YEAR(E184),2))))</f>
        <v>-</v>
      </c>
      <c r="G184" s="69"/>
      <c r="H184" s="177"/>
      <c r="I184" s="161"/>
      <c r="J184" s="178" t="str">
        <f>IFERROR(MIN('MP Calculations'!$E$29/I184,1),"-")</f>
        <v>-</v>
      </c>
      <c r="K184" s="12"/>
      <c r="L184" s="161"/>
      <c r="M184" s="161"/>
      <c r="N184" s="161"/>
      <c r="O184" s="180" t="str">
        <f t="shared" si="8"/>
        <v>-</v>
      </c>
      <c r="P184" s="181" t="str">
        <f t="shared" ref="P184:P217" si="10">IF(O184="-","-",IF(OR(E184&lt;$E$15,E184&gt;$E$16),0,O184*J184))</f>
        <v>-</v>
      </c>
    </row>
    <row r="185" spans="3:16" x14ac:dyDescent="0.25">
      <c r="C185" s="161"/>
      <c r="D185" s="175"/>
      <c r="E185" s="164"/>
      <c r="F185" s="191" t="str">
        <f t="shared" si="9"/>
        <v>-</v>
      </c>
      <c r="G185" s="69"/>
      <c r="H185" s="177"/>
      <c r="I185" s="161"/>
      <c r="J185" s="178" t="str">
        <f>IFERROR(MIN('MP Calculations'!$E$29/I185,1),"-")</f>
        <v>-</v>
      </c>
      <c r="K185" s="12"/>
      <c r="L185" s="161"/>
      <c r="M185" s="161"/>
      <c r="N185" s="161"/>
      <c r="O185" s="180" t="str">
        <f t="shared" si="8"/>
        <v>-</v>
      </c>
      <c r="P185" s="181" t="str">
        <f t="shared" si="10"/>
        <v>-</v>
      </c>
    </row>
    <row r="186" spans="3:16" x14ac:dyDescent="0.25">
      <c r="C186" s="161"/>
      <c r="D186" s="175"/>
      <c r="E186" s="164"/>
      <c r="F186" s="191" t="str">
        <f t="shared" si="9"/>
        <v>-</v>
      </c>
      <c r="G186" s="69"/>
      <c r="H186" s="177"/>
      <c r="I186" s="161"/>
      <c r="J186" s="178" t="str">
        <f>IFERROR(MIN('MP Calculations'!$E$29/I186,1),"-")</f>
        <v>-</v>
      </c>
      <c r="K186" s="12"/>
      <c r="L186" s="161"/>
      <c r="M186" s="161"/>
      <c r="N186" s="161"/>
      <c r="O186" s="180" t="str">
        <f t="shared" si="8"/>
        <v>-</v>
      </c>
      <c r="P186" s="181" t="str">
        <f t="shared" si="10"/>
        <v>-</v>
      </c>
    </row>
    <row r="187" spans="3:16" x14ac:dyDescent="0.25">
      <c r="C187" s="161"/>
      <c r="D187" s="175"/>
      <c r="E187" s="164"/>
      <c r="F187" s="191" t="str">
        <f t="shared" si="9"/>
        <v>-</v>
      </c>
      <c r="G187" s="69"/>
      <c r="H187" s="177"/>
      <c r="I187" s="161"/>
      <c r="J187" s="178" t="str">
        <f>IFERROR(MIN('MP Calculations'!$E$29/I187,1),"-")</f>
        <v>-</v>
      </c>
      <c r="K187" s="12"/>
      <c r="L187" s="161"/>
      <c r="M187" s="161"/>
      <c r="N187" s="161"/>
      <c r="O187" s="180" t="str">
        <f t="shared" si="8"/>
        <v>-</v>
      </c>
      <c r="P187" s="181" t="str">
        <f t="shared" si="10"/>
        <v>-</v>
      </c>
    </row>
    <row r="188" spans="3:16" x14ac:dyDescent="0.25">
      <c r="C188" s="161"/>
      <c r="D188" s="175"/>
      <c r="E188" s="164"/>
      <c r="F188" s="191" t="str">
        <f t="shared" si="9"/>
        <v>-</v>
      </c>
      <c r="G188" s="69"/>
      <c r="H188" s="177"/>
      <c r="I188" s="161"/>
      <c r="J188" s="178" t="str">
        <f>IFERROR(MIN('MP Calculations'!$E$29/I188,1),"-")</f>
        <v>-</v>
      </c>
      <c r="K188" s="12"/>
      <c r="L188" s="161"/>
      <c r="M188" s="161"/>
      <c r="N188" s="161"/>
      <c r="O188" s="180" t="str">
        <f t="shared" si="8"/>
        <v>-</v>
      </c>
      <c r="P188" s="181" t="str">
        <f t="shared" si="10"/>
        <v>-</v>
      </c>
    </row>
    <row r="189" spans="3:16" x14ac:dyDescent="0.25">
      <c r="C189" s="161"/>
      <c r="D189" s="175"/>
      <c r="E189" s="164"/>
      <c r="F189" s="191" t="str">
        <f t="shared" si="9"/>
        <v>-</v>
      </c>
      <c r="G189" s="69"/>
      <c r="H189" s="177"/>
      <c r="I189" s="161"/>
      <c r="J189" s="178" t="str">
        <f>IFERROR(MIN('MP Calculations'!$E$29/I189,1),"-")</f>
        <v>-</v>
      </c>
      <c r="K189" s="12"/>
      <c r="L189" s="161"/>
      <c r="M189" s="161"/>
      <c r="N189" s="161"/>
      <c r="O189" s="180" t="str">
        <f t="shared" si="8"/>
        <v>-</v>
      </c>
      <c r="P189" s="181" t="str">
        <f t="shared" si="10"/>
        <v>-</v>
      </c>
    </row>
    <row r="190" spans="3:16" x14ac:dyDescent="0.25">
      <c r="C190" s="161"/>
      <c r="D190" s="175"/>
      <c r="E190" s="164"/>
      <c r="F190" s="191" t="str">
        <f t="shared" si="9"/>
        <v>-</v>
      </c>
      <c r="G190" s="69"/>
      <c r="H190" s="177"/>
      <c r="I190" s="161"/>
      <c r="J190" s="178" t="str">
        <f>IFERROR(MIN('MP Calculations'!$E$29/I190,1),"-")</f>
        <v>-</v>
      </c>
      <c r="K190" s="12"/>
      <c r="L190" s="161"/>
      <c r="M190" s="161"/>
      <c r="N190" s="161"/>
      <c r="O190" s="180" t="str">
        <f t="shared" si="8"/>
        <v>-</v>
      </c>
      <c r="P190" s="181" t="str">
        <f t="shared" si="10"/>
        <v>-</v>
      </c>
    </row>
    <row r="191" spans="3:16" x14ac:dyDescent="0.25">
      <c r="C191" s="161"/>
      <c r="D191" s="175"/>
      <c r="E191" s="164"/>
      <c r="F191" s="191" t="str">
        <f t="shared" si="9"/>
        <v>-</v>
      </c>
      <c r="G191" s="69"/>
      <c r="H191" s="177"/>
      <c r="I191" s="161"/>
      <c r="J191" s="178" t="str">
        <f>IFERROR(MIN('MP Calculations'!$E$29/I191,1),"-")</f>
        <v>-</v>
      </c>
      <c r="K191" s="12"/>
      <c r="L191" s="161"/>
      <c r="M191" s="161"/>
      <c r="N191" s="161"/>
      <c r="O191" s="180" t="str">
        <f t="shared" si="8"/>
        <v>-</v>
      </c>
      <c r="P191" s="181" t="str">
        <f t="shared" si="10"/>
        <v>-</v>
      </c>
    </row>
    <row r="192" spans="3:16" x14ac:dyDescent="0.25">
      <c r="C192" s="161"/>
      <c r="D192" s="175"/>
      <c r="E192" s="164"/>
      <c r="F192" s="191" t="str">
        <f t="shared" si="9"/>
        <v>-</v>
      </c>
      <c r="G192" s="69"/>
      <c r="H192" s="177"/>
      <c r="I192" s="161"/>
      <c r="J192" s="178" t="str">
        <f>IFERROR(MIN('MP Calculations'!$E$29/I192,1),"-")</f>
        <v>-</v>
      </c>
      <c r="K192" s="12"/>
      <c r="L192" s="161"/>
      <c r="M192" s="161"/>
      <c r="N192" s="161"/>
      <c r="O192" s="180" t="str">
        <f t="shared" si="8"/>
        <v>-</v>
      </c>
      <c r="P192" s="181" t="str">
        <f t="shared" si="10"/>
        <v>-</v>
      </c>
    </row>
    <row r="193" spans="3:16" x14ac:dyDescent="0.25">
      <c r="C193" s="161"/>
      <c r="D193" s="175"/>
      <c r="E193" s="164"/>
      <c r="F193" s="191" t="str">
        <f t="shared" si="9"/>
        <v>-</v>
      </c>
      <c r="G193" s="69"/>
      <c r="H193" s="177"/>
      <c r="I193" s="161"/>
      <c r="J193" s="178" t="str">
        <f>IFERROR(MIN('MP Calculations'!$E$29/I193,1),"-")</f>
        <v>-</v>
      </c>
      <c r="K193" s="12"/>
      <c r="L193" s="161"/>
      <c r="M193" s="161"/>
      <c r="N193" s="161"/>
      <c r="O193" s="180" t="str">
        <f t="shared" si="8"/>
        <v>-</v>
      </c>
      <c r="P193" s="181" t="str">
        <f t="shared" si="10"/>
        <v>-</v>
      </c>
    </row>
    <row r="194" spans="3:16" x14ac:dyDescent="0.25">
      <c r="C194" s="161"/>
      <c r="D194" s="175"/>
      <c r="E194" s="164"/>
      <c r="F194" s="191" t="str">
        <f t="shared" si="9"/>
        <v>-</v>
      </c>
      <c r="G194" s="69"/>
      <c r="H194" s="177"/>
      <c r="I194" s="161"/>
      <c r="J194" s="178" t="str">
        <f>IFERROR(MIN('MP Calculations'!$E$29/I194,1),"-")</f>
        <v>-</v>
      </c>
      <c r="K194" s="12"/>
      <c r="L194" s="161"/>
      <c r="M194" s="161"/>
      <c r="N194" s="161"/>
      <c r="O194" s="180" t="str">
        <f t="shared" si="8"/>
        <v>-</v>
      </c>
      <c r="P194" s="181" t="str">
        <f t="shared" si="10"/>
        <v>-</v>
      </c>
    </row>
    <row r="195" spans="3:16" x14ac:dyDescent="0.25">
      <c r="C195" s="161"/>
      <c r="D195" s="175"/>
      <c r="E195" s="164"/>
      <c r="F195" s="191" t="str">
        <f t="shared" si="9"/>
        <v>-</v>
      </c>
      <c r="G195" s="69"/>
      <c r="H195" s="177"/>
      <c r="I195" s="161"/>
      <c r="J195" s="178" t="str">
        <f>IFERROR(MIN('MP Calculations'!$E$29/I195,1),"-")</f>
        <v>-</v>
      </c>
      <c r="K195" s="12"/>
      <c r="L195" s="161"/>
      <c r="M195" s="161"/>
      <c r="N195" s="161"/>
      <c r="O195" s="180" t="str">
        <f t="shared" si="8"/>
        <v>-</v>
      </c>
      <c r="P195" s="181" t="str">
        <f t="shared" si="10"/>
        <v>-</v>
      </c>
    </row>
    <row r="196" spans="3:16" x14ac:dyDescent="0.25">
      <c r="C196" s="161"/>
      <c r="D196" s="175"/>
      <c r="E196" s="164"/>
      <c r="F196" s="191" t="str">
        <f t="shared" si="9"/>
        <v>-</v>
      </c>
      <c r="G196" s="69"/>
      <c r="H196" s="177"/>
      <c r="I196" s="161"/>
      <c r="J196" s="178" t="str">
        <f>IFERROR(MIN('MP Calculations'!$E$29/I196,1),"-")</f>
        <v>-</v>
      </c>
      <c r="K196" s="12"/>
      <c r="L196" s="161"/>
      <c r="M196" s="161"/>
      <c r="N196" s="161"/>
      <c r="O196" s="180" t="str">
        <f t="shared" si="8"/>
        <v>-</v>
      </c>
      <c r="P196" s="181" t="str">
        <f t="shared" si="10"/>
        <v>-</v>
      </c>
    </row>
    <row r="197" spans="3:16" x14ac:dyDescent="0.25">
      <c r="C197" s="161"/>
      <c r="D197" s="175"/>
      <c r="E197" s="164"/>
      <c r="F197" s="191" t="str">
        <f t="shared" si="9"/>
        <v>-</v>
      </c>
      <c r="G197" s="69"/>
      <c r="H197" s="177"/>
      <c r="I197" s="161"/>
      <c r="J197" s="178" t="str">
        <f>IFERROR(MIN('MP Calculations'!$E$29/I197,1),"-")</f>
        <v>-</v>
      </c>
      <c r="K197" s="12"/>
      <c r="L197" s="161"/>
      <c r="M197" s="161"/>
      <c r="N197" s="161"/>
      <c r="O197" s="180" t="str">
        <f t="shared" si="8"/>
        <v>-</v>
      </c>
      <c r="P197" s="181" t="str">
        <f t="shared" si="10"/>
        <v>-</v>
      </c>
    </row>
    <row r="198" spans="3:16" x14ac:dyDescent="0.25">
      <c r="C198" s="161"/>
      <c r="D198" s="175"/>
      <c r="E198" s="164"/>
      <c r="F198" s="191" t="str">
        <f t="shared" si="9"/>
        <v>-</v>
      </c>
      <c r="G198" s="69"/>
      <c r="H198" s="177"/>
      <c r="I198" s="161"/>
      <c r="J198" s="178" t="str">
        <f>IFERROR(MIN('MP Calculations'!$E$29/I198,1),"-")</f>
        <v>-</v>
      </c>
      <c r="K198" s="12"/>
      <c r="L198" s="161"/>
      <c r="M198" s="161"/>
      <c r="N198" s="161"/>
      <c r="O198" s="180" t="str">
        <f t="shared" si="8"/>
        <v>-</v>
      </c>
      <c r="P198" s="181" t="str">
        <f t="shared" si="10"/>
        <v>-</v>
      </c>
    </row>
    <row r="199" spans="3:16" x14ac:dyDescent="0.25">
      <c r="C199" s="161"/>
      <c r="D199" s="175"/>
      <c r="E199" s="164"/>
      <c r="F199" s="191" t="str">
        <f t="shared" si="9"/>
        <v>-</v>
      </c>
      <c r="G199" s="69"/>
      <c r="H199" s="177"/>
      <c r="I199" s="161"/>
      <c r="J199" s="178" t="str">
        <f>IFERROR(MIN('MP Calculations'!$E$29/I199,1),"-")</f>
        <v>-</v>
      </c>
      <c r="K199" s="12"/>
      <c r="L199" s="161"/>
      <c r="M199" s="161"/>
      <c r="N199" s="161"/>
      <c r="O199" s="180" t="str">
        <f t="shared" si="8"/>
        <v>-</v>
      </c>
      <c r="P199" s="181" t="str">
        <f t="shared" si="10"/>
        <v>-</v>
      </c>
    </row>
    <row r="200" spans="3:16" x14ac:dyDescent="0.25">
      <c r="C200" s="161"/>
      <c r="D200" s="175"/>
      <c r="E200" s="164"/>
      <c r="F200" s="191" t="str">
        <f t="shared" si="9"/>
        <v>-</v>
      </c>
      <c r="G200" s="69"/>
      <c r="H200" s="177"/>
      <c r="I200" s="161"/>
      <c r="J200" s="178" t="str">
        <f>IFERROR(MIN('MP Calculations'!$E$29/I200,1),"-")</f>
        <v>-</v>
      </c>
      <c r="K200" s="12"/>
      <c r="L200" s="161"/>
      <c r="M200" s="161"/>
      <c r="N200" s="161"/>
      <c r="O200" s="180" t="str">
        <f t="shared" si="8"/>
        <v>-</v>
      </c>
      <c r="P200" s="181" t="str">
        <f t="shared" si="10"/>
        <v>-</v>
      </c>
    </row>
    <row r="201" spans="3:16" x14ac:dyDescent="0.25">
      <c r="C201" s="161"/>
      <c r="D201" s="175"/>
      <c r="E201" s="164"/>
      <c r="F201" s="191" t="str">
        <f t="shared" si="9"/>
        <v>-</v>
      </c>
      <c r="G201" s="69"/>
      <c r="H201" s="177"/>
      <c r="I201" s="161"/>
      <c r="J201" s="178" t="str">
        <f>IFERROR(MIN('MP Calculations'!$E$29/I201,1),"-")</f>
        <v>-</v>
      </c>
      <c r="K201" s="12"/>
      <c r="L201" s="161"/>
      <c r="M201" s="161"/>
      <c r="N201" s="161"/>
      <c r="O201" s="180" t="str">
        <f t="shared" si="8"/>
        <v>-</v>
      </c>
      <c r="P201" s="181" t="str">
        <f t="shared" si="10"/>
        <v>-</v>
      </c>
    </row>
    <row r="202" spans="3:16" x14ac:dyDescent="0.25">
      <c r="C202" s="161"/>
      <c r="D202" s="175"/>
      <c r="E202" s="164"/>
      <c r="F202" s="191" t="str">
        <f t="shared" si="9"/>
        <v>-</v>
      </c>
      <c r="G202" s="69"/>
      <c r="H202" s="177"/>
      <c r="I202" s="161"/>
      <c r="J202" s="178" t="str">
        <f>IFERROR(MIN('MP Calculations'!$E$29/I202,1),"-")</f>
        <v>-</v>
      </c>
      <c r="K202" s="12"/>
      <c r="L202" s="161"/>
      <c r="M202" s="161"/>
      <c r="N202" s="161"/>
      <c r="O202" s="180" t="str">
        <f t="shared" si="8"/>
        <v>-</v>
      </c>
      <c r="P202" s="181" t="str">
        <f t="shared" si="10"/>
        <v>-</v>
      </c>
    </row>
    <row r="203" spans="3:16" x14ac:dyDescent="0.25">
      <c r="C203" s="161"/>
      <c r="D203" s="175"/>
      <c r="E203" s="164"/>
      <c r="F203" s="191" t="str">
        <f t="shared" si="9"/>
        <v>-</v>
      </c>
      <c r="G203" s="69"/>
      <c r="H203" s="177"/>
      <c r="I203" s="161"/>
      <c r="J203" s="178" t="str">
        <f>IFERROR(MIN('MP Calculations'!$E$29/I203,1),"-")</f>
        <v>-</v>
      </c>
      <c r="K203" s="12"/>
      <c r="L203" s="161"/>
      <c r="M203" s="161"/>
      <c r="N203" s="161"/>
      <c r="O203" s="180" t="str">
        <f t="shared" si="8"/>
        <v>-</v>
      </c>
      <c r="P203" s="181" t="str">
        <f t="shared" si="10"/>
        <v>-</v>
      </c>
    </row>
    <row r="204" spans="3:16" x14ac:dyDescent="0.25">
      <c r="C204" s="161"/>
      <c r="D204" s="175"/>
      <c r="E204" s="164"/>
      <c r="F204" s="191" t="str">
        <f t="shared" si="9"/>
        <v>-</v>
      </c>
      <c r="G204" s="69"/>
      <c r="H204" s="177"/>
      <c r="I204" s="161"/>
      <c r="J204" s="178" t="str">
        <f>IFERROR(MIN('MP Calculations'!$E$29/I204,1),"-")</f>
        <v>-</v>
      </c>
      <c r="K204" s="12"/>
      <c r="L204" s="161"/>
      <c r="M204" s="161"/>
      <c r="N204" s="161"/>
      <c r="O204" s="180" t="str">
        <f t="shared" si="8"/>
        <v>-</v>
      </c>
      <c r="P204" s="181" t="str">
        <f t="shared" si="10"/>
        <v>-</v>
      </c>
    </row>
    <row r="205" spans="3:16" x14ac:dyDescent="0.25">
      <c r="C205" s="161"/>
      <c r="D205" s="175"/>
      <c r="E205" s="164"/>
      <c r="F205" s="191" t="str">
        <f t="shared" si="9"/>
        <v>-</v>
      </c>
      <c r="G205" s="69"/>
      <c r="H205" s="177"/>
      <c r="I205" s="161"/>
      <c r="J205" s="178" t="str">
        <f>IFERROR(MIN('MP Calculations'!$E$29/I205,1),"-")</f>
        <v>-</v>
      </c>
      <c r="K205" s="12"/>
      <c r="L205" s="161"/>
      <c r="M205" s="161"/>
      <c r="N205" s="161"/>
      <c r="O205" s="180" t="str">
        <f t="shared" si="8"/>
        <v>-</v>
      </c>
      <c r="P205" s="181" t="str">
        <f t="shared" si="10"/>
        <v>-</v>
      </c>
    </row>
    <row r="206" spans="3:16" x14ac:dyDescent="0.25">
      <c r="C206" s="161"/>
      <c r="D206" s="175"/>
      <c r="E206" s="164"/>
      <c r="F206" s="191" t="str">
        <f t="shared" si="9"/>
        <v>-</v>
      </c>
      <c r="G206" s="69"/>
      <c r="H206" s="177"/>
      <c r="I206" s="161"/>
      <c r="J206" s="178" t="str">
        <f>IFERROR(MIN('MP Calculations'!$E$29/I206,1),"-")</f>
        <v>-</v>
      </c>
      <c r="K206" s="12"/>
      <c r="L206" s="161"/>
      <c r="M206" s="161"/>
      <c r="N206" s="161"/>
      <c r="O206" s="180" t="str">
        <f t="shared" si="8"/>
        <v>-</v>
      </c>
      <c r="P206" s="181" t="str">
        <f t="shared" si="10"/>
        <v>-</v>
      </c>
    </row>
    <row r="207" spans="3:16" x14ac:dyDescent="0.25">
      <c r="C207" s="161"/>
      <c r="D207" s="175"/>
      <c r="E207" s="164"/>
      <c r="F207" s="191" t="str">
        <f t="shared" si="9"/>
        <v>-</v>
      </c>
      <c r="G207" s="69"/>
      <c r="H207" s="177"/>
      <c r="I207" s="161"/>
      <c r="J207" s="178" t="str">
        <f>IFERROR(MIN('MP Calculations'!$E$29/I207,1),"-")</f>
        <v>-</v>
      </c>
      <c r="K207" s="12"/>
      <c r="L207" s="161"/>
      <c r="M207" s="161"/>
      <c r="N207" s="161"/>
      <c r="O207" s="180" t="str">
        <f t="shared" si="8"/>
        <v>-</v>
      </c>
      <c r="P207" s="181" t="str">
        <f t="shared" si="10"/>
        <v>-</v>
      </c>
    </row>
    <row r="208" spans="3:16" x14ac:dyDescent="0.25">
      <c r="C208" s="161"/>
      <c r="D208" s="175"/>
      <c r="E208" s="164"/>
      <c r="F208" s="191" t="str">
        <f t="shared" si="9"/>
        <v>-</v>
      </c>
      <c r="G208" s="69"/>
      <c r="H208" s="177"/>
      <c r="I208" s="161"/>
      <c r="J208" s="178" t="str">
        <f>IFERROR(MIN('MP Calculations'!$E$29/I208,1),"-")</f>
        <v>-</v>
      </c>
      <c r="K208" s="12"/>
      <c r="L208" s="161"/>
      <c r="M208" s="161"/>
      <c r="N208" s="161"/>
      <c r="O208" s="180" t="str">
        <f t="shared" si="8"/>
        <v>-</v>
      </c>
      <c r="P208" s="181" t="str">
        <f t="shared" si="10"/>
        <v>-</v>
      </c>
    </row>
    <row r="209" spans="3:16" x14ac:dyDescent="0.25">
      <c r="C209" s="161"/>
      <c r="D209" s="175"/>
      <c r="E209" s="164"/>
      <c r="F209" s="191" t="str">
        <f t="shared" si="9"/>
        <v>-</v>
      </c>
      <c r="G209" s="69"/>
      <c r="H209" s="177"/>
      <c r="I209" s="161"/>
      <c r="J209" s="178" t="str">
        <f>IFERROR(MIN('MP Calculations'!$E$29/I209,1),"-")</f>
        <v>-</v>
      </c>
      <c r="K209" s="12"/>
      <c r="L209" s="161"/>
      <c r="M209" s="161"/>
      <c r="N209" s="161"/>
      <c r="O209" s="180" t="str">
        <f t="shared" si="8"/>
        <v>-</v>
      </c>
      <c r="P209" s="181" t="str">
        <f t="shared" si="10"/>
        <v>-</v>
      </c>
    </row>
    <row r="210" spans="3:16" x14ac:dyDescent="0.25">
      <c r="C210" s="161"/>
      <c r="D210" s="175"/>
      <c r="E210" s="164"/>
      <c r="F210" s="191" t="str">
        <f t="shared" si="9"/>
        <v>-</v>
      </c>
      <c r="G210" s="69"/>
      <c r="H210" s="177"/>
      <c r="I210" s="161"/>
      <c r="J210" s="178" t="str">
        <f>IFERROR(MIN('MP Calculations'!$E$29/I210,1),"-")</f>
        <v>-</v>
      </c>
      <c r="K210" s="12"/>
      <c r="L210" s="161"/>
      <c r="M210" s="161"/>
      <c r="N210" s="161"/>
      <c r="O210" s="180" t="str">
        <f t="shared" si="8"/>
        <v>-</v>
      </c>
      <c r="P210" s="181" t="str">
        <f t="shared" si="10"/>
        <v>-</v>
      </c>
    </row>
    <row r="211" spans="3:16" x14ac:dyDescent="0.25">
      <c r="C211" s="161"/>
      <c r="D211" s="175"/>
      <c r="E211" s="164"/>
      <c r="F211" s="191" t="str">
        <f t="shared" si="9"/>
        <v>-</v>
      </c>
      <c r="G211" s="69"/>
      <c r="H211" s="177"/>
      <c r="I211" s="161"/>
      <c r="J211" s="178" t="str">
        <f>IFERROR(MIN('MP Calculations'!$E$29/I211,1),"-")</f>
        <v>-</v>
      </c>
      <c r="K211" s="12"/>
      <c r="L211" s="161"/>
      <c r="M211" s="161"/>
      <c r="N211" s="161"/>
      <c r="O211" s="180" t="str">
        <f t="shared" si="8"/>
        <v>-</v>
      </c>
      <c r="P211" s="181" t="str">
        <f t="shared" si="10"/>
        <v>-</v>
      </c>
    </row>
    <row r="212" spans="3:16" x14ac:dyDescent="0.25">
      <c r="C212" s="161"/>
      <c r="D212" s="175"/>
      <c r="E212" s="164"/>
      <c r="F212" s="191" t="str">
        <f t="shared" si="9"/>
        <v>-</v>
      </c>
      <c r="G212" s="69"/>
      <c r="H212" s="177"/>
      <c r="I212" s="161"/>
      <c r="J212" s="178" t="str">
        <f>IFERROR(MIN('MP Calculations'!$E$29/I212,1),"-")</f>
        <v>-</v>
      </c>
      <c r="K212" s="12"/>
      <c r="L212" s="161"/>
      <c r="M212" s="161"/>
      <c r="N212" s="161"/>
      <c r="O212" s="180" t="str">
        <f t="shared" si="8"/>
        <v>-</v>
      </c>
      <c r="P212" s="181" t="str">
        <f t="shared" si="10"/>
        <v>-</v>
      </c>
    </row>
    <row r="213" spans="3:16" x14ac:dyDescent="0.25">
      <c r="C213" s="161"/>
      <c r="D213" s="175"/>
      <c r="E213" s="164"/>
      <c r="F213" s="191" t="str">
        <f t="shared" si="9"/>
        <v>-</v>
      </c>
      <c r="G213" s="69"/>
      <c r="H213" s="177"/>
      <c r="I213" s="161"/>
      <c r="J213" s="178" t="str">
        <f>IFERROR(MIN('MP Calculations'!$E$29/I213,1),"-")</f>
        <v>-</v>
      </c>
      <c r="K213" s="12"/>
      <c r="L213" s="161"/>
      <c r="M213" s="161"/>
      <c r="N213" s="161"/>
      <c r="O213" s="180" t="str">
        <f t="shared" si="8"/>
        <v>-</v>
      </c>
      <c r="P213" s="181" t="str">
        <f t="shared" si="10"/>
        <v>-</v>
      </c>
    </row>
    <row r="214" spans="3:16" x14ac:dyDescent="0.25">
      <c r="C214" s="161"/>
      <c r="D214" s="175"/>
      <c r="E214" s="164"/>
      <c r="F214" s="191" t="str">
        <f t="shared" si="9"/>
        <v>-</v>
      </c>
      <c r="G214" s="69"/>
      <c r="H214" s="177"/>
      <c r="I214" s="161"/>
      <c r="J214" s="178" t="str">
        <f>IFERROR(MIN('MP Calculations'!$E$29/I214,1),"-")</f>
        <v>-</v>
      </c>
      <c r="K214" s="12"/>
      <c r="L214" s="161"/>
      <c r="M214" s="161"/>
      <c r="N214" s="161"/>
      <c r="O214" s="180" t="str">
        <f t="shared" si="8"/>
        <v>-</v>
      </c>
      <c r="P214" s="181" t="str">
        <f t="shared" si="10"/>
        <v>-</v>
      </c>
    </row>
    <row r="215" spans="3:16" x14ac:dyDescent="0.25">
      <c r="C215" s="161"/>
      <c r="D215" s="175"/>
      <c r="E215" s="164"/>
      <c r="F215" s="191" t="str">
        <f t="shared" si="9"/>
        <v>-</v>
      </c>
      <c r="G215" s="69"/>
      <c r="H215" s="177"/>
      <c r="I215" s="161"/>
      <c r="J215" s="178" t="str">
        <f>IFERROR(MIN('MP Calculations'!$E$29/I215,1),"-")</f>
        <v>-</v>
      </c>
      <c r="K215" s="12"/>
      <c r="L215" s="161"/>
      <c r="M215" s="161"/>
      <c r="N215" s="161"/>
      <c r="O215" s="180" t="str">
        <f t="shared" ref="O215:O218" si="11">IF(N215="","-",L215*N215)</f>
        <v>-</v>
      </c>
      <c r="P215" s="181" t="str">
        <f t="shared" si="10"/>
        <v>-</v>
      </c>
    </row>
    <row r="216" spans="3:16" x14ac:dyDescent="0.25">
      <c r="C216" s="161"/>
      <c r="D216" s="175"/>
      <c r="E216" s="164"/>
      <c r="F216" s="191" t="str">
        <f t="shared" si="9"/>
        <v>-</v>
      </c>
      <c r="G216" s="69"/>
      <c r="H216" s="177"/>
      <c r="I216" s="161"/>
      <c r="J216" s="178" t="str">
        <f>IFERROR(MIN('MP Calculations'!$E$29/I216,1),"-")</f>
        <v>-</v>
      </c>
      <c r="K216" s="12"/>
      <c r="L216" s="161"/>
      <c r="M216" s="161"/>
      <c r="N216" s="161"/>
      <c r="O216" s="180" t="str">
        <f t="shared" si="11"/>
        <v>-</v>
      </c>
      <c r="P216" s="181" t="str">
        <f t="shared" si="10"/>
        <v>-</v>
      </c>
    </row>
    <row r="217" spans="3:16" x14ac:dyDescent="0.25">
      <c r="C217" s="161"/>
      <c r="D217" s="175"/>
      <c r="E217" s="164"/>
      <c r="F217" s="191" t="str">
        <f t="shared" si="9"/>
        <v>-</v>
      </c>
      <c r="G217" s="69"/>
      <c r="H217" s="177"/>
      <c r="I217" s="161"/>
      <c r="J217" s="178" t="str">
        <f>IFERROR(MIN('MP Calculations'!$E$29/I217,1),"-")</f>
        <v>-</v>
      </c>
      <c r="K217" s="12"/>
      <c r="L217" s="161"/>
      <c r="M217" s="161"/>
      <c r="N217" s="161"/>
      <c r="O217" s="180" t="str">
        <f t="shared" si="11"/>
        <v>-</v>
      </c>
      <c r="P217" s="181" t="str">
        <f t="shared" si="10"/>
        <v>-</v>
      </c>
    </row>
    <row r="218" spans="3:16" ht="57.5" x14ac:dyDescent="0.25">
      <c r="C218" s="162"/>
      <c r="D218" s="18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65"/>
      <c r="F218" s="183" t="str">
        <f t="shared" si="3"/>
        <v>-</v>
      </c>
      <c r="G218" s="69"/>
      <c r="H218" s="184"/>
      <c r="I218" s="185"/>
      <c r="J218" s="186" t="str">
        <f>IFERROR(MIN('MP Calculations'!$E$29/I218,1),"-")</f>
        <v>-</v>
      </c>
      <c r="K218" s="69"/>
      <c r="L218" s="187"/>
      <c r="M218" s="187"/>
      <c r="N218" s="187"/>
      <c r="O218" s="188" t="str">
        <f t="shared" si="11"/>
        <v>-</v>
      </c>
      <c r="P218" s="189" t="str">
        <f t="shared" si="5"/>
        <v>-</v>
      </c>
    </row>
    <row r="219" spans="3:16" x14ac:dyDescent="0.25">
      <c r="D219" s="95"/>
    </row>
  </sheetData>
  <conditionalFormatting sqref="F22:F218">
    <cfRule type="containsText" dxfId="5" priority="2" operator="containsText" text="ERROR">
      <formula>NOT(ISERROR(SEARCH("ERROR",F22)))</formula>
    </cfRule>
  </conditionalFormatting>
  <conditionalFormatting sqref="J22:J218">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18"/>
  <sheetViews>
    <sheetView showGridLines="0" topLeftCell="F1" workbookViewId="0"/>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6" x14ac:dyDescent="0.25">
      <c r="E1" s="27"/>
    </row>
    <row r="2" spans="3:6" x14ac:dyDescent="0.25">
      <c r="E2" s="27"/>
      <c r="F2" s="27"/>
    </row>
    <row r="3" spans="3:6" ht="20" x14ac:dyDescent="0.4">
      <c r="C3" s="51" t="s">
        <v>201</v>
      </c>
    </row>
    <row r="6" spans="3:6" ht="12" customHeight="1" x14ac:dyDescent="0.25">
      <c r="C6" s="9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5">
      <c r="C7" s="105" t="str">
        <f ca="1">"Hyperlink to the '"&amp;MID(CELL("filename",'Asset exclusions'!A1),FIND("]",CELL("filename",'Asset exclusions'!A1))+1,255)&amp;"' worksheet:"</f>
        <v>Hyperlink to the 'Asset exclusions' worksheet:</v>
      </c>
      <c r="E7" s="136" t="s">
        <v>176</v>
      </c>
    </row>
    <row r="8" spans="3:6" x14ac:dyDescent="0.25">
      <c r="C8" s="105"/>
      <c r="E8" s="136"/>
    </row>
    <row r="9" spans="3:6" x14ac:dyDescent="0.25">
      <c r="C9" s="105" t="s">
        <v>177</v>
      </c>
      <c r="E9" s="136"/>
    </row>
    <row r="10" spans="3:6" x14ac:dyDescent="0.25">
      <c r="C10" s="105" t="s">
        <v>178</v>
      </c>
      <c r="E10" s="136"/>
    </row>
    <row r="11" spans="3:6" x14ac:dyDescent="0.25">
      <c r="C11" s="105" t="s">
        <v>179</v>
      </c>
      <c r="E11" s="136"/>
    </row>
    <row r="12" spans="3:6" x14ac:dyDescent="0.25">
      <c r="C12" s="105" t="s">
        <v>180</v>
      </c>
      <c r="E12" s="136"/>
    </row>
    <row r="14" spans="3:6" x14ac:dyDescent="0.25">
      <c r="C14" s="6" t="s">
        <v>181</v>
      </c>
    </row>
    <row r="15" spans="3:6" x14ac:dyDescent="0.25">
      <c r="C15" s="58" t="s">
        <v>182</v>
      </c>
      <c r="E15" s="85">
        <f>'General inputs'!$H$18+1</f>
        <v>45474</v>
      </c>
    </row>
    <row r="16" spans="3:6" x14ac:dyDescent="0.25">
      <c r="C16" s="58"/>
    </row>
    <row r="18" spans="3:18" ht="15.5" x14ac:dyDescent="0.35">
      <c r="C18" s="2" t="s">
        <v>202</v>
      </c>
    </row>
    <row r="20" spans="3:18" x14ac:dyDescent="0.25">
      <c r="C20" s="6" t="s">
        <v>185</v>
      </c>
      <c r="H20" s="6" t="s">
        <v>186</v>
      </c>
      <c r="L20" s="6" t="s">
        <v>187</v>
      </c>
      <c r="M20" s="6"/>
    </row>
    <row r="21" spans="3:18" ht="57.5" x14ac:dyDescent="0.25">
      <c r="C21" s="24" t="s">
        <v>188</v>
      </c>
      <c r="D21" s="24" t="s">
        <v>189</v>
      </c>
      <c r="E21" s="24" t="s">
        <v>190</v>
      </c>
      <c r="F21" s="24" t="s">
        <v>200</v>
      </c>
      <c r="H21" s="24" t="s">
        <v>192</v>
      </c>
      <c r="I21" s="24" t="s">
        <v>193</v>
      </c>
      <c r="J21" s="24" t="s">
        <v>194</v>
      </c>
      <c r="L21" s="24" t="s">
        <v>195</v>
      </c>
      <c r="M21" s="24" t="s">
        <v>196</v>
      </c>
      <c r="N21" s="24" t="str">
        <f>"MEERA value per unit/measure of length (B) 
("&amp;'General inputs'!$H$42&amp;" as at 1 July "&amp;LEFT('General inputs'!$I$40,4)&amp;")"</f>
        <v>MEERA value per unit/measure of length (B) 
($'000 as at 1 July 2023)</v>
      </c>
      <c r="O21" s="24" t="str">
        <f>"Total MEERA value (A x B)
("&amp;'General inputs'!$H$42&amp;", $"&amp;'General inputs'!$I$40&amp;")"</f>
        <v>Total MEERA value (A x B)
($'000, $2023-24)</v>
      </c>
      <c r="P21" s="24" t="str">
        <f>"MEERA value to be recovered via DSP ("&amp;'General inputs'!$H$42&amp;", $"&amp;'General inputs'!$I$40&amp;")"</f>
        <v>MEERA value to be recovered via DSP ($'000, $2023-24)</v>
      </c>
    </row>
    <row r="22" spans="3:18" x14ac:dyDescent="0.25">
      <c r="C22" s="193">
        <v>2025</v>
      </c>
      <c r="D22" s="168" t="str">
        <f t="shared" ref="D22:D51" si="0">LEFT(C22,4)&amp;" Assets"</f>
        <v>2025 Assets</v>
      </c>
      <c r="E22" s="163">
        <f t="shared" ref="E22:E51" si="1">DATE(C22,6,30)</f>
        <v>45838</v>
      </c>
      <c r="F22" s="169" t="str">
        <f>IF(E22="","-",IF(E22&lt;$E$15,"ERROR - date outside of range",IF(MONTH(E22)&gt;=7,YEAR(E22)&amp;"-"&amp;RIGHT(YEAR(E22),2)+1,YEAR(E22)-1&amp;"-"&amp;RIGHT(YEAR(E22),2))))</f>
        <v>2024-25</v>
      </c>
      <c r="G22" s="69"/>
      <c r="H22" s="170" t="s">
        <v>135</v>
      </c>
      <c r="I22" s="160">
        <f>'Post-1996 commissioned assets'!I22</f>
        <v>7189.7586453201966</v>
      </c>
      <c r="J22" s="171">
        <f>IFERROR(MIN('MP Calculations'!$E$29/I22,1),"-")</f>
        <v>1</v>
      </c>
      <c r="K22" s="12"/>
      <c r="L22" s="160">
        <v>1</v>
      </c>
      <c r="M22" s="160">
        <v>1</v>
      </c>
      <c r="N22" s="160">
        <v>61924.008726005457</v>
      </c>
      <c r="O22" s="180">
        <f t="shared" ref="O22:O86" si="2">IF(N22="","-",L22*N22)</f>
        <v>61924.008726005457</v>
      </c>
      <c r="P22" s="174">
        <f>IF(O22="-","-",IF(E22&lt;$E$15,0,O22*J22))</f>
        <v>61924.008726005457</v>
      </c>
    </row>
    <row r="23" spans="3:18" x14ac:dyDescent="0.25">
      <c r="C23" s="194">
        <v>2026</v>
      </c>
      <c r="D23" s="198" t="str">
        <f t="shared" si="0"/>
        <v>2026 Assets</v>
      </c>
      <c r="E23" s="199">
        <f t="shared" si="1"/>
        <v>46203</v>
      </c>
      <c r="F23" s="176" t="str">
        <f t="shared" ref="F23:F86" si="3">IF(E23="","-",IF(E23&lt;$E$15,"ERROR - date outside of range",IF(MONTH(E23)&gt;=7,YEAR(E23)&amp;"-"&amp;RIGHT(YEAR(E23),2)+1,YEAR(E23)-1&amp;"-"&amp;RIGHT(YEAR(E23),2))))</f>
        <v>2025-26</v>
      </c>
      <c r="G23" s="69"/>
      <c r="H23" s="177" t="s">
        <v>135</v>
      </c>
      <c r="I23" s="161">
        <f>I22</f>
        <v>7189.7586453201966</v>
      </c>
      <c r="J23" s="178">
        <f>IFERROR(MIN('MP Calculations'!$E$29/I23,1),"-")</f>
        <v>1</v>
      </c>
      <c r="K23" s="12"/>
      <c r="L23" s="161">
        <v>1</v>
      </c>
      <c r="M23" s="161">
        <v>1</v>
      </c>
      <c r="N23" s="161">
        <v>55124.627404826824</v>
      </c>
      <c r="O23" s="180">
        <f t="shared" si="2"/>
        <v>55124.627404826824</v>
      </c>
      <c r="P23" s="181">
        <f t="shared" ref="P23:P86" si="4">IF(O23="-","-",IF(E23&lt;$E$15,0,O23*J23))</f>
        <v>55124.627404826824</v>
      </c>
      <c r="R23" s="84"/>
    </row>
    <row r="24" spans="3:18" x14ac:dyDescent="0.25">
      <c r="C24" s="194">
        <v>2027</v>
      </c>
      <c r="D24" s="198" t="str">
        <f t="shared" si="0"/>
        <v>2027 Assets</v>
      </c>
      <c r="E24" s="199">
        <f t="shared" si="1"/>
        <v>46568</v>
      </c>
      <c r="F24" s="176" t="str">
        <f t="shared" si="3"/>
        <v>2026-27</v>
      </c>
      <c r="G24" s="69"/>
      <c r="H24" s="177" t="s">
        <v>135</v>
      </c>
      <c r="I24" s="161">
        <f t="shared" ref="I24:I51" si="5">I23</f>
        <v>7189.7586453201966</v>
      </c>
      <c r="J24" s="178">
        <f>IFERROR(MIN('MP Calculations'!$E$29/I24,1),"-")</f>
        <v>1</v>
      </c>
      <c r="K24" s="12"/>
      <c r="L24" s="161">
        <v>1</v>
      </c>
      <c r="M24" s="161">
        <v>1</v>
      </c>
      <c r="N24" s="161">
        <v>73765.358287492942</v>
      </c>
      <c r="O24" s="180">
        <f t="shared" si="2"/>
        <v>73765.358287492942</v>
      </c>
      <c r="P24" s="181">
        <f t="shared" si="4"/>
        <v>73765.358287492942</v>
      </c>
    </row>
    <row r="25" spans="3:18" x14ac:dyDescent="0.25">
      <c r="C25" s="194">
        <v>2028</v>
      </c>
      <c r="D25" s="198" t="str">
        <f t="shared" si="0"/>
        <v>2028 Assets</v>
      </c>
      <c r="E25" s="199">
        <f t="shared" si="1"/>
        <v>46934</v>
      </c>
      <c r="F25" s="176" t="str">
        <f t="shared" si="3"/>
        <v>2027-28</v>
      </c>
      <c r="G25" s="69"/>
      <c r="H25" s="177" t="s">
        <v>135</v>
      </c>
      <c r="I25" s="161">
        <f t="shared" si="5"/>
        <v>7189.7586453201966</v>
      </c>
      <c r="J25" s="178">
        <f>IFERROR(MIN('MP Calculations'!$E$29/I25,1),"-")</f>
        <v>1</v>
      </c>
      <c r="K25" s="12"/>
      <c r="L25" s="161">
        <v>1</v>
      </c>
      <c r="M25" s="161">
        <v>1</v>
      </c>
      <c r="N25" s="161">
        <v>86767.942957131367</v>
      </c>
      <c r="O25" s="180">
        <f t="shared" si="2"/>
        <v>86767.942957131367</v>
      </c>
      <c r="P25" s="181">
        <f t="shared" si="4"/>
        <v>86767.942957131367</v>
      </c>
    </row>
    <row r="26" spans="3:18" x14ac:dyDescent="0.25">
      <c r="C26" s="194">
        <v>2029</v>
      </c>
      <c r="D26" s="198" t="str">
        <f t="shared" si="0"/>
        <v>2029 Assets</v>
      </c>
      <c r="E26" s="199">
        <f t="shared" si="1"/>
        <v>47299</v>
      </c>
      <c r="F26" s="176" t="str">
        <f t="shared" si="3"/>
        <v>2028-29</v>
      </c>
      <c r="G26" s="69"/>
      <c r="H26" s="177" t="s">
        <v>135</v>
      </c>
      <c r="I26" s="161">
        <f t="shared" si="5"/>
        <v>7189.7586453201966</v>
      </c>
      <c r="J26" s="178">
        <f>IFERROR(MIN('MP Calculations'!$E$29/I26,1),"-")</f>
        <v>1</v>
      </c>
      <c r="K26" s="12"/>
      <c r="L26" s="161">
        <v>1</v>
      </c>
      <c r="M26" s="161">
        <v>1</v>
      </c>
      <c r="N26" s="161">
        <v>53224.986949464095</v>
      </c>
      <c r="O26" s="180">
        <f t="shared" si="2"/>
        <v>53224.986949464095</v>
      </c>
      <c r="P26" s="181">
        <f t="shared" si="4"/>
        <v>53224.986949464095</v>
      </c>
    </row>
    <row r="27" spans="3:18" x14ac:dyDescent="0.25">
      <c r="C27" s="194">
        <v>2030</v>
      </c>
      <c r="D27" s="198" t="str">
        <f t="shared" si="0"/>
        <v>2030 Assets</v>
      </c>
      <c r="E27" s="199">
        <f t="shared" si="1"/>
        <v>47664</v>
      </c>
      <c r="F27" s="176" t="str">
        <f t="shared" si="3"/>
        <v>2029-30</v>
      </c>
      <c r="G27" s="69"/>
      <c r="H27" s="177" t="s">
        <v>135</v>
      </c>
      <c r="I27" s="161">
        <f t="shared" si="5"/>
        <v>7189.7586453201966</v>
      </c>
      <c r="J27" s="178">
        <f>IFERROR(MIN('MP Calculations'!$E$29/I27,1),"-")</f>
        <v>1</v>
      </c>
      <c r="K27" s="12"/>
      <c r="L27" s="161">
        <v>1</v>
      </c>
      <c r="M27" s="161">
        <v>1</v>
      </c>
      <c r="N27" s="161">
        <v>112405.82338949195</v>
      </c>
      <c r="O27" s="180">
        <f t="shared" si="2"/>
        <v>112405.82338949195</v>
      </c>
      <c r="P27" s="181">
        <f t="shared" si="4"/>
        <v>112405.82338949195</v>
      </c>
    </row>
    <row r="28" spans="3:18" x14ac:dyDescent="0.25">
      <c r="C28" s="194">
        <v>2031</v>
      </c>
      <c r="D28" s="198" t="str">
        <f t="shared" si="0"/>
        <v>2031 Assets</v>
      </c>
      <c r="E28" s="199">
        <f t="shared" si="1"/>
        <v>48029</v>
      </c>
      <c r="F28" s="176" t="str">
        <f t="shared" si="3"/>
        <v>2030-31</v>
      </c>
      <c r="G28" s="69"/>
      <c r="H28" s="177" t="s">
        <v>135</v>
      </c>
      <c r="I28" s="161">
        <f t="shared" si="5"/>
        <v>7189.7586453201966</v>
      </c>
      <c r="J28" s="178">
        <f>IFERROR(MIN('MP Calculations'!$E$29/I28,1),"-")</f>
        <v>1</v>
      </c>
      <c r="K28" s="12"/>
      <c r="L28" s="161">
        <v>1</v>
      </c>
      <c r="M28" s="161">
        <v>1</v>
      </c>
      <c r="N28" s="161">
        <v>53007.041041530683</v>
      </c>
      <c r="O28" s="180">
        <f t="shared" si="2"/>
        <v>53007.041041530683</v>
      </c>
      <c r="P28" s="181">
        <f t="shared" si="4"/>
        <v>53007.041041530683</v>
      </c>
    </row>
    <row r="29" spans="3:18" x14ac:dyDescent="0.25">
      <c r="C29" s="194">
        <v>2032</v>
      </c>
      <c r="D29" s="198" t="str">
        <f t="shared" si="0"/>
        <v>2032 Assets</v>
      </c>
      <c r="E29" s="199">
        <f t="shared" si="1"/>
        <v>48395</v>
      </c>
      <c r="F29" s="176" t="str">
        <f t="shared" si="3"/>
        <v>2031-32</v>
      </c>
      <c r="G29" s="69"/>
      <c r="H29" s="177" t="s">
        <v>135</v>
      </c>
      <c r="I29" s="161">
        <f t="shared" si="5"/>
        <v>7189.7586453201966</v>
      </c>
      <c r="J29" s="178">
        <f>IFERROR(MIN('MP Calculations'!$E$29/I29,1),"-")</f>
        <v>1</v>
      </c>
      <c r="K29" s="12"/>
      <c r="L29" s="161">
        <v>1</v>
      </c>
      <c r="M29" s="161">
        <v>1</v>
      </c>
      <c r="N29" s="161">
        <v>26075.495921936905</v>
      </c>
      <c r="O29" s="180">
        <f t="shared" si="2"/>
        <v>26075.495921936905</v>
      </c>
      <c r="P29" s="181">
        <f t="shared" si="4"/>
        <v>26075.495921936905</v>
      </c>
    </row>
    <row r="30" spans="3:18" x14ac:dyDescent="0.25">
      <c r="C30" s="194">
        <v>2033</v>
      </c>
      <c r="D30" s="198" t="str">
        <f t="shared" si="0"/>
        <v>2033 Assets</v>
      </c>
      <c r="E30" s="199">
        <f t="shared" si="1"/>
        <v>48760</v>
      </c>
      <c r="F30" s="176" t="str">
        <f t="shared" si="3"/>
        <v>2032-33</v>
      </c>
      <c r="G30" s="69"/>
      <c r="H30" s="177" t="s">
        <v>135</v>
      </c>
      <c r="I30" s="161">
        <f t="shared" si="5"/>
        <v>7189.7586453201966</v>
      </c>
      <c r="J30" s="178">
        <f>IFERROR(MIN('MP Calculations'!$E$29/I30,1),"-")</f>
        <v>1</v>
      </c>
      <c r="K30" s="12"/>
      <c r="L30" s="161">
        <v>1</v>
      </c>
      <c r="M30" s="161">
        <v>1</v>
      </c>
      <c r="N30" s="161">
        <v>15248.754095418528</v>
      </c>
      <c r="O30" s="180">
        <f t="shared" si="2"/>
        <v>15248.754095418528</v>
      </c>
      <c r="P30" s="181">
        <f t="shared" si="4"/>
        <v>15248.754095418528</v>
      </c>
    </row>
    <row r="31" spans="3:18" x14ac:dyDescent="0.25">
      <c r="C31" s="194">
        <v>2034</v>
      </c>
      <c r="D31" s="198" t="str">
        <f t="shared" si="0"/>
        <v>2034 Assets</v>
      </c>
      <c r="E31" s="199">
        <f t="shared" si="1"/>
        <v>49125</v>
      </c>
      <c r="F31" s="176" t="str">
        <f t="shared" si="3"/>
        <v>2033-34</v>
      </c>
      <c r="G31" s="69"/>
      <c r="H31" s="177" t="s">
        <v>135</v>
      </c>
      <c r="I31" s="161">
        <f t="shared" si="5"/>
        <v>7189.7586453201966</v>
      </c>
      <c r="J31" s="178">
        <f>IFERROR(MIN('MP Calculations'!$E$29/I31,1),"-")</f>
        <v>1</v>
      </c>
      <c r="K31" s="12"/>
      <c r="L31" s="161">
        <v>1</v>
      </c>
      <c r="M31" s="161">
        <v>1</v>
      </c>
      <c r="N31" s="161">
        <v>16555.412712705893</v>
      </c>
      <c r="O31" s="180">
        <f t="shared" si="2"/>
        <v>16555.412712705893</v>
      </c>
      <c r="P31" s="181">
        <f t="shared" si="4"/>
        <v>16555.412712705893</v>
      </c>
    </row>
    <row r="32" spans="3:18" x14ac:dyDescent="0.25">
      <c r="C32" s="194">
        <v>2035</v>
      </c>
      <c r="D32" s="198" t="str">
        <f t="shared" si="0"/>
        <v>2035 Assets</v>
      </c>
      <c r="E32" s="199">
        <f t="shared" si="1"/>
        <v>49490</v>
      </c>
      <c r="F32" s="176" t="str">
        <f t="shared" si="3"/>
        <v>2034-35</v>
      </c>
      <c r="G32" s="69"/>
      <c r="H32" s="177" t="s">
        <v>135</v>
      </c>
      <c r="I32" s="161">
        <f t="shared" si="5"/>
        <v>7189.7586453201966</v>
      </c>
      <c r="J32" s="178">
        <f>IFERROR(MIN('MP Calculations'!$E$29/I32,1),"-")</f>
        <v>1</v>
      </c>
      <c r="K32" s="12"/>
      <c r="L32" s="161">
        <v>1</v>
      </c>
      <c r="M32" s="161">
        <v>1</v>
      </c>
      <c r="N32" s="161">
        <v>48417.65629980166</v>
      </c>
      <c r="O32" s="180">
        <f t="shared" si="2"/>
        <v>48417.65629980166</v>
      </c>
      <c r="P32" s="181">
        <f t="shared" si="4"/>
        <v>48417.65629980166</v>
      </c>
    </row>
    <row r="33" spans="3:16" x14ac:dyDescent="0.25">
      <c r="C33" s="194">
        <v>2036</v>
      </c>
      <c r="D33" s="198" t="str">
        <f t="shared" si="0"/>
        <v>2036 Assets</v>
      </c>
      <c r="E33" s="199">
        <f t="shared" si="1"/>
        <v>49856</v>
      </c>
      <c r="F33" s="176" t="str">
        <f t="shared" si="3"/>
        <v>2035-36</v>
      </c>
      <c r="G33" s="69"/>
      <c r="H33" s="177" t="s">
        <v>135</v>
      </c>
      <c r="I33" s="161">
        <f t="shared" si="5"/>
        <v>7189.7586453201966</v>
      </c>
      <c r="J33" s="178">
        <f>IFERROR(MIN('MP Calculations'!$E$29/I33,1),"-")</f>
        <v>1</v>
      </c>
      <c r="K33" s="12"/>
      <c r="L33" s="161">
        <v>1</v>
      </c>
      <c r="M33" s="161">
        <v>1</v>
      </c>
      <c r="N33" s="161">
        <v>26147.052441897446</v>
      </c>
      <c r="O33" s="180">
        <f t="shared" si="2"/>
        <v>26147.052441897446</v>
      </c>
      <c r="P33" s="181">
        <f t="shared" si="4"/>
        <v>26147.052441897446</v>
      </c>
    </row>
    <row r="34" spans="3:16" x14ac:dyDescent="0.25">
      <c r="C34" s="194">
        <v>2037</v>
      </c>
      <c r="D34" s="198" t="str">
        <f t="shared" si="0"/>
        <v>2037 Assets</v>
      </c>
      <c r="E34" s="199">
        <f t="shared" si="1"/>
        <v>50221</v>
      </c>
      <c r="F34" s="176" t="str">
        <f t="shared" si="3"/>
        <v>2036-37</v>
      </c>
      <c r="G34" s="69"/>
      <c r="H34" s="177" t="s">
        <v>135</v>
      </c>
      <c r="I34" s="161">
        <f t="shared" si="5"/>
        <v>7189.7586453201966</v>
      </c>
      <c r="J34" s="178">
        <f>IFERROR(MIN('MP Calculations'!$E$29/I34,1),"-")</f>
        <v>1</v>
      </c>
      <c r="K34" s="12"/>
      <c r="L34" s="161">
        <v>1</v>
      </c>
      <c r="M34" s="161">
        <v>1</v>
      </c>
      <c r="N34" s="161">
        <v>24208.202628352403</v>
      </c>
      <c r="O34" s="180">
        <f t="shared" si="2"/>
        <v>24208.202628352403</v>
      </c>
      <c r="P34" s="181">
        <f t="shared" si="4"/>
        <v>24208.202628352403</v>
      </c>
    </row>
    <row r="35" spans="3:16" x14ac:dyDescent="0.25">
      <c r="C35" s="194">
        <v>2038</v>
      </c>
      <c r="D35" s="198" t="str">
        <f t="shared" si="0"/>
        <v>2038 Assets</v>
      </c>
      <c r="E35" s="199">
        <f t="shared" si="1"/>
        <v>50586</v>
      </c>
      <c r="F35" s="176" t="str">
        <f t="shared" si="3"/>
        <v>2037-38</v>
      </c>
      <c r="G35" s="69"/>
      <c r="H35" s="177" t="s">
        <v>135</v>
      </c>
      <c r="I35" s="161">
        <f t="shared" si="5"/>
        <v>7189.7586453201966</v>
      </c>
      <c r="J35" s="178">
        <f>IFERROR(MIN('MP Calculations'!$E$29/I35,1),"-")</f>
        <v>1</v>
      </c>
      <c r="K35" s="12"/>
      <c r="L35" s="161">
        <v>1</v>
      </c>
      <c r="M35" s="161">
        <v>1</v>
      </c>
      <c r="N35" s="161">
        <v>1707.6031751772969</v>
      </c>
      <c r="O35" s="180">
        <f t="shared" si="2"/>
        <v>1707.6031751772969</v>
      </c>
      <c r="P35" s="181">
        <f t="shared" si="4"/>
        <v>1707.6031751772969</v>
      </c>
    </row>
    <row r="36" spans="3:16" x14ac:dyDescent="0.25">
      <c r="C36" s="194">
        <v>2039</v>
      </c>
      <c r="D36" s="198" t="str">
        <f t="shared" si="0"/>
        <v>2039 Assets</v>
      </c>
      <c r="E36" s="199">
        <f t="shared" si="1"/>
        <v>50951</v>
      </c>
      <c r="F36" s="176" t="str">
        <f t="shared" si="3"/>
        <v>2038-39</v>
      </c>
      <c r="G36" s="69"/>
      <c r="H36" s="177" t="s">
        <v>135</v>
      </c>
      <c r="I36" s="161">
        <f t="shared" si="5"/>
        <v>7189.7586453201966</v>
      </c>
      <c r="J36" s="178">
        <f>IFERROR(MIN('MP Calculations'!$E$29/I36,1),"-")</f>
        <v>1</v>
      </c>
      <c r="K36" s="12"/>
      <c r="L36" s="161">
        <v>1</v>
      </c>
      <c r="M36" s="161">
        <v>1</v>
      </c>
      <c r="N36" s="161">
        <v>592.65215241928615</v>
      </c>
      <c r="O36" s="180">
        <f t="shared" si="2"/>
        <v>592.65215241928615</v>
      </c>
      <c r="P36" s="181">
        <f t="shared" si="4"/>
        <v>592.65215241928615</v>
      </c>
    </row>
    <row r="37" spans="3:16" x14ac:dyDescent="0.25">
      <c r="C37" s="194">
        <v>2040</v>
      </c>
      <c r="D37" s="198" t="str">
        <f t="shared" si="0"/>
        <v>2040 Assets</v>
      </c>
      <c r="E37" s="199">
        <f t="shared" si="1"/>
        <v>51317</v>
      </c>
      <c r="F37" s="176" t="str">
        <f t="shared" si="3"/>
        <v>2039-40</v>
      </c>
      <c r="G37" s="69"/>
      <c r="H37" s="177" t="s">
        <v>135</v>
      </c>
      <c r="I37" s="161">
        <f t="shared" si="5"/>
        <v>7189.7586453201966</v>
      </c>
      <c r="J37" s="178">
        <f>IFERROR(MIN('MP Calculations'!$E$29/I37,1),"-")</f>
        <v>1</v>
      </c>
      <c r="K37" s="12"/>
      <c r="L37" s="161">
        <v>1</v>
      </c>
      <c r="M37" s="161">
        <v>1</v>
      </c>
      <c r="N37" s="161">
        <v>854.1078281552675</v>
      </c>
      <c r="O37" s="180">
        <f t="shared" si="2"/>
        <v>854.1078281552675</v>
      </c>
      <c r="P37" s="181">
        <f t="shared" si="4"/>
        <v>854.1078281552675</v>
      </c>
    </row>
    <row r="38" spans="3:16" x14ac:dyDescent="0.25">
      <c r="C38" s="194">
        <v>2041</v>
      </c>
      <c r="D38" s="198" t="str">
        <f t="shared" si="0"/>
        <v>2041 Assets</v>
      </c>
      <c r="E38" s="199">
        <f t="shared" si="1"/>
        <v>51682</v>
      </c>
      <c r="F38" s="176" t="str">
        <f t="shared" si="3"/>
        <v>2040-41</v>
      </c>
      <c r="G38" s="69"/>
      <c r="H38" s="177" t="s">
        <v>135</v>
      </c>
      <c r="I38" s="161">
        <f t="shared" si="5"/>
        <v>7189.7586453201966</v>
      </c>
      <c r="J38" s="178">
        <f>IFERROR(MIN('MP Calculations'!$E$29/I38,1),"-")</f>
        <v>1</v>
      </c>
      <c r="K38" s="12"/>
      <c r="L38" s="161">
        <v>1</v>
      </c>
      <c r="M38" s="161">
        <v>1</v>
      </c>
      <c r="N38" s="161">
        <v>1112.790182811505</v>
      </c>
      <c r="O38" s="180">
        <f t="shared" si="2"/>
        <v>1112.790182811505</v>
      </c>
      <c r="P38" s="181">
        <f t="shared" si="4"/>
        <v>1112.790182811505</v>
      </c>
    </row>
    <row r="39" spans="3:16" x14ac:dyDescent="0.25">
      <c r="C39" s="194">
        <v>2042</v>
      </c>
      <c r="D39" s="198" t="str">
        <f t="shared" si="0"/>
        <v>2042 Assets</v>
      </c>
      <c r="E39" s="199">
        <f t="shared" si="1"/>
        <v>52047</v>
      </c>
      <c r="F39" s="176" t="str">
        <f t="shared" si="3"/>
        <v>2041-42</v>
      </c>
      <c r="G39" s="69"/>
      <c r="H39" s="177" t="s">
        <v>135</v>
      </c>
      <c r="I39" s="161">
        <f t="shared" si="5"/>
        <v>7189.7586453201966</v>
      </c>
      <c r="J39" s="178">
        <f>IFERROR(MIN('MP Calculations'!$E$29/I39,1),"-")</f>
        <v>1</v>
      </c>
      <c r="K39" s="12"/>
      <c r="L39" s="161">
        <v>1</v>
      </c>
      <c r="M39" s="161">
        <v>1</v>
      </c>
      <c r="N39" s="161">
        <v>1254.2915820386893</v>
      </c>
      <c r="O39" s="180">
        <f t="shared" si="2"/>
        <v>1254.2915820386893</v>
      </c>
      <c r="P39" s="181">
        <f t="shared" si="4"/>
        <v>1254.2915820386893</v>
      </c>
    </row>
    <row r="40" spans="3:16" x14ac:dyDescent="0.25">
      <c r="C40" s="194">
        <v>2043</v>
      </c>
      <c r="D40" s="198" t="str">
        <f t="shared" si="0"/>
        <v>2043 Assets</v>
      </c>
      <c r="E40" s="199">
        <f t="shared" si="1"/>
        <v>52412</v>
      </c>
      <c r="F40" s="176" t="str">
        <f t="shared" si="3"/>
        <v>2042-43</v>
      </c>
      <c r="G40" s="69"/>
      <c r="H40" s="177" t="s">
        <v>135</v>
      </c>
      <c r="I40" s="161">
        <f t="shared" si="5"/>
        <v>7189.7586453201966</v>
      </c>
      <c r="J40" s="178">
        <f>IFERROR(MIN('MP Calculations'!$E$29/I40,1),"-")</f>
        <v>1</v>
      </c>
      <c r="K40" s="12"/>
      <c r="L40" s="161">
        <v>1</v>
      </c>
      <c r="M40" s="161">
        <v>1</v>
      </c>
      <c r="N40" s="161">
        <v>1192.8246495495648</v>
      </c>
      <c r="O40" s="180">
        <f t="shared" si="2"/>
        <v>1192.8246495495648</v>
      </c>
      <c r="P40" s="181">
        <f t="shared" si="4"/>
        <v>1192.8246495495648</v>
      </c>
    </row>
    <row r="41" spans="3:16" x14ac:dyDescent="0.25">
      <c r="C41" s="194">
        <v>2044</v>
      </c>
      <c r="D41" s="198" t="str">
        <f t="shared" si="0"/>
        <v>2044 Assets</v>
      </c>
      <c r="E41" s="199">
        <f t="shared" si="1"/>
        <v>52778</v>
      </c>
      <c r="F41" s="176" t="str">
        <f t="shared" si="3"/>
        <v>2043-44</v>
      </c>
      <c r="G41" s="69"/>
      <c r="H41" s="177" t="s">
        <v>135</v>
      </c>
      <c r="I41" s="161">
        <f t="shared" si="5"/>
        <v>7189.7586453201966</v>
      </c>
      <c r="J41" s="178">
        <f>IFERROR(MIN('MP Calculations'!$E$29/I41,1),"-")</f>
        <v>1</v>
      </c>
      <c r="K41" s="12"/>
      <c r="L41" s="161">
        <v>1</v>
      </c>
      <c r="M41" s="161">
        <v>1</v>
      </c>
      <c r="N41" s="161">
        <v>1213.8282968848896</v>
      </c>
      <c r="O41" s="180">
        <f t="shared" si="2"/>
        <v>1213.8282968848896</v>
      </c>
      <c r="P41" s="181">
        <f t="shared" si="4"/>
        <v>1213.8282968848896</v>
      </c>
    </row>
    <row r="42" spans="3:16" x14ac:dyDescent="0.25">
      <c r="C42" s="194">
        <v>2045</v>
      </c>
      <c r="D42" s="198" t="str">
        <f t="shared" si="0"/>
        <v>2045 Assets</v>
      </c>
      <c r="E42" s="199">
        <f t="shared" si="1"/>
        <v>53143</v>
      </c>
      <c r="F42" s="176" t="str">
        <f t="shared" si="3"/>
        <v>2044-45</v>
      </c>
      <c r="G42" s="69"/>
      <c r="H42" s="177" t="s">
        <v>135</v>
      </c>
      <c r="I42" s="161">
        <f t="shared" si="5"/>
        <v>7189.7586453201966</v>
      </c>
      <c r="J42" s="178">
        <f>IFERROR(MIN('MP Calculations'!$E$29/I42,1),"-")</f>
        <v>1</v>
      </c>
      <c r="K42" s="12"/>
      <c r="L42" s="161">
        <v>1</v>
      </c>
      <c r="M42" s="161">
        <v>1</v>
      </c>
      <c r="N42" s="161">
        <v>1511.3677179503663</v>
      </c>
      <c r="O42" s="180">
        <f t="shared" si="2"/>
        <v>1511.3677179503663</v>
      </c>
      <c r="P42" s="181">
        <f t="shared" si="4"/>
        <v>1511.3677179503663</v>
      </c>
    </row>
    <row r="43" spans="3:16" x14ac:dyDescent="0.25">
      <c r="C43" s="194">
        <v>2046</v>
      </c>
      <c r="D43" s="198" t="str">
        <f t="shared" si="0"/>
        <v>2046 Assets</v>
      </c>
      <c r="E43" s="199">
        <f t="shared" si="1"/>
        <v>53508</v>
      </c>
      <c r="F43" s="176" t="str">
        <f t="shared" si="3"/>
        <v>2045-46</v>
      </c>
      <c r="G43" s="69"/>
      <c r="H43" s="177" t="s">
        <v>135</v>
      </c>
      <c r="I43" s="161">
        <f t="shared" si="5"/>
        <v>7189.7586453201966</v>
      </c>
      <c r="J43" s="178">
        <f>IFERROR(MIN('MP Calculations'!$E$29/I43,1),"-")</f>
        <v>1</v>
      </c>
      <c r="K43" s="12"/>
      <c r="L43" s="161">
        <v>1</v>
      </c>
      <c r="M43" s="161">
        <v>1</v>
      </c>
      <c r="N43" s="161">
        <v>1622.1787461168474</v>
      </c>
      <c r="O43" s="180">
        <f t="shared" si="2"/>
        <v>1622.1787461168474</v>
      </c>
      <c r="P43" s="181">
        <f t="shared" si="4"/>
        <v>1622.1787461168474</v>
      </c>
    </row>
    <row r="44" spans="3:16" x14ac:dyDescent="0.25">
      <c r="C44" s="194">
        <v>2047</v>
      </c>
      <c r="D44" s="198" t="str">
        <f t="shared" si="0"/>
        <v>2047 Assets</v>
      </c>
      <c r="E44" s="199">
        <f t="shared" si="1"/>
        <v>53873</v>
      </c>
      <c r="F44" s="176" t="str">
        <f t="shared" si="3"/>
        <v>2046-47</v>
      </c>
      <c r="G44" s="69"/>
      <c r="H44" s="177" t="s">
        <v>135</v>
      </c>
      <c r="I44" s="161">
        <f t="shared" si="5"/>
        <v>7189.7586453201966</v>
      </c>
      <c r="J44" s="178">
        <f>IFERROR(MIN('MP Calculations'!$E$29/I44,1),"-")</f>
        <v>1</v>
      </c>
      <c r="K44" s="12"/>
      <c r="L44" s="161">
        <v>1</v>
      </c>
      <c r="M44" s="161">
        <v>1</v>
      </c>
      <c r="N44" s="161">
        <v>1687.3856218774526</v>
      </c>
      <c r="O44" s="180">
        <f t="shared" si="2"/>
        <v>1687.3856218774526</v>
      </c>
      <c r="P44" s="181">
        <f t="shared" si="4"/>
        <v>1687.3856218774526</v>
      </c>
    </row>
    <row r="45" spans="3:16" x14ac:dyDescent="0.25">
      <c r="C45" s="194">
        <v>2048</v>
      </c>
      <c r="D45" s="198" t="str">
        <f t="shared" si="0"/>
        <v>2048 Assets</v>
      </c>
      <c r="E45" s="199">
        <f t="shared" si="1"/>
        <v>54239</v>
      </c>
      <c r="F45" s="176" t="str">
        <f t="shared" si="3"/>
        <v>2047-48</v>
      </c>
      <c r="G45" s="69"/>
      <c r="H45" s="177" t="s">
        <v>135</v>
      </c>
      <c r="I45" s="161">
        <f t="shared" si="5"/>
        <v>7189.7586453201966</v>
      </c>
      <c r="J45" s="178">
        <f>IFERROR(MIN('MP Calculations'!$E$29/I45,1),"-")</f>
        <v>1</v>
      </c>
      <c r="K45" s="12"/>
      <c r="L45" s="161">
        <v>1</v>
      </c>
      <c r="M45" s="161">
        <v>1</v>
      </c>
      <c r="N45" s="161">
        <v>1710.5921533650198</v>
      </c>
      <c r="O45" s="180">
        <f t="shared" si="2"/>
        <v>1710.5921533650198</v>
      </c>
      <c r="P45" s="181">
        <f t="shared" si="4"/>
        <v>1710.5921533650198</v>
      </c>
    </row>
    <row r="46" spans="3:16" x14ac:dyDescent="0.25">
      <c r="C46" s="194">
        <v>2049</v>
      </c>
      <c r="D46" s="198" t="str">
        <f t="shared" si="0"/>
        <v>2049 Assets</v>
      </c>
      <c r="E46" s="199">
        <f t="shared" si="1"/>
        <v>54604</v>
      </c>
      <c r="F46" s="176" t="str">
        <f t="shared" si="3"/>
        <v>2048-49</v>
      </c>
      <c r="G46" s="69"/>
      <c r="H46" s="177" t="s">
        <v>135</v>
      </c>
      <c r="I46" s="161">
        <f t="shared" si="5"/>
        <v>7189.7586453201966</v>
      </c>
      <c r="J46" s="178">
        <f>IFERROR(MIN('MP Calculations'!$E$29/I46,1),"-")</f>
        <v>1</v>
      </c>
      <c r="K46" s="12"/>
      <c r="L46" s="161">
        <v>1</v>
      </c>
      <c r="M46" s="161">
        <v>1</v>
      </c>
      <c r="N46" s="161">
        <v>1734.8778811516258</v>
      </c>
      <c r="O46" s="180">
        <f t="shared" si="2"/>
        <v>1734.8778811516258</v>
      </c>
      <c r="P46" s="181">
        <f t="shared" si="4"/>
        <v>1734.8778811516258</v>
      </c>
    </row>
    <row r="47" spans="3:16" x14ac:dyDescent="0.25">
      <c r="C47" s="194">
        <v>2050</v>
      </c>
      <c r="D47" s="198" t="str">
        <f t="shared" si="0"/>
        <v>2050 Assets</v>
      </c>
      <c r="E47" s="199">
        <f t="shared" si="1"/>
        <v>54969</v>
      </c>
      <c r="F47" s="176" t="str">
        <f t="shared" si="3"/>
        <v>2049-50</v>
      </c>
      <c r="G47" s="69"/>
      <c r="H47" s="177" t="s">
        <v>135</v>
      </c>
      <c r="I47" s="161">
        <f t="shared" si="5"/>
        <v>7189.7586453201966</v>
      </c>
      <c r="J47" s="178">
        <f>IFERROR(MIN('MP Calculations'!$E$29/I47,1),"-")</f>
        <v>1</v>
      </c>
      <c r="K47" s="12"/>
      <c r="L47" s="161">
        <v>1</v>
      </c>
      <c r="M47" s="161">
        <v>1</v>
      </c>
      <c r="N47" s="161">
        <v>9742.2803234070925</v>
      </c>
      <c r="O47" s="180">
        <f t="shared" si="2"/>
        <v>9742.2803234070925</v>
      </c>
      <c r="P47" s="181">
        <f t="shared" si="4"/>
        <v>9742.2803234070925</v>
      </c>
    </row>
    <row r="48" spans="3:16" x14ac:dyDescent="0.25">
      <c r="C48" s="194">
        <v>2051</v>
      </c>
      <c r="D48" s="198" t="str">
        <f t="shared" si="0"/>
        <v>2051 Assets</v>
      </c>
      <c r="E48" s="199">
        <f t="shared" si="1"/>
        <v>55334</v>
      </c>
      <c r="F48" s="176" t="str">
        <f t="shared" si="3"/>
        <v>2050-51</v>
      </c>
      <c r="G48" s="69"/>
      <c r="H48" s="177" t="s">
        <v>135</v>
      </c>
      <c r="I48" s="161">
        <f t="shared" si="5"/>
        <v>7189.7586453201966</v>
      </c>
      <c r="J48" s="178">
        <f>IFERROR(MIN('MP Calculations'!$E$29/I48,1),"-")</f>
        <v>1</v>
      </c>
      <c r="K48" s="12"/>
      <c r="L48" s="161">
        <v>1</v>
      </c>
      <c r="M48" s="161">
        <v>1</v>
      </c>
      <c r="N48" s="161">
        <v>9548.4703756831623</v>
      </c>
      <c r="O48" s="180">
        <f t="shared" si="2"/>
        <v>9548.4703756831623</v>
      </c>
      <c r="P48" s="181">
        <f t="shared" si="4"/>
        <v>9548.4703756831623</v>
      </c>
    </row>
    <row r="49" spans="3:16" x14ac:dyDescent="0.25">
      <c r="C49" s="194">
        <v>2052</v>
      </c>
      <c r="D49" s="198" t="str">
        <f t="shared" si="0"/>
        <v>2052 Assets</v>
      </c>
      <c r="E49" s="199">
        <f t="shared" si="1"/>
        <v>55700</v>
      </c>
      <c r="F49" s="176" t="str">
        <f t="shared" si="3"/>
        <v>2051-52</v>
      </c>
      <c r="G49" s="69"/>
      <c r="H49" s="177" t="s">
        <v>135</v>
      </c>
      <c r="I49" s="161">
        <f t="shared" si="5"/>
        <v>7189.7586453201966</v>
      </c>
      <c r="J49" s="178">
        <f>IFERROR(MIN('MP Calculations'!$E$29/I49,1),"-")</f>
        <v>1</v>
      </c>
      <c r="K49" s="12"/>
      <c r="L49" s="161">
        <v>1</v>
      </c>
      <c r="M49" s="161">
        <v>1</v>
      </c>
      <c r="N49" s="161">
        <v>9343.7334375326245</v>
      </c>
      <c r="O49" s="180">
        <f t="shared" si="2"/>
        <v>9343.7334375326245</v>
      </c>
      <c r="P49" s="181">
        <f t="shared" si="4"/>
        <v>9343.7334375326245</v>
      </c>
    </row>
    <row r="50" spans="3:16" x14ac:dyDescent="0.25">
      <c r="C50" s="194">
        <v>2053</v>
      </c>
      <c r="D50" s="198" t="str">
        <f t="shared" si="0"/>
        <v>2053 Assets</v>
      </c>
      <c r="E50" s="199">
        <f t="shared" si="1"/>
        <v>56065</v>
      </c>
      <c r="F50" s="176" t="str">
        <f t="shared" si="3"/>
        <v>2052-53</v>
      </c>
      <c r="G50" s="69"/>
      <c r="H50" s="177" t="s">
        <v>135</v>
      </c>
      <c r="I50" s="161">
        <f t="shared" si="5"/>
        <v>7189.7586453201966</v>
      </c>
      <c r="J50" s="178">
        <f>IFERROR(MIN('MP Calculations'!$E$29/I50,1),"-")</f>
        <v>1</v>
      </c>
      <c r="K50" s="12"/>
      <c r="L50" s="161">
        <v>1</v>
      </c>
      <c r="M50" s="161">
        <v>1</v>
      </c>
      <c r="N50" s="161">
        <v>9095.9926404984217</v>
      </c>
      <c r="O50" s="180">
        <f t="shared" si="2"/>
        <v>9095.9926404984217</v>
      </c>
      <c r="P50" s="181">
        <f t="shared" si="4"/>
        <v>9095.9926404984217</v>
      </c>
    </row>
    <row r="51" spans="3:16" x14ac:dyDescent="0.25">
      <c r="C51" s="194">
        <v>2054</v>
      </c>
      <c r="D51" s="198" t="str">
        <f t="shared" si="0"/>
        <v>2054 Assets</v>
      </c>
      <c r="E51" s="199">
        <f t="shared" si="1"/>
        <v>56430</v>
      </c>
      <c r="F51" s="176" t="str">
        <f t="shared" si="3"/>
        <v>2053-54</v>
      </c>
      <c r="G51" s="69"/>
      <c r="H51" s="177" t="s">
        <v>135</v>
      </c>
      <c r="I51" s="161">
        <f t="shared" si="5"/>
        <v>7189.7586453201966</v>
      </c>
      <c r="J51" s="178">
        <f>IFERROR(MIN('MP Calculations'!$E$29/I51,1),"-")</f>
        <v>1</v>
      </c>
      <c r="K51" s="12"/>
      <c r="L51" s="161">
        <v>1</v>
      </c>
      <c r="M51" s="161">
        <v>1</v>
      </c>
      <c r="N51" s="161">
        <v>2156.4181364119077</v>
      </c>
      <c r="O51" s="180">
        <f t="shared" si="2"/>
        <v>2156.4181364119077</v>
      </c>
      <c r="P51" s="181">
        <f t="shared" si="4"/>
        <v>2156.4181364119077</v>
      </c>
    </row>
    <row r="52" spans="3:16" x14ac:dyDescent="0.25">
      <c r="C52" s="161"/>
      <c r="D52" s="175"/>
      <c r="E52" s="164"/>
      <c r="F52" s="176" t="str">
        <f t="shared" si="3"/>
        <v>-</v>
      </c>
      <c r="G52" s="69"/>
      <c r="H52" s="192"/>
      <c r="I52" s="161"/>
      <c r="J52" s="178" t="str">
        <f>IFERROR(MIN('MP Calculations'!$E$29/I52,1),"-")</f>
        <v>-</v>
      </c>
      <c r="K52" s="12"/>
      <c r="L52" s="161"/>
      <c r="M52" s="161"/>
      <c r="N52" s="161">
        <v>0</v>
      </c>
      <c r="O52" s="180">
        <f t="shared" si="2"/>
        <v>0</v>
      </c>
      <c r="P52" s="181">
        <f t="shared" si="4"/>
        <v>0</v>
      </c>
    </row>
    <row r="53" spans="3:16" x14ac:dyDescent="0.25">
      <c r="C53" s="161"/>
      <c r="D53" s="175"/>
      <c r="E53" s="164"/>
      <c r="F53" s="176" t="str">
        <f t="shared" si="3"/>
        <v>-</v>
      </c>
      <c r="G53" s="69"/>
      <c r="H53" s="192"/>
      <c r="I53" s="161"/>
      <c r="J53" s="178" t="str">
        <f>IFERROR(MIN('MP Calculations'!$E$29/I53,1),"-")</f>
        <v>-</v>
      </c>
      <c r="K53" s="12"/>
      <c r="L53" s="161"/>
      <c r="M53" s="161"/>
      <c r="N53" s="161">
        <v>0</v>
      </c>
      <c r="O53" s="180">
        <f t="shared" si="2"/>
        <v>0</v>
      </c>
      <c r="P53" s="181">
        <f t="shared" si="4"/>
        <v>0</v>
      </c>
    </row>
    <row r="54" spans="3:16" x14ac:dyDescent="0.25">
      <c r="C54" s="161"/>
      <c r="D54" s="175"/>
      <c r="E54" s="164"/>
      <c r="F54" s="176" t="str">
        <f t="shared" si="3"/>
        <v>-</v>
      </c>
      <c r="G54" s="69"/>
      <c r="H54" s="192"/>
      <c r="I54" s="161"/>
      <c r="J54" s="178" t="str">
        <f>IFERROR(MIN('MP Calculations'!$E$29/I54,1),"-")</f>
        <v>-</v>
      </c>
      <c r="K54" s="12"/>
      <c r="L54" s="161"/>
      <c r="M54" s="161"/>
      <c r="N54" s="161">
        <v>0</v>
      </c>
      <c r="O54" s="180">
        <f t="shared" si="2"/>
        <v>0</v>
      </c>
      <c r="P54" s="181">
        <f t="shared" si="4"/>
        <v>0</v>
      </c>
    </row>
    <row r="55" spans="3:16" x14ac:dyDescent="0.25">
      <c r="C55" s="161"/>
      <c r="D55" s="175"/>
      <c r="E55" s="164"/>
      <c r="F55" s="176" t="str">
        <f t="shared" si="3"/>
        <v>-</v>
      </c>
      <c r="G55" s="69"/>
      <c r="H55" s="192"/>
      <c r="I55" s="161"/>
      <c r="J55" s="178" t="str">
        <f>IFERROR(MIN('MP Calculations'!$E$29/I55,1),"-")</f>
        <v>-</v>
      </c>
      <c r="K55" s="12"/>
      <c r="L55" s="161"/>
      <c r="M55" s="161"/>
      <c r="N55" s="161">
        <v>0</v>
      </c>
      <c r="O55" s="180">
        <f t="shared" si="2"/>
        <v>0</v>
      </c>
      <c r="P55" s="181">
        <f t="shared" si="4"/>
        <v>0</v>
      </c>
    </row>
    <row r="56" spans="3:16" x14ac:dyDescent="0.25">
      <c r="C56" s="161"/>
      <c r="D56" s="175"/>
      <c r="E56" s="164"/>
      <c r="F56" s="176" t="str">
        <f t="shared" si="3"/>
        <v>-</v>
      </c>
      <c r="G56" s="69"/>
      <c r="H56" s="192"/>
      <c r="I56" s="161"/>
      <c r="J56" s="178" t="str">
        <f>IFERROR(MIN('MP Calculations'!$E$29/I56,1),"-")</f>
        <v>-</v>
      </c>
      <c r="K56" s="12"/>
      <c r="L56" s="161"/>
      <c r="M56" s="161"/>
      <c r="N56" s="161">
        <v>0</v>
      </c>
      <c r="O56" s="180">
        <f t="shared" si="2"/>
        <v>0</v>
      </c>
      <c r="P56" s="181">
        <f t="shared" si="4"/>
        <v>0</v>
      </c>
    </row>
    <row r="57" spans="3:16" x14ac:dyDescent="0.25">
      <c r="C57" s="161"/>
      <c r="D57" s="175"/>
      <c r="E57" s="164"/>
      <c r="F57" s="176" t="str">
        <f t="shared" si="3"/>
        <v>-</v>
      </c>
      <c r="G57" s="69"/>
      <c r="H57" s="192"/>
      <c r="I57" s="161"/>
      <c r="J57" s="178" t="str">
        <f>IFERROR(MIN('MP Calculations'!$E$29/I57,1),"-")</f>
        <v>-</v>
      </c>
      <c r="K57" s="12"/>
      <c r="L57" s="161"/>
      <c r="M57" s="161"/>
      <c r="N57" s="161">
        <v>0</v>
      </c>
      <c r="O57" s="180">
        <f t="shared" si="2"/>
        <v>0</v>
      </c>
      <c r="P57" s="181">
        <f t="shared" si="4"/>
        <v>0</v>
      </c>
    </row>
    <row r="58" spans="3:16" x14ac:dyDescent="0.25">
      <c r="C58" s="161"/>
      <c r="D58" s="175"/>
      <c r="E58" s="164"/>
      <c r="F58" s="176" t="str">
        <f t="shared" si="3"/>
        <v>-</v>
      </c>
      <c r="G58" s="69"/>
      <c r="H58" s="192"/>
      <c r="I58" s="161"/>
      <c r="J58" s="178" t="str">
        <f>IFERROR(MIN('MP Calculations'!$E$29/I58,1),"-")</f>
        <v>-</v>
      </c>
      <c r="K58" s="12"/>
      <c r="L58" s="161"/>
      <c r="M58" s="161"/>
      <c r="N58" s="161"/>
      <c r="O58" s="180" t="str">
        <f t="shared" si="2"/>
        <v>-</v>
      </c>
      <c r="P58" s="181" t="str">
        <f t="shared" si="4"/>
        <v>-</v>
      </c>
    </row>
    <row r="59" spans="3:16" x14ac:dyDescent="0.25">
      <c r="C59" s="161"/>
      <c r="D59" s="175"/>
      <c r="E59" s="164"/>
      <c r="F59" s="176" t="str">
        <f t="shared" si="3"/>
        <v>-</v>
      </c>
      <c r="G59" s="69"/>
      <c r="H59" s="192"/>
      <c r="I59" s="161"/>
      <c r="J59" s="178" t="str">
        <f>IFERROR(MIN('MP Calculations'!$E$29/I59,1),"-")</f>
        <v>-</v>
      </c>
      <c r="K59" s="12"/>
      <c r="L59" s="161"/>
      <c r="M59" s="161"/>
      <c r="N59" s="161"/>
      <c r="O59" s="180" t="str">
        <f t="shared" si="2"/>
        <v>-</v>
      </c>
      <c r="P59" s="181" t="str">
        <f t="shared" si="4"/>
        <v>-</v>
      </c>
    </row>
    <row r="60" spans="3:16" x14ac:dyDescent="0.25">
      <c r="C60" s="161"/>
      <c r="D60" s="175"/>
      <c r="E60" s="164"/>
      <c r="F60" s="176" t="str">
        <f t="shared" si="3"/>
        <v>-</v>
      </c>
      <c r="G60" s="69"/>
      <c r="H60" s="192"/>
      <c r="I60" s="161"/>
      <c r="J60" s="178" t="str">
        <f>IFERROR(MIN('MP Calculations'!$E$29/I60,1),"-")</f>
        <v>-</v>
      </c>
      <c r="K60" s="12"/>
      <c r="L60" s="161"/>
      <c r="M60" s="161"/>
      <c r="N60" s="161"/>
      <c r="O60" s="180" t="str">
        <f t="shared" si="2"/>
        <v>-</v>
      </c>
      <c r="P60" s="181" t="str">
        <f t="shared" si="4"/>
        <v>-</v>
      </c>
    </row>
    <row r="61" spans="3:16" x14ac:dyDescent="0.25">
      <c r="C61" s="161"/>
      <c r="D61" s="175"/>
      <c r="E61" s="164"/>
      <c r="F61" s="176" t="str">
        <f t="shared" si="3"/>
        <v>-</v>
      </c>
      <c r="G61" s="69"/>
      <c r="H61" s="192"/>
      <c r="I61" s="161"/>
      <c r="J61" s="178" t="str">
        <f>IFERROR(MIN('MP Calculations'!$E$29/I61,1),"-")</f>
        <v>-</v>
      </c>
      <c r="K61" s="12"/>
      <c r="L61" s="161"/>
      <c r="M61" s="161"/>
      <c r="N61" s="161"/>
      <c r="O61" s="180" t="str">
        <f t="shared" si="2"/>
        <v>-</v>
      </c>
      <c r="P61" s="181" t="str">
        <f t="shared" si="4"/>
        <v>-</v>
      </c>
    </row>
    <row r="62" spans="3:16" x14ac:dyDescent="0.25">
      <c r="C62" s="161"/>
      <c r="D62" s="175"/>
      <c r="E62" s="164"/>
      <c r="F62" s="176" t="str">
        <f t="shared" si="3"/>
        <v>-</v>
      </c>
      <c r="G62" s="69"/>
      <c r="H62" s="192"/>
      <c r="I62" s="161"/>
      <c r="J62" s="178" t="str">
        <f>IFERROR(MIN('MP Calculations'!$E$29/I62,1),"-")</f>
        <v>-</v>
      </c>
      <c r="K62" s="12"/>
      <c r="L62" s="161"/>
      <c r="M62" s="161"/>
      <c r="N62" s="161"/>
      <c r="O62" s="180" t="str">
        <f t="shared" si="2"/>
        <v>-</v>
      </c>
      <c r="P62" s="181" t="str">
        <f t="shared" si="4"/>
        <v>-</v>
      </c>
    </row>
    <row r="63" spans="3:16" x14ac:dyDescent="0.25">
      <c r="C63" s="161"/>
      <c r="D63" s="175"/>
      <c r="E63" s="164"/>
      <c r="F63" s="176" t="str">
        <f t="shared" si="3"/>
        <v>-</v>
      </c>
      <c r="G63" s="69"/>
      <c r="H63" s="192"/>
      <c r="I63" s="161"/>
      <c r="J63" s="178" t="str">
        <f>IFERROR(MIN('MP Calculations'!$E$29/I63,1),"-")</f>
        <v>-</v>
      </c>
      <c r="K63" s="12"/>
      <c r="L63" s="161"/>
      <c r="M63" s="161"/>
      <c r="N63" s="161"/>
      <c r="O63" s="180" t="str">
        <f t="shared" si="2"/>
        <v>-</v>
      </c>
      <c r="P63" s="181" t="str">
        <f t="shared" si="4"/>
        <v>-</v>
      </c>
    </row>
    <row r="64" spans="3:16" x14ac:dyDescent="0.25">
      <c r="C64" s="161"/>
      <c r="D64" s="175"/>
      <c r="E64" s="164"/>
      <c r="F64" s="176" t="str">
        <f t="shared" si="3"/>
        <v>-</v>
      </c>
      <c r="G64" s="69"/>
      <c r="H64" s="192"/>
      <c r="I64" s="161"/>
      <c r="J64" s="178" t="str">
        <f>IFERROR(MIN('MP Calculations'!$E$29/I64,1),"-")</f>
        <v>-</v>
      </c>
      <c r="K64" s="12"/>
      <c r="L64" s="161"/>
      <c r="M64" s="161"/>
      <c r="N64" s="161"/>
      <c r="O64" s="180" t="str">
        <f t="shared" si="2"/>
        <v>-</v>
      </c>
      <c r="P64" s="181" t="str">
        <f t="shared" si="4"/>
        <v>-</v>
      </c>
    </row>
    <row r="65" spans="3:16" x14ac:dyDescent="0.25">
      <c r="C65" s="161"/>
      <c r="D65" s="175"/>
      <c r="E65" s="164"/>
      <c r="F65" s="176" t="str">
        <f t="shared" si="3"/>
        <v>-</v>
      </c>
      <c r="G65" s="69"/>
      <c r="H65" s="192"/>
      <c r="I65" s="161"/>
      <c r="J65" s="178" t="str">
        <f>IFERROR(MIN('MP Calculations'!$E$29/I65,1),"-")</f>
        <v>-</v>
      </c>
      <c r="K65" s="12"/>
      <c r="L65" s="161"/>
      <c r="M65" s="161"/>
      <c r="N65" s="161"/>
      <c r="O65" s="180" t="str">
        <f t="shared" si="2"/>
        <v>-</v>
      </c>
      <c r="P65" s="181" t="str">
        <f t="shared" si="4"/>
        <v>-</v>
      </c>
    </row>
    <row r="66" spans="3:16" x14ac:dyDescent="0.25">
      <c r="C66" s="161"/>
      <c r="D66" s="175"/>
      <c r="E66" s="164"/>
      <c r="F66" s="176" t="str">
        <f t="shared" si="3"/>
        <v>-</v>
      </c>
      <c r="G66" s="69"/>
      <c r="H66" s="192"/>
      <c r="I66" s="161"/>
      <c r="J66" s="178" t="str">
        <f>IFERROR(MIN('MP Calculations'!$E$29/I66,1),"-")</f>
        <v>-</v>
      </c>
      <c r="K66" s="12"/>
      <c r="L66" s="161"/>
      <c r="M66" s="161"/>
      <c r="N66" s="161"/>
      <c r="O66" s="180" t="str">
        <f t="shared" si="2"/>
        <v>-</v>
      </c>
      <c r="P66" s="181" t="str">
        <f t="shared" si="4"/>
        <v>-</v>
      </c>
    </row>
    <row r="67" spans="3:16" x14ac:dyDescent="0.25">
      <c r="C67" s="161"/>
      <c r="D67" s="175"/>
      <c r="E67" s="164"/>
      <c r="F67" s="176" t="str">
        <f t="shared" si="3"/>
        <v>-</v>
      </c>
      <c r="G67" s="69"/>
      <c r="H67" s="192"/>
      <c r="I67" s="161"/>
      <c r="J67" s="178" t="str">
        <f>IFERROR(MIN('MP Calculations'!$E$29/I67,1),"-")</f>
        <v>-</v>
      </c>
      <c r="K67" s="12"/>
      <c r="L67" s="161"/>
      <c r="M67" s="161"/>
      <c r="N67" s="161"/>
      <c r="O67" s="180" t="str">
        <f t="shared" si="2"/>
        <v>-</v>
      </c>
      <c r="P67" s="181" t="str">
        <f t="shared" si="4"/>
        <v>-</v>
      </c>
    </row>
    <row r="68" spans="3:16" x14ac:dyDescent="0.25">
      <c r="C68" s="161"/>
      <c r="D68" s="175"/>
      <c r="E68" s="164"/>
      <c r="F68" s="176" t="str">
        <f t="shared" si="3"/>
        <v>-</v>
      </c>
      <c r="G68" s="69"/>
      <c r="H68" s="192"/>
      <c r="I68" s="161"/>
      <c r="J68" s="178" t="str">
        <f>IFERROR(MIN('MP Calculations'!$E$29/I68,1),"-")</f>
        <v>-</v>
      </c>
      <c r="K68" s="12"/>
      <c r="L68" s="161"/>
      <c r="M68" s="161"/>
      <c r="N68" s="161"/>
      <c r="O68" s="180" t="str">
        <f t="shared" si="2"/>
        <v>-</v>
      </c>
      <c r="P68" s="181" t="str">
        <f t="shared" si="4"/>
        <v>-</v>
      </c>
    </row>
    <row r="69" spans="3:16" x14ac:dyDescent="0.25">
      <c r="C69" s="161"/>
      <c r="D69" s="175"/>
      <c r="E69" s="164"/>
      <c r="F69" s="176" t="str">
        <f t="shared" si="3"/>
        <v>-</v>
      </c>
      <c r="G69" s="69"/>
      <c r="H69" s="192"/>
      <c r="I69" s="161"/>
      <c r="J69" s="178" t="str">
        <f>IFERROR(MIN('MP Calculations'!$E$29/I69,1),"-")</f>
        <v>-</v>
      </c>
      <c r="K69" s="12"/>
      <c r="L69" s="161"/>
      <c r="M69" s="161"/>
      <c r="N69" s="161"/>
      <c r="O69" s="180" t="str">
        <f t="shared" si="2"/>
        <v>-</v>
      </c>
      <c r="P69" s="181" t="str">
        <f t="shared" si="4"/>
        <v>-</v>
      </c>
    </row>
    <row r="70" spans="3:16" x14ac:dyDescent="0.25">
      <c r="C70" s="161"/>
      <c r="D70" s="175"/>
      <c r="E70" s="164"/>
      <c r="F70" s="176" t="str">
        <f t="shared" si="3"/>
        <v>-</v>
      </c>
      <c r="G70" s="69"/>
      <c r="H70" s="192"/>
      <c r="I70" s="161"/>
      <c r="J70" s="178" t="str">
        <f>IFERROR(MIN('MP Calculations'!$E$29/I70,1),"-")</f>
        <v>-</v>
      </c>
      <c r="K70" s="12"/>
      <c r="L70" s="161"/>
      <c r="M70" s="161"/>
      <c r="N70" s="161"/>
      <c r="O70" s="180" t="str">
        <f t="shared" si="2"/>
        <v>-</v>
      </c>
      <c r="P70" s="181" t="str">
        <f t="shared" si="4"/>
        <v>-</v>
      </c>
    </row>
    <row r="71" spans="3:16" x14ac:dyDescent="0.25">
      <c r="C71" s="161"/>
      <c r="D71" s="175"/>
      <c r="E71" s="164"/>
      <c r="F71" s="176" t="str">
        <f t="shared" si="3"/>
        <v>-</v>
      </c>
      <c r="G71" s="69"/>
      <c r="H71" s="192"/>
      <c r="I71" s="161"/>
      <c r="J71" s="178" t="str">
        <f>IFERROR(MIN('MP Calculations'!$E$29/I71,1),"-")</f>
        <v>-</v>
      </c>
      <c r="K71" s="12"/>
      <c r="L71" s="161"/>
      <c r="M71" s="161"/>
      <c r="N71" s="161"/>
      <c r="O71" s="180" t="str">
        <f t="shared" si="2"/>
        <v>-</v>
      </c>
      <c r="P71" s="181" t="str">
        <f t="shared" si="4"/>
        <v>-</v>
      </c>
    </row>
    <row r="72" spans="3:16" x14ac:dyDescent="0.25">
      <c r="C72" s="161"/>
      <c r="D72" s="175"/>
      <c r="E72" s="164"/>
      <c r="F72" s="176" t="str">
        <f t="shared" si="3"/>
        <v>-</v>
      </c>
      <c r="G72" s="69"/>
      <c r="H72" s="192"/>
      <c r="I72" s="161"/>
      <c r="J72" s="178" t="str">
        <f>IFERROR(MIN('MP Calculations'!$E$29/I72,1),"-")</f>
        <v>-</v>
      </c>
      <c r="K72" s="12"/>
      <c r="L72" s="161"/>
      <c r="M72" s="161"/>
      <c r="N72" s="161"/>
      <c r="O72" s="180" t="str">
        <f t="shared" si="2"/>
        <v>-</v>
      </c>
      <c r="P72" s="181" t="str">
        <f t="shared" si="4"/>
        <v>-</v>
      </c>
    </row>
    <row r="73" spans="3:16" x14ac:dyDescent="0.25">
      <c r="C73" s="161"/>
      <c r="D73" s="175"/>
      <c r="E73" s="164"/>
      <c r="F73" s="176" t="str">
        <f t="shared" si="3"/>
        <v>-</v>
      </c>
      <c r="G73" s="69"/>
      <c r="H73" s="192"/>
      <c r="I73" s="161"/>
      <c r="J73" s="178" t="str">
        <f>IFERROR(MIN('MP Calculations'!$E$29/I73,1),"-")</f>
        <v>-</v>
      </c>
      <c r="K73" s="12"/>
      <c r="L73" s="161"/>
      <c r="M73" s="161"/>
      <c r="N73" s="161"/>
      <c r="O73" s="180" t="str">
        <f t="shared" si="2"/>
        <v>-</v>
      </c>
      <c r="P73" s="181" t="str">
        <f t="shared" si="4"/>
        <v>-</v>
      </c>
    </row>
    <row r="74" spans="3:16" x14ac:dyDescent="0.25">
      <c r="C74" s="161"/>
      <c r="D74" s="175"/>
      <c r="E74" s="164"/>
      <c r="F74" s="176" t="str">
        <f t="shared" si="3"/>
        <v>-</v>
      </c>
      <c r="G74" s="69"/>
      <c r="H74" s="192"/>
      <c r="I74" s="161"/>
      <c r="J74" s="178" t="str">
        <f>IFERROR(MIN('MP Calculations'!$E$29/I74,1),"-")</f>
        <v>-</v>
      </c>
      <c r="K74" s="12"/>
      <c r="L74" s="161"/>
      <c r="M74" s="161"/>
      <c r="N74" s="161"/>
      <c r="O74" s="180" t="str">
        <f t="shared" si="2"/>
        <v>-</v>
      </c>
      <c r="P74" s="181" t="str">
        <f t="shared" si="4"/>
        <v>-</v>
      </c>
    </row>
    <row r="75" spans="3:16" x14ac:dyDescent="0.25">
      <c r="C75" s="161"/>
      <c r="D75" s="175"/>
      <c r="E75" s="164"/>
      <c r="F75" s="176" t="str">
        <f t="shared" si="3"/>
        <v>-</v>
      </c>
      <c r="G75" s="69"/>
      <c r="H75" s="192"/>
      <c r="I75" s="161"/>
      <c r="J75" s="178" t="str">
        <f>IFERROR(MIN('MP Calculations'!$E$29/I75,1),"-")</f>
        <v>-</v>
      </c>
      <c r="K75" s="12"/>
      <c r="L75" s="161"/>
      <c r="M75" s="161"/>
      <c r="N75" s="161"/>
      <c r="O75" s="180" t="str">
        <f t="shared" si="2"/>
        <v>-</v>
      </c>
      <c r="P75" s="181" t="str">
        <f t="shared" si="4"/>
        <v>-</v>
      </c>
    </row>
    <row r="76" spans="3:16" x14ac:dyDescent="0.25">
      <c r="C76" s="161"/>
      <c r="D76" s="175"/>
      <c r="E76" s="164"/>
      <c r="F76" s="176" t="str">
        <f t="shared" si="3"/>
        <v>-</v>
      </c>
      <c r="G76" s="69"/>
      <c r="H76" s="192"/>
      <c r="I76" s="161"/>
      <c r="J76" s="178" t="str">
        <f>IFERROR(MIN('MP Calculations'!$E$29/I76,1),"-")</f>
        <v>-</v>
      </c>
      <c r="K76" s="12"/>
      <c r="L76" s="161"/>
      <c r="M76" s="161"/>
      <c r="N76" s="161"/>
      <c r="O76" s="180" t="str">
        <f t="shared" si="2"/>
        <v>-</v>
      </c>
      <c r="P76" s="181" t="str">
        <f t="shared" si="4"/>
        <v>-</v>
      </c>
    </row>
    <row r="77" spans="3:16" x14ac:dyDescent="0.25">
      <c r="C77" s="161"/>
      <c r="D77" s="175"/>
      <c r="E77" s="164"/>
      <c r="F77" s="176" t="str">
        <f t="shared" si="3"/>
        <v>-</v>
      </c>
      <c r="G77" s="69"/>
      <c r="H77" s="192"/>
      <c r="I77" s="161"/>
      <c r="J77" s="178" t="str">
        <f>IFERROR(MIN('MP Calculations'!$E$29/I77,1),"-")</f>
        <v>-</v>
      </c>
      <c r="K77" s="12"/>
      <c r="L77" s="161"/>
      <c r="M77" s="161"/>
      <c r="N77" s="161"/>
      <c r="O77" s="180" t="str">
        <f t="shared" si="2"/>
        <v>-</v>
      </c>
      <c r="P77" s="181" t="str">
        <f t="shared" si="4"/>
        <v>-</v>
      </c>
    </row>
    <row r="78" spans="3:16" x14ac:dyDescent="0.25">
      <c r="C78" s="161"/>
      <c r="D78" s="175"/>
      <c r="E78" s="164"/>
      <c r="F78" s="176" t="str">
        <f t="shared" si="3"/>
        <v>-</v>
      </c>
      <c r="G78" s="69"/>
      <c r="H78" s="192"/>
      <c r="I78" s="161"/>
      <c r="J78" s="178" t="str">
        <f>IFERROR(MIN('MP Calculations'!$E$29/I78,1),"-")</f>
        <v>-</v>
      </c>
      <c r="K78" s="12"/>
      <c r="L78" s="161"/>
      <c r="M78" s="161"/>
      <c r="N78" s="161"/>
      <c r="O78" s="180" t="str">
        <f t="shared" si="2"/>
        <v>-</v>
      </c>
      <c r="P78" s="181" t="str">
        <f t="shared" si="4"/>
        <v>-</v>
      </c>
    </row>
    <row r="79" spans="3:16" x14ac:dyDescent="0.25">
      <c r="C79" s="161"/>
      <c r="D79" s="175"/>
      <c r="E79" s="164"/>
      <c r="F79" s="176" t="str">
        <f t="shared" si="3"/>
        <v>-</v>
      </c>
      <c r="G79" s="69"/>
      <c r="H79" s="192"/>
      <c r="I79" s="161"/>
      <c r="J79" s="178" t="str">
        <f>IFERROR(MIN('MP Calculations'!$E$29/I79,1),"-")</f>
        <v>-</v>
      </c>
      <c r="K79" s="12"/>
      <c r="L79" s="161"/>
      <c r="M79" s="161"/>
      <c r="N79" s="161"/>
      <c r="O79" s="180" t="str">
        <f t="shared" si="2"/>
        <v>-</v>
      </c>
      <c r="P79" s="181" t="str">
        <f t="shared" si="4"/>
        <v>-</v>
      </c>
    </row>
    <row r="80" spans="3:16" x14ac:dyDescent="0.25">
      <c r="C80" s="161"/>
      <c r="D80" s="175"/>
      <c r="E80" s="164"/>
      <c r="F80" s="176" t="str">
        <f t="shared" si="3"/>
        <v>-</v>
      </c>
      <c r="G80" s="69"/>
      <c r="H80" s="192"/>
      <c r="I80" s="161"/>
      <c r="J80" s="178" t="str">
        <f>IFERROR(MIN('MP Calculations'!$E$29/I80,1),"-")</f>
        <v>-</v>
      </c>
      <c r="K80" s="12"/>
      <c r="L80" s="161"/>
      <c r="M80" s="161"/>
      <c r="N80" s="161"/>
      <c r="O80" s="180" t="str">
        <f t="shared" si="2"/>
        <v>-</v>
      </c>
      <c r="P80" s="181" t="str">
        <f t="shared" si="4"/>
        <v>-</v>
      </c>
    </row>
    <row r="81" spans="3:16" x14ac:dyDescent="0.25">
      <c r="C81" s="161"/>
      <c r="D81" s="175"/>
      <c r="E81" s="164"/>
      <c r="F81" s="176" t="str">
        <f t="shared" si="3"/>
        <v>-</v>
      </c>
      <c r="G81" s="69"/>
      <c r="H81" s="192"/>
      <c r="I81" s="161"/>
      <c r="J81" s="178" t="str">
        <f>IFERROR(MIN('MP Calculations'!$E$29/I81,1),"-")</f>
        <v>-</v>
      </c>
      <c r="K81" s="12"/>
      <c r="L81" s="161"/>
      <c r="M81" s="161"/>
      <c r="N81" s="161"/>
      <c r="O81" s="180" t="str">
        <f t="shared" si="2"/>
        <v>-</v>
      </c>
      <c r="P81" s="181" t="str">
        <f t="shared" si="4"/>
        <v>-</v>
      </c>
    </row>
    <row r="82" spans="3:16" x14ac:dyDescent="0.25">
      <c r="C82" s="161"/>
      <c r="D82" s="175"/>
      <c r="E82" s="164"/>
      <c r="F82" s="176" t="str">
        <f t="shared" si="3"/>
        <v>-</v>
      </c>
      <c r="G82" s="69"/>
      <c r="H82" s="192"/>
      <c r="I82" s="161"/>
      <c r="J82" s="178" t="str">
        <f>IFERROR(MIN('MP Calculations'!$E$29/I82,1),"-")</f>
        <v>-</v>
      </c>
      <c r="K82" s="12"/>
      <c r="L82" s="161"/>
      <c r="M82" s="161"/>
      <c r="N82" s="161"/>
      <c r="O82" s="180" t="str">
        <f t="shared" si="2"/>
        <v>-</v>
      </c>
      <c r="P82" s="181" t="str">
        <f t="shared" si="4"/>
        <v>-</v>
      </c>
    </row>
    <row r="83" spans="3:16" x14ac:dyDescent="0.25">
      <c r="C83" s="161"/>
      <c r="D83" s="175"/>
      <c r="E83" s="164"/>
      <c r="F83" s="176" t="str">
        <f t="shared" si="3"/>
        <v>-</v>
      </c>
      <c r="G83" s="69"/>
      <c r="H83" s="192"/>
      <c r="I83" s="161"/>
      <c r="J83" s="178" t="str">
        <f>IFERROR(MIN('MP Calculations'!$E$29/I83,1),"-")</f>
        <v>-</v>
      </c>
      <c r="K83" s="12"/>
      <c r="L83" s="161"/>
      <c r="M83" s="161"/>
      <c r="N83" s="161"/>
      <c r="O83" s="180" t="str">
        <f t="shared" si="2"/>
        <v>-</v>
      </c>
      <c r="P83" s="181" t="str">
        <f t="shared" si="4"/>
        <v>-</v>
      </c>
    </row>
    <row r="84" spans="3:16" x14ac:dyDescent="0.25">
      <c r="C84" s="161"/>
      <c r="D84" s="175"/>
      <c r="E84" s="164"/>
      <c r="F84" s="176" t="str">
        <f t="shared" si="3"/>
        <v>-</v>
      </c>
      <c r="G84" s="69"/>
      <c r="H84" s="192"/>
      <c r="I84" s="161"/>
      <c r="J84" s="178" t="str">
        <f>IFERROR(MIN('MP Calculations'!$E$29/I84,1),"-")</f>
        <v>-</v>
      </c>
      <c r="K84" s="12"/>
      <c r="L84" s="161"/>
      <c r="M84" s="161"/>
      <c r="N84" s="161"/>
      <c r="O84" s="180" t="str">
        <f t="shared" si="2"/>
        <v>-</v>
      </c>
      <c r="P84" s="181" t="str">
        <f t="shared" si="4"/>
        <v>-</v>
      </c>
    </row>
    <row r="85" spans="3:16" x14ac:dyDescent="0.25">
      <c r="C85" s="161"/>
      <c r="D85" s="175"/>
      <c r="E85" s="164"/>
      <c r="F85" s="176" t="str">
        <f t="shared" si="3"/>
        <v>-</v>
      </c>
      <c r="G85" s="69"/>
      <c r="H85" s="192"/>
      <c r="I85" s="161"/>
      <c r="J85" s="178" t="str">
        <f>IFERROR(MIN('MP Calculations'!$E$29/I85,1),"-")</f>
        <v>-</v>
      </c>
      <c r="K85" s="12"/>
      <c r="L85" s="161"/>
      <c r="M85" s="161"/>
      <c r="N85" s="161"/>
      <c r="O85" s="180" t="str">
        <f t="shared" si="2"/>
        <v>-</v>
      </c>
      <c r="P85" s="181" t="str">
        <f t="shared" si="4"/>
        <v>-</v>
      </c>
    </row>
    <row r="86" spans="3:16" x14ac:dyDescent="0.25">
      <c r="C86" s="161"/>
      <c r="D86" s="175"/>
      <c r="E86" s="164"/>
      <c r="F86" s="176" t="str">
        <f t="shared" si="3"/>
        <v>-</v>
      </c>
      <c r="G86" s="69"/>
      <c r="H86" s="192"/>
      <c r="I86" s="161"/>
      <c r="J86" s="178" t="str">
        <f>IFERROR(MIN('MP Calculations'!$E$29/I86,1),"-")</f>
        <v>-</v>
      </c>
      <c r="K86" s="12"/>
      <c r="L86" s="161"/>
      <c r="M86" s="161"/>
      <c r="N86" s="161"/>
      <c r="O86" s="180" t="str">
        <f t="shared" si="2"/>
        <v>-</v>
      </c>
      <c r="P86" s="181" t="str">
        <f t="shared" si="4"/>
        <v>-</v>
      </c>
    </row>
    <row r="87" spans="3:16" x14ac:dyDescent="0.25">
      <c r="C87" s="161"/>
      <c r="D87" s="175"/>
      <c r="E87" s="164"/>
      <c r="F87" s="176" t="str">
        <f t="shared" ref="F87:F218" si="6">IF(E87="","-",IF(E87&lt;$E$15,"ERROR - date outside of range",IF(MONTH(E87)&gt;=7,YEAR(E87)&amp;"-"&amp;RIGHT(YEAR(E87),2)+1,YEAR(E87)-1&amp;"-"&amp;RIGHT(YEAR(E87),2))))</f>
        <v>-</v>
      </c>
      <c r="G87" s="69"/>
      <c r="H87" s="192"/>
      <c r="I87" s="161"/>
      <c r="J87" s="178" t="str">
        <f>IFERROR(MIN('MP Calculations'!$E$29/I87,1),"-")</f>
        <v>-</v>
      </c>
      <c r="K87" s="12"/>
      <c r="L87" s="161"/>
      <c r="M87" s="161"/>
      <c r="N87" s="161"/>
      <c r="O87" s="180" t="str">
        <f t="shared" ref="O87:O150" si="7">IF(N87="","-",L87*N87)</f>
        <v>-</v>
      </c>
      <c r="P87" s="181" t="str">
        <f t="shared" ref="P87:P218" si="8">IF(O87="-","-",IF(E87&lt;$E$15,0,O87*J87))</f>
        <v>-</v>
      </c>
    </row>
    <row r="88" spans="3:16" x14ac:dyDescent="0.25">
      <c r="C88" s="161"/>
      <c r="D88" s="175"/>
      <c r="E88" s="164"/>
      <c r="F88" s="176" t="str">
        <f t="shared" si="6"/>
        <v>-</v>
      </c>
      <c r="G88" s="69"/>
      <c r="H88" s="192"/>
      <c r="I88" s="161"/>
      <c r="J88" s="178" t="str">
        <f>IFERROR(MIN('MP Calculations'!$E$29/I88,1),"-")</f>
        <v>-</v>
      </c>
      <c r="K88" s="12"/>
      <c r="L88" s="161"/>
      <c r="M88" s="161"/>
      <c r="N88" s="161"/>
      <c r="O88" s="180" t="str">
        <f t="shared" si="7"/>
        <v>-</v>
      </c>
      <c r="P88" s="181" t="str">
        <f t="shared" si="8"/>
        <v>-</v>
      </c>
    </row>
    <row r="89" spans="3:16" x14ac:dyDescent="0.25">
      <c r="C89" s="161"/>
      <c r="D89" s="175"/>
      <c r="E89" s="164"/>
      <c r="F89" s="176" t="str">
        <f t="shared" si="6"/>
        <v>-</v>
      </c>
      <c r="G89" s="69"/>
      <c r="H89" s="192"/>
      <c r="I89" s="161"/>
      <c r="J89" s="178" t="str">
        <f>IFERROR(MIN('MP Calculations'!$E$29/I89,1),"-")</f>
        <v>-</v>
      </c>
      <c r="K89" s="12"/>
      <c r="L89" s="161"/>
      <c r="M89" s="161"/>
      <c r="N89" s="161"/>
      <c r="O89" s="180" t="str">
        <f t="shared" si="7"/>
        <v>-</v>
      </c>
      <c r="P89" s="181" t="str">
        <f t="shared" si="8"/>
        <v>-</v>
      </c>
    </row>
    <row r="90" spans="3:16" x14ac:dyDescent="0.25">
      <c r="C90" s="161"/>
      <c r="D90" s="175"/>
      <c r="E90" s="164"/>
      <c r="F90" s="176" t="str">
        <f t="shared" si="6"/>
        <v>-</v>
      </c>
      <c r="G90" s="69"/>
      <c r="H90" s="192"/>
      <c r="I90" s="161"/>
      <c r="J90" s="178" t="str">
        <f>IFERROR(MIN('MP Calculations'!$E$29/I90,1),"-")</f>
        <v>-</v>
      </c>
      <c r="K90" s="12"/>
      <c r="L90" s="161"/>
      <c r="M90" s="161"/>
      <c r="N90" s="161"/>
      <c r="O90" s="180" t="str">
        <f t="shared" si="7"/>
        <v>-</v>
      </c>
      <c r="P90" s="181" t="str">
        <f t="shared" si="8"/>
        <v>-</v>
      </c>
    </row>
    <row r="91" spans="3:16" x14ac:dyDescent="0.25">
      <c r="C91" s="161"/>
      <c r="D91" s="175"/>
      <c r="E91" s="164"/>
      <c r="F91" s="176" t="str">
        <f t="shared" si="6"/>
        <v>-</v>
      </c>
      <c r="G91" s="69"/>
      <c r="H91" s="192"/>
      <c r="I91" s="161"/>
      <c r="J91" s="178" t="str">
        <f>IFERROR(MIN('MP Calculations'!$E$29/I91,1),"-")</f>
        <v>-</v>
      </c>
      <c r="K91" s="12"/>
      <c r="L91" s="161"/>
      <c r="M91" s="161"/>
      <c r="N91" s="161"/>
      <c r="O91" s="180" t="str">
        <f t="shared" si="7"/>
        <v>-</v>
      </c>
      <c r="P91" s="181" t="str">
        <f t="shared" si="8"/>
        <v>-</v>
      </c>
    </row>
    <row r="92" spans="3:16" x14ac:dyDescent="0.25">
      <c r="C92" s="161"/>
      <c r="D92" s="175"/>
      <c r="E92" s="164"/>
      <c r="F92" s="176" t="str">
        <f t="shared" si="6"/>
        <v>-</v>
      </c>
      <c r="G92" s="69"/>
      <c r="H92" s="192"/>
      <c r="I92" s="161"/>
      <c r="J92" s="178" t="str">
        <f>IFERROR(MIN('MP Calculations'!$E$29/I92,1),"-")</f>
        <v>-</v>
      </c>
      <c r="K92" s="12"/>
      <c r="L92" s="161"/>
      <c r="M92" s="161"/>
      <c r="N92" s="161"/>
      <c r="O92" s="180" t="str">
        <f t="shared" si="7"/>
        <v>-</v>
      </c>
      <c r="P92" s="181" t="str">
        <f t="shared" si="8"/>
        <v>-</v>
      </c>
    </row>
    <row r="93" spans="3:16" x14ac:dyDescent="0.25">
      <c r="C93" s="161"/>
      <c r="D93" s="175"/>
      <c r="E93" s="164"/>
      <c r="F93" s="176" t="str">
        <f t="shared" si="6"/>
        <v>-</v>
      </c>
      <c r="G93" s="69"/>
      <c r="H93" s="192"/>
      <c r="I93" s="161"/>
      <c r="J93" s="178" t="str">
        <f>IFERROR(MIN('MP Calculations'!$E$29/I93,1),"-")</f>
        <v>-</v>
      </c>
      <c r="K93" s="12"/>
      <c r="L93" s="161"/>
      <c r="M93" s="161"/>
      <c r="N93" s="161"/>
      <c r="O93" s="180" t="str">
        <f t="shared" si="7"/>
        <v>-</v>
      </c>
      <c r="P93" s="181" t="str">
        <f t="shared" si="8"/>
        <v>-</v>
      </c>
    </row>
    <row r="94" spans="3:16" x14ac:dyDescent="0.25">
      <c r="C94" s="161"/>
      <c r="D94" s="175"/>
      <c r="E94" s="164"/>
      <c r="F94" s="176" t="str">
        <f t="shared" si="6"/>
        <v>-</v>
      </c>
      <c r="G94" s="69"/>
      <c r="H94" s="192"/>
      <c r="I94" s="161"/>
      <c r="J94" s="178" t="str">
        <f>IFERROR(MIN('MP Calculations'!$E$29/I94,1),"-")</f>
        <v>-</v>
      </c>
      <c r="K94" s="12"/>
      <c r="L94" s="161"/>
      <c r="M94" s="161"/>
      <c r="N94" s="161"/>
      <c r="O94" s="180" t="str">
        <f t="shared" si="7"/>
        <v>-</v>
      </c>
      <c r="P94" s="181" t="str">
        <f t="shared" si="8"/>
        <v>-</v>
      </c>
    </row>
    <row r="95" spans="3:16" x14ac:dyDescent="0.25">
      <c r="C95" s="161"/>
      <c r="D95" s="175"/>
      <c r="E95" s="164"/>
      <c r="F95" s="176" t="str">
        <f t="shared" si="6"/>
        <v>-</v>
      </c>
      <c r="G95" s="69"/>
      <c r="H95" s="192"/>
      <c r="I95" s="161"/>
      <c r="J95" s="178" t="str">
        <f>IFERROR(MIN('MP Calculations'!$E$29/I95,1),"-")</f>
        <v>-</v>
      </c>
      <c r="K95" s="12"/>
      <c r="L95" s="161"/>
      <c r="M95" s="161"/>
      <c r="N95" s="161"/>
      <c r="O95" s="180" t="str">
        <f t="shared" si="7"/>
        <v>-</v>
      </c>
      <c r="P95" s="181" t="str">
        <f t="shared" si="8"/>
        <v>-</v>
      </c>
    </row>
    <row r="96" spans="3:16" x14ac:dyDescent="0.25">
      <c r="C96" s="161"/>
      <c r="D96" s="175"/>
      <c r="E96" s="164"/>
      <c r="F96" s="176" t="str">
        <f t="shared" si="6"/>
        <v>-</v>
      </c>
      <c r="G96" s="69"/>
      <c r="H96" s="192"/>
      <c r="I96" s="161"/>
      <c r="J96" s="178" t="str">
        <f>IFERROR(MIN('MP Calculations'!$E$29/I96,1),"-")</f>
        <v>-</v>
      </c>
      <c r="K96" s="12"/>
      <c r="L96" s="161"/>
      <c r="M96" s="161"/>
      <c r="N96" s="161"/>
      <c r="O96" s="180" t="str">
        <f t="shared" si="7"/>
        <v>-</v>
      </c>
      <c r="P96" s="181" t="str">
        <f t="shared" si="8"/>
        <v>-</v>
      </c>
    </row>
    <row r="97" spans="3:16" x14ac:dyDescent="0.25">
      <c r="C97" s="161"/>
      <c r="D97" s="175"/>
      <c r="E97" s="164"/>
      <c r="F97" s="176" t="str">
        <f t="shared" si="6"/>
        <v>-</v>
      </c>
      <c r="G97" s="69"/>
      <c r="H97" s="192"/>
      <c r="I97" s="161"/>
      <c r="J97" s="178" t="str">
        <f>IFERROR(MIN('MP Calculations'!$E$29/I97,1),"-")</f>
        <v>-</v>
      </c>
      <c r="K97" s="12"/>
      <c r="L97" s="161"/>
      <c r="M97" s="161"/>
      <c r="N97" s="161"/>
      <c r="O97" s="180" t="str">
        <f t="shared" si="7"/>
        <v>-</v>
      </c>
      <c r="P97" s="181" t="str">
        <f t="shared" si="8"/>
        <v>-</v>
      </c>
    </row>
    <row r="98" spans="3:16" x14ac:dyDescent="0.25">
      <c r="C98" s="161"/>
      <c r="D98" s="175"/>
      <c r="E98" s="164"/>
      <c r="F98" s="176" t="str">
        <f t="shared" si="6"/>
        <v>-</v>
      </c>
      <c r="G98" s="69"/>
      <c r="H98" s="192"/>
      <c r="I98" s="161"/>
      <c r="J98" s="178" t="str">
        <f>IFERROR(MIN('MP Calculations'!$E$29/I98,1),"-")</f>
        <v>-</v>
      </c>
      <c r="K98" s="12"/>
      <c r="L98" s="161"/>
      <c r="M98" s="161"/>
      <c r="N98" s="161"/>
      <c r="O98" s="180" t="str">
        <f t="shared" si="7"/>
        <v>-</v>
      </c>
      <c r="P98" s="181" t="str">
        <f t="shared" si="8"/>
        <v>-</v>
      </c>
    </row>
    <row r="99" spans="3:16" x14ac:dyDescent="0.25">
      <c r="C99" s="161"/>
      <c r="D99" s="175"/>
      <c r="E99" s="164"/>
      <c r="F99" s="176" t="str">
        <f t="shared" si="6"/>
        <v>-</v>
      </c>
      <c r="G99" s="69"/>
      <c r="H99" s="192"/>
      <c r="I99" s="161"/>
      <c r="J99" s="178" t="str">
        <f>IFERROR(MIN('MP Calculations'!$E$29/I99,1),"-")</f>
        <v>-</v>
      </c>
      <c r="K99" s="12"/>
      <c r="L99" s="161"/>
      <c r="M99" s="161"/>
      <c r="N99" s="161"/>
      <c r="O99" s="180" t="str">
        <f t="shared" si="7"/>
        <v>-</v>
      </c>
      <c r="P99" s="181" t="str">
        <f t="shared" si="8"/>
        <v>-</v>
      </c>
    </row>
    <row r="100" spans="3:16" x14ac:dyDescent="0.25">
      <c r="C100" s="161"/>
      <c r="D100" s="175"/>
      <c r="E100" s="164"/>
      <c r="F100" s="176" t="str">
        <f t="shared" si="6"/>
        <v>-</v>
      </c>
      <c r="G100" s="69"/>
      <c r="H100" s="192"/>
      <c r="I100" s="161"/>
      <c r="J100" s="178" t="str">
        <f>IFERROR(MIN('MP Calculations'!$E$29/I100,1),"-")</f>
        <v>-</v>
      </c>
      <c r="K100" s="12"/>
      <c r="L100" s="161"/>
      <c r="M100" s="161"/>
      <c r="N100" s="161"/>
      <c r="O100" s="180" t="str">
        <f t="shared" si="7"/>
        <v>-</v>
      </c>
      <c r="P100" s="181" t="str">
        <f t="shared" si="8"/>
        <v>-</v>
      </c>
    </row>
    <row r="101" spans="3:16" x14ac:dyDescent="0.25">
      <c r="C101" s="161"/>
      <c r="D101" s="175"/>
      <c r="E101" s="164"/>
      <c r="F101" s="176" t="str">
        <f t="shared" si="6"/>
        <v>-</v>
      </c>
      <c r="G101" s="69"/>
      <c r="H101" s="192"/>
      <c r="I101" s="161"/>
      <c r="J101" s="178" t="str">
        <f>IFERROR(MIN('MP Calculations'!$E$29/I101,1),"-")</f>
        <v>-</v>
      </c>
      <c r="K101" s="12"/>
      <c r="L101" s="161"/>
      <c r="M101" s="161"/>
      <c r="N101" s="161"/>
      <c r="O101" s="180" t="str">
        <f t="shared" si="7"/>
        <v>-</v>
      </c>
      <c r="P101" s="181" t="str">
        <f t="shared" si="8"/>
        <v>-</v>
      </c>
    </row>
    <row r="102" spans="3:16" x14ac:dyDescent="0.25">
      <c r="C102" s="161"/>
      <c r="D102" s="175"/>
      <c r="E102" s="164"/>
      <c r="F102" s="176" t="str">
        <f t="shared" si="6"/>
        <v>-</v>
      </c>
      <c r="G102" s="69"/>
      <c r="H102" s="192"/>
      <c r="I102" s="161"/>
      <c r="J102" s="178" t="str">
        <f>IFERROR(MIN('MP Calculations'!$E$29/I102,1),"-")</f>
        <v>-</v>
      </c>
      <c r="K102" s="12"/>
      <c r="L102" s="161"/>
      <c r="M102" s="161"/>
      <c r="N102" s="161"/>
      <c r="O102" s="180" t="str">
        <f t="shared" si="7"/>
        <v>-</v>
      </c>
      <c r="P102" s="181" t="str">
        <f t="shared" si="8"/>
        <v>-</v>
      </c>
    </row>
    <row r="103" spans="3:16" x14ac:dyDescent="0.25">
      <c r="C103" s="161"/>
      <c r="D103" s="175"/>
      <c r="E103" s="164"/>
      <c r="F103" s="176" t="str">
        <f t="shared" si="6"/>
        <v>-</v>
      </c>
      <c r="G103" s="69"/>
      <c r="H103" s="192"/>
      <c r="I103" s="161"/>
      <c r="J103" s="178" t="str">
        <f>IFERROR(MIN('MP Calculations'!$E$29/I103,1),"-")</f>
        <v>-</v>
      </c>
      <c r="K103" s="12"/>
      <c r="L103" s="161"/>
      <c r="M103" s="161"/>
      <c r="N103" s="161"/>
      <c r="O103" s="180" t="str">
        <f t="shared" si="7"/>
        <v>-</v>
      </c>
      <c r="P103" s="181" t="str">
        <f t="shared" si="8"/>
        <v>-</v>
      </c>
    </row>
    <row r="104" spans="3:16" x14ac:dyDescent="0.25">
      <c r="C104" s="161"/>
      <c r="D104" s="175"/>
      <c r="E104" s="164"/>
      <c r="F104" s="176" t="str">
        <f t="shared" si="6"/>
        <v>-</v>
      </c>
      <c r="G104" s="69"/>
      <c r="H104" s="192"/>
      <c r="I104" s="161"/>
      <c r="J104" s="178" t="str">
        <f>IFERROR(MIN('MP Calculations'!$E$29/I104,1),"-")</f>
        <v>-</v>
      </c>
      <c r="K104" s="12"/>
      <c r="L104" s="161"/>
      <c r="M104" s="161"/>
      <c r="N104" s="161"/>
      <c r="O104" s="180" t="str">
        <f t="shared" si="7"/>
        <v>-</v>
      </c>
      <c r="P104" s="181" t="str">
        <f t="shared" si="8"/>
        <v>-</v>
      </c>
    </row>
    <row r="105" spans="3:16" x14ac:dyDescent="0.25">
      <c r="C105" s="161"/>
      <c r="D105" s="175"/>
      <c r="E105" s="164"/>
      <c r="F105" s="176" t="str">
        <f t="shared" si="6"/>
        <v>-</v>
      </c>
      <c r="G105" s="69"/>
      <c r="H105" s="192"/>
      <c r="I105" s="161"/>
      <c r="J105" s="178" t="str">
        <f>IFERROR(MIN('MP Calculations'!$E$29/I105,1),"-")</f>
        <v>-</v>
      </c>
      <c r="K105" s="12"/>
      <c r="L105" s="161"/>
      <c r="M105" s="161"/>
      <c r="N105" s="161"/>
      <c r="O105" s="180" t="str">
        <f t="shared" si="7"/>
        <v>-</v>
      </c>
      <c r="P105" s="181" t="str">
        <f t="shared" si="8"/>
        <v>-</v>
      </c>
    </row>
    <row r="106" spans="3:16" x14ac:dyDescent="0.25">
      <c r="C106" s="161"/>
      <c r="D106" s="175"/>
      <c r="E106" s="164"/>
      <c r="F106" s="176" t="str">
        <f t="shared" si="6"/>
        <v>-</v>
      </c>
      <c r="G106" s="69"/>
      <c r="H106" s="192"/>
      <c r="I106" s="161"/>
      <c r="J106" s="178" t="str">
        <f>IFERROR(MIN('MP Calculations'!$E$29/I106,1),"-")</f>
        <v>-</v>
      </c>
      <c r="K106" s="12"/>
      <c r="L106" s="161"/>
      <c r="M106" s="161"/>
      <c r="N106" s="161"/>
      <c r="O106" s="180" t="str">
        <f t="shared" si="7"/>
        <v>-</v>
      </c>
      <c r="P106" s="181" t="str">
        <f t="shared" si="8"/>
        <v>-</v>
      </c>
    </row>
    <row r="107" spans="3:16" x14ac:dyDescent="0.25">
      <c r="C107" s="161"/>
      <c r="D107" s="175"/>
      <c r="E107" s="164"/>
      <c r="F107" s="176" t="str">
        <f t="shared" si="6"/>
        <v>-</v>
      </c>
      <c r="G107" s="69"/>
      <c r="H107" s="192"/>
      <c r="I107" s="161"/>
      <c r="J107" s="178" t="str">
        <f>IFERROR(MIN('MP Calculations'!$E$29/I107,1),"-")</f>
        <v>-</v>
      </c>
      <c r="K107" s="12"/>
      <c r="L107" s="161"/>
      <c r="M107" s="161"/>
      <c r="N107" s="161"/>
      <c r="O107" s="180" t="str">
        <f t="shared" si="7"/>
        <v>-</v>
      </c>
      <c r="P107" s="181" t="str">
        <f t="shared" si="8"/>
        <v>-</v>
      </c>
    </row>
    <row r="108" spans="3:16" x14ac:dyDescent="0.25">
      <c r="C108" s="161"/>
      <c r="D108" s="175"/>
      <c r="E108" s="164"/>
      <c r="F108" s="176" t="str">
        <f t="shared" si="6"/>
        <v>-</v>
      </c>
      <c r="G108" s="69"/>
      <c r="H108" s="192"/>
      <c r="I108" s="161"/>
      <c r="J108" s="178" t="str">
        <f>IFERROR(MIN('MP Calculations'!$E$29/I108,1),"-")</f>
        <v>-</v>
      </c>
      <c r="K108" s="12"/>
      <c r="L108" s="161"/>
      <c r="M108" s="161"/>
      <c r="N108" s="161"/>
      <c r="O108" s="180" t="str">
        <f t="shared" si="7"/>
        <v>-</v>
      </c>
      <c r="P108" s="181" t="str">
        <f t="shared" si="8"/>
        <v>-</v>
      </c>
    </row>
    <row r="109" spans="3:16" x14ac:dyDescent="0.25">
      <c r="C109" s="161"/>
      <c r="D109" s="175"/>
      <c r="E109" s="164"/>
      <c r="F109" s="176" t="str">
        <f t="shared" si="6"/>
        <v>-</v>
      </c>
      <c r="G109" s="69"/>
      <c r="H109" s="192"/>
      <c r="I109" s="161"/>
      <c r="J109" s="178" t="str">
        <f>IFERROR(MIN('MP Calculations'!$E$29/I109,1),"-")</f>
        <v>-</v>
      </c>
      <c r="K109" s="12"/>
      <c r="L109" s="161"/>
      <c r="M109" s="161"/>
      <c r="N109" s="161"/>
      <c r="O109" s="180" t="str">
        <f t="shared" si="7"/>
        <v>-</v>
      </c>
      <c r="P109" s="181" t="str">
        <f t="shared" si="8"/>
        <v>-</v>
      </c>
    </row>
    <row r="110" spans="3:16" x14ac:dyDescent="0.25">
      <c r="C110" s="161"/>
      <c r="D110" s="175"/>
      <c r="E110" s="164"/>
      <c r="F110" s="176" t="str">
        <f t="shared" si="6"/>
        <v>-</v>
      </c>
      <c r="G110" s="69"/>
      <c r="H110" s="192"/>
      <c r="I110" s="161"/>
      <c r="J110" s="178" t="str">
        <f>IFERROR(MIN('MP Calculations'!$E$29/I110,1),"-")</f>
        <v>-</v>
      </c>
      <c r="K110" s="12"/>
      <c r="L110" s="161"/>
      <c r="M110" s="161"/>
      <c r="N110" s="161"/>
      <c r="O110" s="180" t="str">
        <f t="shared" si="7"/>
        <v>-</v>
      </c>
      <c r="P110" s="181" t="str">
        <f t="shared" si="8"/>
        <v>-</v>
      </c>
    </row>
    <row r="111" spans="3:16" x14ac:dyDescent="0.25">
      <c r="C111" s="161"/>
      <c r="D111" s="175"/>
      <c r="E111" s="164"/>
      <c r="F111" s="176" t="str">
        <f t="shared" si="6"/>
        <v>-</v>
      </c>
      <c r="G111" s="69"/>
      <c r="H111" s="192"/>
      <c r="I111" s="161"/>
      <c r="J111" s="178" t="str">
        <f>IFERROR(MIN('MP Calculations'!$E$29/I111,1),"-")</f>
        <v>-</v>
      </c>
      <c r="K111" s="12"/>
      <c r="L111" s="161"/>
      <c r="M111" s="161"/>
      <c r="N111" s="161"/>
      <c r="O111" s="180" t="str">
        <f t="shared" si="7"/>
        <v>-</v>
      </c>
      <c r="P111" s="181" t="str">
        <f t="shared" si="8"/>
        <v>-</v>
      </c>
    </row>
    <row r="112" spans="3:16" x14ac:dyDescent="0.25">
      <c r="C112" s="161"/>
      <c r="D112" s="175"/>
      <c r="E112" s="164"/>
      <c r="F112" s="176" t="str">
        <f t="shared" si="6"/>
        <v>-</v>
      </c>
      <c r="G112" s="69"/>
      <c r="H112" s="192"/>
      <c r="I112" s="161"/>
      <c r="J112" s="178" t="str">
        <f>IFERROR(MIN('MP Calculations'!$E$29/I112,1),"-")</f>
        <v>-</v>
      </c>
      <c r="K112" s="12"/>
      <c r="L112" s="161"/>
      <c r="M112" s="161"/>
      <c r="N112" s="161"/>
      <c r="O112" s="180" t="str">
        <f t="shared" si="7"/>
        <v>-</v>
      </c>
      <c r="P112" s="181" t="str">
        <f t="shared" si="8"/>
        <v>-</v>
      </c>
    </row>
    <row r="113" spans="3:16" x14ac:dyDescent="0.25">
      <c r="C113" s="161"/>
      <c r="D113" s="175"/>
      <c r="E113" s="164"/>
      <c r="F113" s="176" t="str">
        <f t="shared" si="6"/>
        <v>-</v>
      </c>
      <c r="G113" s="69"/>
      <c r="H113" s="192"/>
      <c r="I113" s="161"/>
      <c r="J113" s="178" t="str">
        <f>IFERROR(MIN('MP Calculations'!$E$29/I113,1),"-")</f>
        <v>-</v>
      </c>
      <c r="K113" s="12"/>
      <c r="L113" s="161"/>
      <c r="M113" s="161"/>
      <c r="N113" s="161"/>
      <c r="O113" s="180" t="str">
        <f t="shared" si="7"/>
        <v>-</v>
      </c>
      <c r="P113" s="181" t="str">
        <f t="shared" si="8"/>
        <v>-</v>
      </c>
    </row>
    <row r="114" spans="3:16" x14ac:dyDescent="0.25">
      <c r="C114" s="161"/>
      <c r="D114" s="175"/>
      <c r="E114" s="164"/>
      <c r="F114" s="176" t="str">
        <f t="shared" si="6"/>
        <v>-</v>
      </c>
      <c r="G114" s="69"/>
      <c r="H114" s="192"/>
      <c r="I114" s="161"/>
      <c r="J114" s="178" t="str">
        <f>IFERROR(MIN('MP Calculations'!$E$29/I114,1),"-")</f>
        <v>-</v>
      </c>
      <c r="K114" s="12"/>
      <c r="L114" s="161"/>
      <c r="M114" s="161"/>
      <c r="N114" s="161"/>
      <c r="O114" s="180" t="str">
        <f t="shared" si="7"/>
        <v>-</v>
      </c>
      <c r="P114" s="181" t="str">
        <f t="shared" si="8"/>
        <v>-</v>
      </c>
    </row>
    <row r="115" spans="3:16" x14ac:dyDescent="0.25">
      <c r="C115" s="161"/>
      <c r="D115" s="175"/>
      <c r="E115" s="164"/>
      <c r="F115" s="176" t="str">
        <f t="shared" si="6"/>
        <v>-</v>
      </c>
      <c r="G115" s="69"/>
      <c r="H115" s="192"/>
      <c r="I115" s="161"/>
      <c r="J115" s="178" t="str">
        <f>IFERROR(MIN('MP Calculations'!$E$29/I115,1),"-")</f>
        <v>-</v>
      </c>
      <c r="K115" s="12"/>
      <c r="L115" s="161"/>
      <c r="M115" s="161"/>
      <c r="N115" s="161"/>
      <c r="O115" s="180" t="str">
        <f t="shared" si="7"/>
        <v>-</v>
      </c>
      <c r="P115" s="181" t="str">
        <f t="shared" si="8"/>
        <v>-</v>
      </c>
    </row>
    <row r="116" spans="3:16" x14ac:dyDescent="0.25">
      <c r="C116" s="161"/>
      <c r="D116" s="175"/>
      <c r="E116" s="164"/>
      <c r="F116" s="176" t="str">
        <f t="shared" si="6"/>
        <v>-</v>
      </c>
      <c r="G116" s="69"/>
      <c r="H116" s="192"/>
      <c r="I116" s="161"/>
      <c r="J116" s="178" t="str">
        <f>IFERROR(MIN('MP Calculations'!$E$29/I116,1),"-")</f>
        <v>-</v>
      </c>
      <c r="K116" s="12"/>
      <c r="L116" s="161"/>
      <c r="M116" s="161"/>
      <c r="N116" s="161"/>
      <c r="O116" s="180" t="str">
        <f t="shared" si="7"/>
        <v>-</v>
      </c>
      <c r="P116" s="181" t="str">
        <f t="shared" si="8"/>
        <v>-</v>
      </c>
    </row>
    <row r="117" spans="3:16" x14ac:dyDescent="0.25">
      <c r="C117" s="161"/>
      <c r="D117" s="175"/>
      <c r="E117" s="164"/>
      <c r="F117" s="176" t="str">
        <f t="shared" si="6"/>
        <v>-</v>
      </c>
      <c r="G117" s="69"/>
      <c r="H117" s="192"/>
      <c r="I117" s="161"/>
      <c r="J117" s="178" t="str">
        <f>IFERROR(MIN('MP Calculations'!$E$29/I117,1),"-")</f>
        <v>-</v>
      </c>
      <c r="K117" s="12"/>
      <c r="L117" s="161"/>
      <c r="M117" s="161"/>
      <c r="N117" s="161"/>
      <c r="O117" s="180" t="str">
        <f t="shared" si="7"/>
        <v>-</v>
      </c>
      <c r="P117" s="181" t="str">
        <f t="shared" si="8"/>
        <v>-</v>
      </c>
    </row>
    <row r="118" spans="3:16" x14ac:dyDescent="0.25">
      <c r="C118" s="161"/>
      <c r="D118" s="175"/>
      <c r="E118" s="164"/>
      <c r="F118" s="176" t="str">
        <f t="shared" si="6"/>
        <v>-</v>
      </c>
      <c r="G118" s="69"/>
      <c r="H118" s="192"/>
      <c r="I118" s="161"/>
      <c r="J118" s="178" t="str">
        <f>IFERROR(MIN('MP Calculations'!$E$29/I118,1),"-")</f>
        <v>-</v>
      </c>
      <c r="K118" s="12"/>
      <c r="L118" s="161"/>
      <c r="M118" s="161"/>
      <c r="N118" s="161"/>
      <c r="O118" s="180" t="str">
        <f t="shared" si="7"/>
        <v>-</v>
      </c>
      <c r="P118" s="181" t="str">
        <f t="shared" si="8"/>
        <v>-</v>
      </c>
    </row>
    <row r="119" spans="3:16" x14ac:dyDescent="0.25">
      <c r="C119" s="161"/>
      <c r="D119" s="175"/>
      <c r="E119" s="164"/>
      <c r="F119" s="176" t="str">
        <f t="shared" si="6"/>
        <v>-</v>
      </c>
      <c r="G119" s="69"/>
      <c r="H119" s="192"/>
      <c r="I119" s="161"/>
      <c r="J119" s="178" t="str">
        <f>IFERROR(MIN('MP Calculations'!$E$29/I119,1),"-")</f>
        <v>-</v>
      </c>
      <c r="K119" s="12"/>
      <c r="L119" s="161"/>
      <c r="M119" s="161"/>
      <c r="N119" s="161"/>
      <c r="O119" s="180" t="str">
        <f t="shared" si="7"/>
        <v>-</v>
      </c>
      <c r="P119" s="181" t="str">
        <f t="shared" si="8"/>
        <v>-</v>
      </c>
    </row>
    <row r="120" spans="3:16" x14ac:dyDescent="0.25">
      <c r="C120" s="161"/>
      <c r="D120" s="175"/>
      <c r="E120" s="164"/>
      <c r="F120" s="176" t="str">
        <f t="shared" ref="F120:F183" si="9">IF(E120="","-",IF(E120&lt;$E$15,"ERROR - date outside of range",IF(MONTH(E120)&gt;=7,YEAR(E120)&amp;"-"&amp;RIGHT(YEAR(E120),2)+1,YEAR(E120)-1&amp;"-"&amp;RIGHT(YEAR(E120),2))))</f>
        <v>-</v>
      </c>
      <c r="G120" s="69"/>
      <c r="H120" s="192"/>
      <c r="I120" s="161"/>
      <c r="J120" s="178" t="str">
        <f>IFERROR(MIN('MP Calculations'!$E$29/I120,1),"-")</f>
        <v>-</v>
      </c>
      <c r="K120" s="12"/>
      <c r="L120" s="161"/>
      <c r="M120" s="161"/>
      <c r="N120" s="161"/>
      <c r="O120" s="180" t="str">
        <f t="shared" si="7"/>
        <v>-</v>
      </c>
      <c r="P120" s="181" t="str">
        <f t="shared" ref="P120:P183" si="10">IF(O120="-","-",IF(E120&lt;$E$15,0,O120*J120))</f>
        <v>-</v>
      </c>
    </row>
    <row r="121" spans="3:16" x14ac:dyDescent="0.25">
      <c r="C121" s="161"/>
      <c r="D121" s="175"/>
      <c r="E121" s="164"/>
      <c r="F121" s="176" t="str">
        <f t="shared" si="9"/>
        <v>-</v>
      </c>
      <c r="G121" s="69"/>
      <c r="H121" s="192"/>
      <c r="I121" s="161"/>
      <c r="J121" s="178" t="str">
        <f>IFERROR(MIN('MP Calculations'!$E$29/I121,1),"-")</f>
        <v>-</v>
      </c>
      <c r="K121" s="12"/>
      <c r="L121" s="161"/>
      <c r="M121" s="161"/>
      <c r="N121" s="161"/>
      <c r="O121" s="180" t="str">
        <f t="shared" si="7"/>
        <v>-</v>
      </c>
      <c r="P121" s="181" t="str">
        <f t="shared" si="10"/>
        <v>-</v>
      </c>
    </row>
    <row r="122" spans="3:16" x14ac:dyDescent="0.25">
      <c r="C122" s="161"/>
      <c r="D122" s="175"/>
      <c r="E122" s="164"/>
      <c r="F122" s="176" t="str">
        <f t="shared" si="9"/>
        <v>-</v>
      </c>
      <c r="G122" s="69"/>
      <c r="H122" s="192"/>
      <c r="I122" s="161"/>
      <c r="J122" s="178" t="str">
        <f>IFERROR(MIN('MP Calculations'!$E$29/I122,1),"-")</f>
        <v>-</v>
      </c>
      <c r="K122" s="12"/>
      <c r="L122" s="161"/>
      <c r="M122" s="161"/>
      <c r="N122" s="161"/>
      <c r="O122" s="180" t="str">
        <f t="shared" si="7"/>
        <v>-</v>
      </c>
      <c r="P122" s="181" t="str">
        <f t="shared" si="10"/>
        <v>-</v>
      </c>
    </row>
    <row r="123" spans="3:16" x14ac:dyDescent="0.25">
      <c r="C123" s="161"/>
      <c r="D123" s="175"/>
      <c r="E123" s="164"/>
      <c r="F123" s="176" t="str">
        <f t="shared" si="9"/>
        <v>-</v>
      </c>
      <c r="G123" s="69"/>
      <c r="H123" s="192"/>
      <c r="I123" s="161"/>
      <c r="J123" s="178" t="str">
        <f>IFERROR(MIN('MP Calculations'!$E$29/I123,1),"-")</f>
        <v>-</v>
      </c>
      <c r="K123" s="12"/>
      <c r="L123" s="161"/>
      <c r="M123" s="161"/>
      <c r="N123" s="161"/>
      <c r="O123" s="180" t="str">
        <f t="shared" si="7"/>
        <v>-</v>
      </c>
      <c r="P123" s="181" t="str">
        <f t="shared" si="10"/>
        <v>-</v>
      </c>
    </row>
    <row r="124" spans="3:16" x14ac:dyDescent="0.25">
      <c r="C124" s="161"/>
      <c r="D124" s="175"/>
      <c r="E124" s="164"/>
      <c r="F124" s="176" t="str">
        <f t="shared" si="9"/>
        <v>-</v>
      </c>
      <c r="G124" s="69"/>
      <c r="H124" s="192"/>
      <c r="I124" s="161"/>
      <c r="J124" s="178" t="str">
        <f>IFERROR(MIN('MP Calculations'!$E$29/I124,1),"-")</f>
        <v>-</v>
      </c>
      <c r="K124" s="12"/>
      <c r="L124" s="161"/>
      <c r="M124" s="161"/>
      <c r="N124" s="161"/>
      <c r="O124" s="180" t="str">
        <f t="shared" si="7"/>
        <v>-</v>
      </c>
      <c r="P124" s="181" t="str">
        <f t="shared" si="10"/>
        <v>-</v>
      </c>
    </row>
    <row r="125" spans="3:16" x14ac:dyDescent="0.25">
      <c r="C125" s="161"/>
      <c r="D125" s="175"/>
      <c r="E125" s="164"/>
      <c r="F125" s="176" t="str">
        <f t="shared" si="9"/>
        <v>-</v>
      </c>
      <c r="G125" s="69"/>
      <c r="H125" s="192"/>
      <c r="I125" s="161"/>
      <c r="J125" s="178" t="str">
        <f>IFERROR(MIN('MP Calculations'!$E$29/I125,1),"-")</f>
        <v>-</v>
      </c>
      <c r="K125" s="12"/>
      <c r="L125" s="161"/>
      <c r="M125" s="161"/>
      <c r="N125" s="161"/>
      <c r="O125" s="180" t="str">
        <f t="shared" si="7"/>
        <v>-</v>
      </c>
      <c r="P125" s="181" t="str">
        <f t="shared" si="10"/>
        <v>-</v>
      </c>
    </row>
    <row r="126" spans="3:16" x14ac:dyDescent="0.25">
      <c r="C126" s="161"/>
      <c r="D126" s="175"/>
      <c r="E126" s="164"/>
      <c r="F126" s="176" t="str">
        <f t="shared" si="9"/>
        <v>-</v>
      </c>
      <c r="G126" s="69"/>
      <c r="H126" s="192"/>
      <c r="I126" s="161"/>
      <c r="J126" s="178" t="str">
        <f>IFERROR(MIN('MP Calculations'!$E$29/I126,1),"-")</f>
        <v>-</v>
      </c>
      <c r="K126" s="12"/>
      <c r="L126" s="161"/>
      <c r="M126" s="161"/>
      <c r="N126" s="161"/>
      <c r="O126" s="180" t="str">
        <f t="shared" si="7"/>
        <v>-</v>
      </c>
      <c r="P126" s="181" t="str">
        <f t="shared" si="10"/>
        <v>-</v>
      </c>
    </row>
    <row r="127" spans="3:16" x14ac:dyDescent="0.25">
      <c r="C127" s="161"/>
      <c r="D127" s="175"/>
      <c r="E127" s="164"/>
      <c r="F127" s="176" t="str">
        <f t="shared" si="9"/>
        <v>-</v>
      </c>
      <c r="G127" s="69"/>
      <c r="H127" s="192"/>
      <c r="I127" s="161"/>
      <c r="J127" s="178" t="str">
        <f>IFERROR(MIN('MP Calculations'!$E$29/I127,1),"-")</f>
        <v>-</v>
      </c>
      <c r="K127" s="12"/>
      <c r="L127" s="161"/>
      <c r="M127" s="161"/>
      <c r="N127" s="161"/>
      <c r="O127" s="180" t="str">
        <f t="shared" si="7"/>
        <v>-</v>
      </c>
      <c r="P127" s="181" t="str">
        <f t="shared" si="10"/>
        <v>-</v>
      </c>
    </row>
    <row r="128" spans="3:16" x14ac:dyDescent="0.25">
      <c r="C128" s="161"/>
      <c r="D128" s="175"/>
      <c r="E128" s="164"/>
      <c r="F128" s="176" t="str">
        <f t="shared" si="9"/>
        <v>-</v>
      </c>
      <c r="G128" s="69"/>
      <c r="H128" s="192"/>
      <c r="I128" s="161"/>
      <c r="J128" s="178" t="str">
        <f>IFERROR(MIN('MP Calculations'!$E$29/I128,1),"-")</f>
        <v>-</v>
      </c>
      <c r="K128" s="12"/>
      <c r="L128" s="161"/>
      <c r="M128" s="161"/>
      <c r="N128" s="161"/>
      <c r="O128" s="180" t="str">
        <f t="shared" si="7"/>
        <v>-</v>
      </c>
      <c r="P128" s="181" t="str">
        <f t="shared" si="10"/>
        <v>-</v>
      </c>
    </row>
    <row r="129" spans="3:16" x14ac:dyDescent="0.25">
      <c r="C129" s="161"/>
      <c r="D129" s="175"/>
      <c r="E129" s="164"/>
      <c r="F129" s="176" t="str">
        <f t="shared" si="9"/>
        <v>-</v>
      </c>
      <c r="G129" s="69"/>
      <c r="H129" s="192"/>
      <c r="I129" s="161"/>
      <c r="J129" s="178" t="str">
        <f>IFERROR(MIN('MP Calculations'!$E$29/I129,1),"-")</f>
        <v>-</v>
      </c>
      <c r="K129" s="12"/>
      <c r="L129" s="161"/>
      <c r="M129" s="161"/>
      <c r="N129" s="161"/>
      <c r="O129" s="180" t="str">
        <f t="shared" si="7"/>
        <v>-</v>
      </c>
      <c r="P129" s="181" t="str">
        <f t="shared" si="10"/>
        <v>-</v>
      </c>
    </row>
    <row r="130" spans="3:16" x14ac:dyDescent="0.25">
      <c r="C130" s="161"/>
      <c r="D130" s="175"/>
      <c r="E130" s="164"/>
      <c r="F130" s="176" t="str">
        <f t="shared" si="9"/>
        <v>-</v>
      </c>
      <c r="G130" s="69"/>
      <c r="H130" s="192"/>
      <c r="I130" s="161"/>
      <c r="J130" s="178" t="str">
        <f>IFERROR(MIN('MP Calculations'!$E$29/I130,1),"-")</f>
        <v>-</v>
      </c>
      <c r="K130" s="12"/>
      <c r="L130" s="161"/>
      <c r="M130" s="161"/>
      <c r="N130" s="161"/>
      <c r="O130" s="180" t="str">
        <f t="shared" si="7"/>
        <v>-</v>
      </c>
      <c r="P130" s="181" t="str">
        <f t="shared" si="10"/>
        <v>-</v>
      </c>
    </row>
    <row r="131" spans="3:16" x14ac:dyDescent="0.25">
      <c r="C131" s="161"/>
      <c r="D131" s="175"/>
      <c r="E131" s="164"/>
      <c r="F131" s="176" t="str">
        <f t="shared" si="9"/>
        <v>-</v>
      </c>
      <c r="G131" s="69"/>
      <c r="H131" s="192"/>
      <c r="I131" s="161"/>
      <c r="J131" s="178" t="str">
        <f>IFERROR(MIN('MP Calculations'!$E$29/I131,1),"-")</f>
        <v>-</v>
      </c>
      <c r="K131" s="12"/>
      <c r="L131" s="161"/>
      <c r="M131" s="161"/>
      <c r="N131" s="161"/>
      <c r="O131" s="180" t="str">
        <f t="shared" si="7"/>
        <v>-</v>
      </c>
      <c r="P131" s="181" t="str">
        <f t="shared" si="10"/>
        <v>-</v>
      </c>
    </row>
    <row r="132" spans="3:16" x14ac:dyDescent="0.25">
      <c r="C132" s="161"/>
      <c r="D132" s="175"/>
      <c r="E132" s="164"/>
      <c r="F132" s="176" t="str">
        <f t="shared" si="9"/>
        <v>-</v>
      </c>
      <c r="G132" s="69"/>
      <c r="H132" s="192"/>
      <c r="I132" s="161"/>
      <c r="J132" s="178" t="str">
        <f>IFERROR(MIN('MP Calculations'!$E$29/I132,1),"-")</f>
        <v>-</v>
      </c>
      <c r="K132" s="12"/>
      <c r="L132" s="161"/>
      <c r="M132" s="161"/>
      <c r="N132" s="161"/>
      <c r="O132" s="180" t="str">
        <f t="shared" si="7"/>
        <v>-</v>
      </c>
      <c r="P132" s="181" t="str">
        <f t="shared" si="10"/>
        <v>-</v>
      </c>
    </row>
    <row r="133" spans="3:16" x14ac:dyDescent="0.25">
      <c r="C133" s="161"/>
      <c r="D133" s="175"/>
      <c r="E133" s="164"/>
      <c r="F133" s="176" t="str">
        <f t="shared" si="9"/>
        <v>-</v>
      </c>
      <c r="G133" s="69"/>
      <c r="H133" s="192"/>
      <c r="I133" s="161"/>
      <c r="J133" s="178" t="str">
        <f>IFERROR(MIN('MP Calculations'!$E$29/I133,1),"-")</f>
        <v>-</v>
      </c>
      <c r="K133" s="12"/>
      <c r="L133" s="161"/>
      <c r="M133" s="161"/>
      <c r="N133" s="161"/>
      <c r="O133" s="180" t="str">
        <f t="shared" si="7"/>
        <v>-</v>
      </c>
      <c r="P133" s="181" t="str">
        <f t="shared" si="10"/>
        <v>-</v>
      </c>
    </row>
    <row r="134" spans="3:16" x14ac:dyDescent="0.25">
      <c r="C134" s="161"/>
      <c r="D134" s="175"/>
      <c r="E134" s="164"/>
      <c r="F134" s="176" t="str">
        <f t="shared" si="9"/>
        <v>-</v>
      </c>
      <c r="G134" s="69"/>
      <c r="H134" s="192"/>
      <c r="I134" s="161"/>
      <c r="J134" s="178" t="str">
        <f>IFERROR(MIN('MP Calculations'!$E$29/I134,1),"-")</f>
        <v>-</v>
      </c>
      <c r="K134" s="12"/>
      <c r="L134" s="161"/>
      <c r="M134" s="161"/>
      <c r="N134" s="161"/>
      <c r="O134" s="180" t="str">
        <f t="shared" si="7"/>
        <v>-</v>
      </c>
      <c r="P134" s="181" t="str">
        <f t="shared" si="10"/>
        <v>-</v>
      </c>
    </row>
    <row r="135" spans="3:16" x14ac:dyDescent="0.25">
      <c r="C135" s="161"/>
      <c r="D135" s="175"/>
      <c r="E135" s="164"/>
      <c r="F135" s="176" t="str">
        <f t="shared" si="9"/>
        <v>-</v>
      </c>
      <c r="G135" s="69"/>
      <c r="H135" s="192"/>
      <c r="I135" s="161"/>
      <c r="J135" s="178" t="str">
        <f>IFERROR(MIN('MP Calculations'!$E$29/I135,1),"-")</f>
        <v>-</v>
      </c>
      <c r="K135" s="12"/>
      <c r="L135" s="161"/>
      <c r="M135" s="161"/>
      <c r="N135" s="161"/>
      <c r="O135" s="180" t="str">
        <f t="shared" si="7"/>
        <v>-</v>
      </c>
      <c r="P135" s="181" t="str">
        <f t="shared" si="10"/>
        <v>-</v>
      </c>
    </row>
    <row r="136" spans="3:16" x14ac:dyDescent="0.25">
      <c r="C136" s="161"/>
      <c r="D136" s="175"/>
      <c r="E136" s="164"/>
      <c r="F136" s="176" t="str">
        <f t="shared" si="9"/>
        <v>-</v>
      </c>
      <c r="G136" s="69"/>
      <c r="H136" s="192"/>
      <c r="I136" s="161"/>
      <c r="J136" s="178" t="str">
        <f>IFERROR(MIN('MP Calculations'!$E$29/I136,1),"-")</f>
        <v>-</v>
      </c>
      <c r="K136" s="12"/>
      <c r="L136" s="161"/>
      <c r="M136" s="161"/>
      <c r="N136" s="161"/>
      <c r="O136" s="180" t="str">
        <f t="shared" si="7"/>
        <v>-</v>
      </c>
      <c r="P136" s="181" t="str">
        <f t="shared" si="10"/>
        <v>-</v>
      </c>
    </row>
    <row r="137" spans="3:16" x14ac:dyDescent="0.25">
      <c r="C137" s="161"/>
      <c r="D137" s="175"/>
      <c r="E137" s="164"/>
      <c r="F137" s="176" t="str">
        <f t="shared" si="9"/>
        <v>-</v>
      </c>
      <c r="G137" s="69"/>
      <c r="H137" s="192"/>
      <c r="I137" s="161"/>
      <c r="J137" s="178" t="str">
        <f>IFERROR(MIN('MP Calculations'!$E$29/I137,1),"-")</f>
        <v>-</v>
      </c>
      <c r="K137" s="12"/>
      <c r="L137" s="161"/>
      <c r="M137" s="161"/>
      <c r="N137" s="161"/>
      <c r="O137" s="180" t="str">
        <f t="shared" si="7"/>
        <v>-</v>
      </c>
      <c r="P137" s="181" t="str">
        <f t="shared" si="10"/>
        <v>-</v>
      </c>
    </row>
    <row r="138" spans="3:16" x14ac:dyDescent="0.25">
      <c r="C138" s="161"/>
      <c r="D138" s="175"/>
      <c r="E138" s="164"/>
      <c r="F138" s="176" t="str">
        <f t="shared" si="9"/>
        <v>-</v>
      </c>
      <c r="G138" s="69"/>
      <c r="H138" s="192"/>
      <c r="I138" s="161"/>
      <c r="J138" s="178" t="str">
        <f>IFERROR(MIN('MP Calculations'!$E$29/I138,1),"-")</f>
        <v>-</v>
      </c>
      <c r="K138" s="12"/>
      <c r="L138" s="161"/>
      <c r="M138" s="161"/>
      <c r="N138" s="161"/>
      <c r="O138" s="180" t="str">
        <f t="shared" si="7"/>
        <v>-</v>
      </c>
      <c r="P138" s="181" t="str">
        <f t="shared" si="10"/>
        <v>-</v>
      </c>
    </row>
    <row r="139" spans="3:16" x14ac:dyDescent="0.25">
      <c r="C139" s="161"/>
      <c r="D139" s="175"/>
      <c r="E139" s="164"/>
      <c r="F139" s="176" t="str">
        <f t="shared" si="9"/>
        <v>-</v>
      </c>
      <c r="G139" s="69"/>
      <c r="H139" s="192"/>
      <c r="I139" s="161"/>
      <c r="J139" s="178" t="str">
        <f>IFERROR(MIN('MP Calculations'!$E$29/I139,1),"-")</f>
        <v>-</v>
      </c>
      <c r="K139" s="12"/>
      <c r="L139" s="161"/>
      <c r="M139" s="161"/>
      <c r="N139" s="161"/>
      <c r="O139" s="180" t="str">
        <f t="shared" si="7"/>
        <v>-</v>
      </c>
      <c r="P139" s="181" t="str">
        <f t="shared" si="10"/>
        <v>-</v>
      </c>
    </row>
    <row r="140" spans="3:16" x14ac:dyDescent="0.25">
      <c r="C140" s="161"/>
      <c r="D140" s="175"/>
      <c r="E140" s="164"/>
      <c r="F140" s="176" t="str">
        <f t="shared" si="9"/>
        <v>-</v>
      </c>
      <c r="G140" s="69"/>
      <c r="H140" s="192"/>
      <c r="I140" s="161"/>
      <c r="J140" s="178" t="str">
        <f>IFERROR(MIN('MP Calculations'!$E$29/I140,1),"-")</f>
        <v>-</v>
      </c>
      <c r="K140" s="12"/>
      <c r="L140" s="161"/>
      <c r="M140" s="161"/>
      <c r="N140" s="161"/>
      <c r="O140" s="180" t="str">
        <f t="shared" si="7"/>
        <v>-</v>
      </c>
      <c r="P140" s="181" t="str">
        <f t="shared" si="10"/>
        <v>-</v>
      </c>
    </row>
    <row r="141" spans="3:16" x14ac:dyDescent="0.25">
      <c r="C141" s="161"/>
      <c r="D141" s="175"/>
      <c r="E141" s="164"/>
      <c r="F141" s="176" t="str">
        <f t="shared" si="9"/>
        <v>-</v>
      </c>
      <c r="G141" s="69"/>
      <c r="H141" s="192"/>
      <c r="I141" s="161"/>
      <c r="J141" s="178" t="str">
        <f>IFERROR(MIN('MP Calculations'!$E$29/I141,1),"-")</f>
        <v>-</v>
      </c>
      <c r="K141" s="12"/>
      <c r="L141" s="161"/>
      <c r="M141" s="161"/>
      <c r="N141" s="161"/>
      <c r="O141" s="180" t="str">
        <f t="shared" si="7"/>
        <v>-</v>
      </c>
      <c r="P141" s="181" t="str">
        <f t="shared" si="10"/>
        <v>-</v>
      </c>
    </row>
    <row r="142" spans="3:16" x14ac:dyDescent="0.25">
      <c r="C142" s="161"/>
      <c r="D142" s="175"/>
      <c r="E142" s="164"/>
      <c r="F142" s="176" t="str">
        <f t="shared" si="9"/>
        <v>-</v>
      </c>
      <c r="G142" s="69"/>
      <c r="H142" s="192"/>
      <c r="I142" s="161"/>
      <c r="J142" s="178" t="str">
        <f>IFERROR(MIN('MP Calculations'!$E$29/I142,1),"-")</f>
        <v>-</v>
      </c>
      <c r="K142" s="12"/>
      <c r="L142" s="161"/>
      <c r="M142" s="161"/>
      <c r="N142" s="161"/>
      <c r="O142" s="180" t="str">
        <f t="shared" si="7"/>
        <v>-</v>
      </c>
      <c r="P142" s="181" t="str">
        <f t="shared" si="10"/>
        <v>-</v>
      </c>
    </row>
    <row r="143" spans="3:16" x14ac:dyDescent="0.25">
      <c r="C143" s="161"/>
      <c r="D143" s="175"/>
      <c r="E143" s="164"/>
      <c r="F143" s="176" t="str">
        <f t="shared" si="9"/>
        <v>-</v>
      </c>
      <c r="G143" s="69"/>
      <c r="H143" s="192"/>
      <c r="I143" s="161"/>
      <c r="J143" s="178" t="str">
        <f>IFERROR(MIN('MP Calculations'!$E$29/I143,1),"-")</f>
        <v>-</v>
      </c>
      <c r="K143" s="12"/>
      <c r="L143" s="161"/>
      <c r="M143" s="161"/>
      <c r="N143" s="161"/>
      <c r="O143" s="180" t="str">
        <f t="shared" si="7"/>
        <v>-</v>
      </c>
      <c r="P143" s="181" t="str">
        <f t="shared" si="10"/>
        <v>-</v>
      </c>
    </row>
    <row r="144" spans="3:16" x14ac:dyDescent="0.25">
      <c r="C144" s="161"/>
      <c r="D144" s="175"/>
      <c r="E144" s="164"/>
      <c r="F144" s="176" t="str">
        <f t="shared" si="9"/>
        <v>-</v>
      </c>
      <c r="G144" s="69"/>
      <c r="H144" s="192"/>
      <c r="I144" s="161"/>
      <c r="J144" s="178" t="str">
        <f>IFERROR(MIN('MP Calculations'!$E$29/I144,1),"-")</f>
        <v>-</v>
      </c>
      <c r="K144" s="12"/>
      <c r="L144" s="161"/>
      <c r="M144" s="161"/>
      <c r="N144" s="161"/>
      <c r="O144" s="180" t="str">
        <f t="shared" si="7"/>
        <v>-</v>
      </c>
      <c r="P144" s="181" t="str">
        <f t="shared" si="10"/>
        <v>-</v>
      </c>
    </row>
    <row r="145" spans="3:16" x14ac:dyDescent="0.25">
      <c r="C145" s="161"/>
      <c r="D145" s="175"/>
      <c r="E145" s="164"/>
      <c r="F145" s="176" t="str">
        <f t="shared" si="9"/>
        <v>-</v>
      </c>
      <c r="G145" s="69"/>
      <c r="H145" s="192"/>
      <c r="I145" s="161"/>
      <c r="J145" s="178" t="str">
        <f>IFERROR(MIN('MP Calculations'!$E$29/I145,1),"-")</f>
        <v>-</v>
      </c>
      <c r="K145" s="12"/>
      <c r="L145" s="161"/>
      <c r="M145" s="161"/>
      <c r="N145" s="161"/>
      <c r="O145" s="180" t="str">
        <f t="shared" si="7"/>
        <v>-</v>
      </c>
      <c r="P145" s="181" t="str">
        <f t="shared" si="10"/>
        <v>-</v>
      </c>
    </row>
    <row r="146" spans="3:16" x14ac:dyDescent="0.25">
      <c r="C146" s="161"/>
      <c r="D146" s="175"/>
      <c r="E146" s="164"/>
      <c r="F146" s="176" t="str">
        <f t="shared" si="9"/>
        <v>-</v>
      </c>
      <c r="G146" s="69"/>
      <c r="H146" s="192"/>
      <c r="I146" s="161"/>
      <c r="J146" s="178" t="str">
        <f>IFERROR(MIN('MP Calculations'!$E$29/I146,1),"-")</f>
        <v>-</v>
      </c>
      <c r="K146" s="12"/>
      <c r="L146" s="161"/>
      <c r="M146" s="161"/>
      <c r="N146" s="161"/>
      <c r="O146" s="180" t="str">
        <f t="shared" si="7"/>
        <v>-</v>
      </c>
      <c r="P146" s="181" t="str">
        <f t="shared" si="10"/>
        <v>-</v>
      </c>
    </row>
    <row r="147" spans="3:16" x14ac:dyDescent="0.25">
      <c r="C147" s="161"/>
      <c r="D147" s="175"/>
      <c r="E147" s="164"/>
      <c r="F147" s="176" t="str">
        <f t="shared" si="9"/>
        <v>-</v>
      </c>
      <c r="G147" s="69"/>
      <c r="H147" s="192"/>
      <c r="I147" s="161"/>
      <c r="J147" s="178" t="str">
        <f>IFERROR(MIN('MP Calculations'!$E$29/I147,1),"-")</f>
        <v>-</v>
      </c>
      <c r="K147" s="12"/>
      <c r="L147" s="161"/>
      <c r="M147" s="161"/>
      <c r="N147" s="161"/>
      <c r="O147" s="180" t="str">
        <f t="shared" si="7"/>
        <v>-</v>
      </c>
      <c r="P147" s="181" t="str">
        <f t="shared" si="10"/>
        <v>-</v>
      </c>
    </row>
    <row r="148" spans="3:16" x14ac:dyDescent="0.25">
      <c r="C148" s="161"/>
      <c r="D148" s="175"/>
      <c r="E148" s="164"/>
      <c r="F148" s="176" t="str">
        <f t="shared" si="9"/>
        <v>-</v>
      </c>
      <c r="G148" s="69"/>
      <c r="H148" s="192"/>
      <c r="I148" s="161"/>
      <c r="J148" s="178" t="str">
        <f>IFERROR(MIN('MP Calculations'!$E$29/I148,1),"-")</f>
        <v>-</v>
      </c>
      <c r="K148" s="12"/>
      <c r="L148" s="161"/>
      <c r="M148" s="161"/>
      <c r="N148" s="161"/>
      <c r="O148" s="180" t="str">
        <f t="shared" si="7"/>
        <v>-</v>
      </c>
      <c r="P148" s="181" t="str">
        <f t="shared" si="10"/>
        <v>-</v>
      </c>
    </row>
    <row r="149" spans="3:16" x14ac:dyDescent="0.25">
      <c r="C149" s="161"/>
      <c r="D149" s="175"/>
      <c r="E149" s="164"/>
      <c r="F149" s="176" t="str">
        <f t="shared" si="9"/>
        <v>-</v>
      </c>
      <c r="G149" s="69"/>
      <c r="H149" s="192"/>
      <c r="I149" s="161"/>
      <c r="J149" s="178" t="str">
        <f>IFERROR(MIN('MP Calculations'!$E$29/I149,1),"-")</f>
        <v>-</v>
      </c>
      <c r="K149" s="12"/>
      <c r="L149" s="161"/>
      <c r="M149" s="161"/>
      <c r="N149" s="161"/>
      <c r="O149" s="180" t="str">
        <f t="shared" si="7"/>
        <v>-</v>
      </c>
      <c r="P149" s="181" t="str">
        <f t="shared" si="10"/>
        <v>-</v>
      </c>
    </row>
    <row r="150" spans="3:16" x14ac:dyDescent="0.25">
      <c r="C150" s="161"/>
      <c r="D150" s="175"/>
      <c r="E150" s="164"/>
      <c r="F150" s="176" t="str">
        <f t="shared" si="9"/>
        <v>-</v>
      </c>
      <c r="G150" s="69"/>
      <c r="H150" s="192"/>
      <c r="I150" s="161"/>
      <c r="J150" s="178" t="str">
        <f>IFERROR(MIN('MP Calculations'!$E$29/I150,1),"-")</f>
        <v>-</v>
      </c>
      <c r="K150" s="12"/>
      <c r="L150" s="161"/>
      <c r="M150" s="161"/>
      <c r="N150" s="161"/>
      <c r="O150" s="180" t="str">
        <f t="shared" si="7"/>
        <v>-</v>
      </c>
      <c r="P150" s="181" t="str">
        <f t="shared" si="10"/>
        <v>-</v>
      </c>
    </row>
    <row r="151" spans="3:16" x14ac:dyDescent="0.25">
      <c r="C151" s="161"/>
      <c r="D151" s="175"/>
      <c r="E151" s="164"/>
      <c r="F151" s="176" t="str">
        <f t="shared" si="9"/>
        <v>-</v>
      </c>
      <c r="G151" s="69"/>
      <c r="H151" s="192"/>
      <c r="I151" s="161"/>
      <c r="J151" s="178" t="str">
        <f>IFERROR(MIN('MP Calculations'!$E$29/I151,1),"-")</f>
        <v>-</v>
      </c>
      <c r="K151" s="12"/>
      <c r="L151" s="161"/>
      <c r="M151" s="161"/>
      <c r="N151" s="161"/>
      <c r="O151" s="180" t="str">
        <f t="shared" ref="O151:O214" si="11">IF(N151="","-",L151*N151)</f>
        <v>-</v>
      </c>
      <c r="P151" s="181" t="str">
        <f t="shared" si="10"/>
        <v>-</v>
      </c>
    </row>
    <row r="152" spans="3:16" x14ac:dyDescent="0.25">
      <c r="C152" s="161"/>
      <c r="D152" s="175"/>
      <c r="E152" s="164"/>
      <c r="F152" s="176" t="str">
        <f t="shared" si="9"/>
        <v>-</v>
      </c>
      <c r="G152" s="69"/>
      <c r="H152" s="192"/>
      <c r="I152" s="161"/>
      <c r="J152" s="178" t="str">
        <f>IFERROR(MIN('MP Calculations'!$E$29/I152,1),"-")</f>
        <v>-</v>
      </c>
      <c r="K152" s="12"/>
      <c r="L152" s="161"/>
      <c r="M152" s="161"/>
      <c r="N152" s="161"/>
      <c r="O152" s="180" t="str">
        <f t="shared" si="11"/>
        <v>-</v>
      </c>
      <c r="P152" s="181" t="str">
        <f t="shared" si="10"/>
        <v>-</v>
      </c>
    </row>
    <row r="153" spans="3:16" x14ac:dyDescent="0.25">
      <c r="C153" s="161"/>
      <c r="D153" s="175"/>
      <c r="E153" s="164"/>
      <c r="F153" s="176" t="str">
        <f t="shared" si="9"/>
        <v>-</v>
      </c>
      <c r="G153" s="69"/>
      <c r="H153" s="192"/>
      <c r="I153" s="161"/>
      <c r="J153" s="178" t="str">
        <f>IFERROR(MIN('MP Calculations'!$E$29/I153,1),"-")</f>
        <v>-</v>
      </c>
      <c r="K153" s="12"/>
      <c r="L153" s="161"/>
      <c r="M153" s="161"/>
      <c r="N153" s="161"/>
      <c r="O153" s="180" t="str">
        <f t="shared" si="11"/>
        <v>-</v>
      </c>
      <c r="P153" s="181" t="str">
        <f t="shared" si="10"/>
        <v>-</v>
      </c>
    </row>
    <row r="154" spans="3:16" x14ac:dyDescent="0.25">
      <c r="C154" s="161"/>
      <c r="D154" s="175"/>
      <c r="E154" s="164"/>
      <c r="F154" s="176" t="str">
        <f t="shared" si="9"/>
        <v>-</v>
      </c>
      <c r="G154" s="69"/>
      <c r="H154" s="192"/>
      <c r="I154" s="161"/>
      <c r="J154" s="178" t="str">
        <f>IFERROR(MIN('MP Calculations'!$E$29/I154,1),"-")</f>
        <v>-</v>
      </c>
      <c r="K154" s="12"/>
      <c r="L154" s="161"/>
      <c r="M154" s="161"/>
      <c r="N154" s="161"/>
      <c r="O154" s="180" t="str">
        <f t="shared" si="11"/>
        <v>-</v>
      </c>
      <c r="P154" s="181" t="str">
        <f t="shared" si="10"/>
        <v>-</v>
      </c>
    </row>
    <row r="155" spans="3:16" x14ac:dyDescent="0.25">
      <c r="C155" s="161"/>
      <c r="D155" s="175"/>
      <c r="E155" s="164"/>
      <c r="F155" s="176" t="str">
        <f t="shared" si="9"/>
        <v>-</v>
      </c>
      <c r="G155" s="69"/>
      <c r="H155" s="192"/>
      <c r="I155" s="161"/>
      <c r="J155" s="178" t="str">
        <f>IFERROR(MIN('MP Calculations'!$E$29/I155,1),"-")</f>
        <v>-</v>
      </c>
      <c r="K155" s="12"/>
      <c r="L155" s="161"/>
      <c r="M155" s="161"/>
      <c r="N155" s="161"/>
      <c r="O155" s="180" t="str">
        <f t="shared" si="11"/>
        <v>-</v>
      </c>
      <c r="P155" s="181" t="str">
        <f t="shared" si="10"/>
        <v>-</v>
      </c>
    </row>
    <row r="156" spans="3:16" x14ac:dyDescent="0.25">
      <c r="C156" s="161"/>
      <c r="D156" s="175"/>
      <c r="E156" s="164"/>
      <c r="F156" s="176" t="str">
        <f t="shared" si="9"/>
        <v>-</v>
      </c>
      <c r="G156" s="69"/>
      <c r="H156" s="192"/>
      <c r="I156" s="161"/>
      <c r="J156" s="178" t="str">
        <f>IFERROR(MIN('MP Calculations'!$E$29/I156,1),"-")</f>
        <v>-</v>
      </c>
      <c r="K156" s="12"/>
      <c r="L156" s="161"/>
      <c r="M156" s="161"/>
      <c r="N156" s="161"/>
      <c r="O156" s="180" t="str">
        <f t="shared" si="11"/>
        <v>-</v>
      </c>
      <c r="P156" s="181" t="str">
        <f t="shared" si="10"/>
        <v>-</v>
      </c>
    </row>
    <row r="157" spans="3:16" x14ac:dyDescent="0.25">
      <c r="C157" s="161"/>
      <c r="D157" s="175"/>
      <c r="E157" s="164"/>
      <c r="F157" s="176" t="str">
        <f t="shared" si="9"/>
        <v>-</v>
      </c>
      <c r="G157" s="69"/>
      <c r="H157" s="192"/>
      <c r="I157" s="161"/>
      <c r="J157" s="178" t="str">
        <f>IFERROR(MIN('MP Calculations'!$E$29/I157,1),"-")</f>
        <v>-</v>
      </c>
      <c r="K157" s="12"/>
      <c r="L157" s="161"/>
      <c r="M157" s="161"/>
      <c r="N157" s="161"/>
      <c r="O157" s="180" t="str">
        <f t="shared" si="11"/>
        <v>-</v>
      </c>
      <c r="P157" s="181" t="str">
        <f t="shared" si="10"/>
        <v>-</v>
      </c>
    </row>
    <row r="158" spans="3:16" x14ac:dyDescent="0.25">
      <c r="C158" s="161"/>
      <c r="D158" s="175"/>
      <c r="E158" s="164"/>
      <c r="F158" s="176" t="str">
        <f t="shared" si="9"/>
        <v>-</v>
      </c>
      <c r="G158" s="69"/>
      <c r="H158" s="192"/>
      <c r="I158" s="161"/>
      <c r="J158" s="178" t="str">
        <f>IFERROR(MIN('MP Calculations'!$E$29/I158,1),"-")</f>
        <v>-</v>
      </c>
      <c r="K158" s="12"/>
      <c r="L158" s="161"/>
      <c r="M158" s="161"/>
      <c r="N158" s="161"/>
      <c r="O158" s="180" t="str">
        <f t="shared" si="11"/>
        <v>-</v>
      </c>
      <c r="P158" s="181" t="str">
        <f t="shared" si="10"/>
        <v>-</v>
      </c>
    </row>
    <row r="159" spans="3:16" x14ac:dyDescent="0.25">
      <c r="C159" s="161"/>
      <c r="D159" s="175"/>
      <c r="E159" s="164"/>
      <c r="F159" s="176" t="str">
        <f t="shared" si="9"/>
        <v>-</v>
      </c>
      <c r="G159" s="69"/>
      <c r="H159" s="192"/>
      <c r="I159" s="161"/>
      <c r="J159" s="178" t="str">
        <f>IFERROR(MIN('MP Calculations'!$E$29/I159,1),"-")</f>
        <v>-</v>
      </c>
      <c r="K159" s="12"/>
      <c r="L159" s="161"/>
      <c r="M159" s="161"/>
      <c r="N159" s="161"/>
      <c r="O159" s="180" t="str">
        <f t="shared" si="11"/>
        <v>-</v>
      </c>
      <c r="P159" s="181" t="str">
        <f t="shared" si="10"/>
        <v>-</v>
      </c>
    </row>
    <row r="160" spans="3:16" x14ac:dyDescent="0.25">
      <c r="C160" s="161"/>
      <c r="D160" s="175"/>
      <c r="E160" s="164"/>
      <c r="F160" s="176" t="str">
        <f t="shared" si="9"/>
        <v>-</v>
      </c>
      <c r="G160" s="69"/>
      <c r="H160" s="192"/>
      <c r="I160" s="161"/>
      <c r="J160" s="178" t="str">
        <f>IFERROR(MIN('MP Calculations'!$E$29/I160,1),"-")</f>
        <v>-</v>
      </c>
      <c r="K160" s="12"/>
      <c r="L160" s="161"/>
      <c r="M160" s="161"/>
      <c r="N160" s="161"/>
      <c r="O160" s="180" t="str">
        <f t="shared" si="11"/>
        <v>-</v>
      </c>
      <c r="P160" s="181" t="str">
        <f t="shared" si="10"/>
        <v>-</v>
      </c>
    </row>
    <row r="161" spans="3:16" x14ac:dyDescent="0.25">
      <c r="C161" s="161"/>
      <c r="D161" s="175"/>
      <c r="E161" s="164"/>
      <c r="F161" s="176" t="str">
        <f t="shared" si="9"/>
        <v>-</v>
      </c>
      <c r="G161" s="69"/>
      <c r="H161" s="192"/>
      <c r="I161" s="161"/>
      <c r="J161" s="178" t="str">
        <f>IFERROR(MIN('MP Calculations'!$E$29/I161,1),"-")</f>
        <v>-</v>
      </c>
      <c r="K161" s="12"/>
      <c r="L161" s="161"/>
      <c r="M161" s="161"/>
      <c r="N161" s="161"/>
      <c r="O161" s="180" t="str">
        <f t="shared" si="11"/>
        <v>-</v>
      </c>
      <c r="P161" s="181" t="str">
        <f t="shared" si="10"/>
        <v>-</v>
      </c>
    </row>
    <row r="162" spans="3:16" x14ac:dyDescent="0.25">
      <c r="C162" s="161"/>
      <c r="D162" s="175"/>
      <c r="E162" s="164"/>
      <c r="F162" s="176" t="str">
        <f t="shared" si="9"/>
        <v>-</v>
      </c>
      <c r="G162" s="69"/>
      <c r="H162" s="192"/>
      <c r="I162" s="161"/>
      <c r="J162" s="178" t="str">
        <f>IFERROR(MIN('MP Calculations'!$E$29/I162,1),"-")</f>
        <v>-</v>
      </c>
      <c r="K162" s="12"/>
      <c r="L162" s="161"/>
      <c r="M162" s="161"/>
      <c r="N162" s="161"/>
      <c r="O162" s="180" t="str">
        <f t="shared" si="11"/>
        <v>-</v>
      </c>
      <c r="P162" s="181" t="str">
        <f t="shared" si="10"/>
        <v>-</v>
      </c>
    </row>
    <row r="163" spans="3:16" x14ac:dyDescent="0.25">
      <c r="C163" s="161"/>
      <c r="D163" s="175"/>
      <c r="E163" s="164"/>
      <c r="F163" s="176" t="str">
        <f t="shared" si="9"/>
        <v>-</v>
      </c>
      <c r="G163" s="69"/>
      <c r="H163" s="192"/>
      <c r="I163" s="161"/>
      <c r="J163" s="178" t="str">
        <f>IFERROR(MIN('MP Calculations'!$E$29/I163,1),"-")</f>
        <v>-</v>
      </c>
      <c r="K163" s="12"/>
      <c r="L163" s="161"/>
      <c r="M163" s="161"/>
      <c r="N163" s="161"/>
      <c r="O163" s="180" t="str">
        <f t="shared" si="11"/>
        <v>-</v>
      </c>
      <c r="P163" s="181" t="str">
        <f t="shared" si="10"/>
        <v>-</v>
      </c>
    </row>
    <row r="164" spans="3:16" x14ac:dyDescent="0.25">
      <c r="C164" s="161"/>
      <c r="D164" s="175"/>
      <c r="E164" s="164"/>
      <c r="F164" s="176" t="str">
        <f t="shared" si="9"/>
        <v>-</v>
      </c>
      <c r="G164" s="69"/>
      <c r="H164" s="192"/>
      <c r="I164" s="161"/>
      <c r="J164" s="178" t="str">
        <f>IFERROR(MIN('MP Calculations'!$E$29/I164,1),"-")</f>
        <v>-</v>
      </c>
      <c r="K164" s="12"/>
      <c r="L164" s="161"/>
      <c r="M164" s="161"/>
      <c r="N164" s="161"/>
      <c r="O164" s="180" t="str">
        <f t="shared" si="11"/>
        <v>-</v>
      </c>
      <c r="P164" s="181" t="str">
        <f t="shared" si="10"/>
        <v>-</v>
      </c>
    </row>
    <row r="165" spans="3:16" x14ac:dyDescent="0.25">
      <c r="C165" s="161"/>
      <c r="D165" s="175"/>
      <c r="E165" s="164"/>
      <c r="F165" s="176" t="str">
        <f t="shared" si="9"/>
        <v>-</v>
      </c>
      <c r="G165" s="69"/>
      <c r="H165" s="192"/>
      <c r="I165" s="161"/>
      <c r="J165" s="178" t="str">
        <f>IFERROR(MIN('MP Calculations'!$E$29/I165,1),"-")</f>
        <v>-</v>
      </c>
      <c r="K165" s="12"/>
      <c r="L165" s="161"/>
      <c r="M165" s="161"/>
      <c r="N165" s="161"/>
      <c r="O165" s="180" t="str">
        <f t="shared" si="11"/>
        <v>-</v>
      </c>
      <c r="P165" s="181" t="str">
        <f t="shared" si="10"/>
        <v>-</v>
      </c>
    </row>
    <row r="166" spans="3:16" x14ac:dyDescent="0.25">
      <c r="C166" s="161"/>
      <c r="D166" s="175"/>
      <c r="E166" s="164"/>
      <c r="F166" s="176" t="str">
        <f t="shared" si="9"/>
        <v>-</v>
      </c>
      <c r="G166" s="69"/>
      <c r="H166" s="192"/>
      <c r="I166" s="161"/>
      <c r="J166" s="178" t="str">
        <f>IFERROR(MIN('MP Calculations'!$E$29/I166,1),"-")</f>
        <v>-</v>
      </c>
      <c r="K166" s="12"/>
      <c r="L166" s="161"/>
      <c r="M166" s="161"/>
      <c r="N166" s="161"/>
      <c r="O166" s="180" t="str">
        <f t="shared" si="11"/>
        <v>-</v>
      </c>
      <c r="P166" s="181" t="str">
        <f t="shared" si="10"/>
        <v>-</v>
      </c>
    </row>
    <row r="167" spans="3:16" x14ac:dyDescent="0.25">
      <c r="C167" s="161"/>
      <c r="D167" s="175"/>
      <c r="E167" s="164"/>
      <c r="F167" s="176" t="str">
        <f t="shared" si="9"/>
        <v>-</v>
      </c>
      <c r="G167" s="69"/>
      <c r="H167" s="192"/>
      <c r="I167" s="161"/>
      <c r="J167" s="178" t="str">
        <f>IFERROR(MIN('MP Calculations'!$E$29/I167,1),"-")</f>
        <v>-</v>
      </c>
      <c r="K167" s="12"/>
      <c r="L167" s="161"/>
      <c r="M167" s="161"/>
      <c r="N167" s="161"/>
      <c r="O167" s="180" t="str">
        <f t="shared" si="11"/>
        <v>-</v>
      </c>
      <c r="P167" s="181" t="str">
        <f t="shared" si="10"/>
        <v>-</v>
      </c>
    </row>
    <row r="168" spans="3:16" x14ac:dyDescent="0.25">
      <c r="C168" s="161"/>
      <c r="D168" s="175"/>
      <c r="E168" s="164"/>
      <c r="F168" s="176" t="str">
        <f t="shared" si="9"/>
        <v>-</v>
      </c>
      <c r="G168" s="69"/>
      <c r="H168" s="192"/>
      <c r="I168" s="161"/>
      <c r="J168" s="178" t="str">
        <f>IFERROR(MIN('MP Calculations'!$E$29/I168,1),"-")</f>
        <v>-</v>
      </c>
      <c r="K168" s="12"/>
      <c r="L168" s="161"/>
      <c r="M168" s="161"/>
      <c r="N168" s="161"/>
      <c r="O168" s="180" t="str">
        <f t="shared" si="11"/>
        <v>-</v>
      </c>
      <c r="P168" s="181" t="str">
        <f t="shared" si="10"/>
        <v>-</v>
      </c>
    </row>
    <row r="169" spans="3:16" x14ac:dyDescent="0.25">
      <c r="C169" s="161"/>
      <c r="D169" s="175"/>
      <c r="E169" s="164"/>
      <c r="F169" s="176" t="str">
        <f t="shared" si="9"/>
        <v>-</v>
      </c>
      <c r="G169" s="69"/>
      <c r="H169" s="192"/>
      <c r="I169" s="161"/>
      <c r="J169" s="178" t="str">
        <f>IFERROR(MIN('MP Calculations'!$E$29/I169,1),"-")</f>
        <v>-</v>
      </c>
      <c r="K169" s="12"/>
      <c r="L169" s="161"/>
      <c r="M169" s="161"/>
      <c r="N169" s="161"/>
      <c r="O169" s="180" t="str">
        <f t="shared" si="11"/>
        <v>-</v>
      </c>
      <c r="P169" s="181" t="str">
        <f t="shared" si="10"/>
        <v>-</v>
      </c>
    </row>
    <row r="170" spans="3:16" x14ac:dyDescent="0.25">
      <c r="C170" s="161"/>
      <c r="D170" s="175"/>
      <c r="E170" s="164"/>
      <c r="F170" s="176" t="str">
        <f t="shared" si="9"/>
        <v>-</v>
      </c>
      <c r="G170" s="69"/>
      <c r="H170" s="192"/>
      <c r="I170" s="161"/>
      <c r="J170" s="178" t="str">
        <f>IFERROR(MIN('MP Calculations'!$E$29/I170,1),"-")</f>
        <v>-</v>
      </c>
      <c r="K170" s="12"/>
      <c r="L170" s="161"/>
      <c r="M170" s="161"/>
      <c r="N170" s="161"/>
      <c r="O170" s="180" t="str">
        <f t="shared" si="11"/>
        <v>-</v>
      </c>
      <c r="P170" s="181" t="str">
        <f t="shared" si="10"/>
        <v>-</v>
      </c>
    </row>
    <row r="171" spans="3:16" x14ac:dyDescent="0.25">
      <c r="C171" s="161"/>
      <c r="D171" s="175"/>
      <c r="E171" s="164"/>
      <c r="F171" s="176" t="str">
        <f t="shared" si="9"/>
        <v>-</v>
      </c>
      <c r="G171" s="69"/>
      <c r="H171" s="192"/>
      <c r="I171" s="161"/>
      <c r="J171" s="178" t="str">
        <f>IFERROR(MIN('MP Calculations'!$E$29/I171,1),"-")</f>
        <v>-</v>
      </c>
      <c r="K171" s="12"/>
      <c r="L171" s="161"/>
      <c r="M171" s="161"/>
      <c r="N171" s="161"/>
      <c r="O171" s="180" t="str">
        <f t="shared" si="11"/>
        <v>-</v>
      </c>
      <c r="P171" s="181" t="str">
        <f t="shared" si="10"/>
        <v>-</v>
      </c>
    </row>
    <row r="172" spans="3:16" x14ac:dyDescent="0.25">
      <c r="C172" s="161"/>
      <c r="D172" s="175"/>
      <c r="E172" s="164"/>
      <c r="F172" s="176" t="str">
        <f t="shared" si="9"/>
        <v>-</v>
      </c>
      <c r="G172" s="69"/>
      <c r="H172" s="192"/>
      <c r="I172" s="161"/>
      <c r="J172" s="178" t="str">
        <f>IFERROR(MIN('MP Calculations'!$E$29/I172,1),"-")</f>
        <v>-</v>
      </c>
      <c r="K172" s="12"/>
      <c r="L172" s="161"/>
      <c r="M172" s="161"/>
      <c r="N172" s="161"/>
      <c r="O172" s="180" t="str">
        <f t="shared" si="11"/>
        <v>-</v>
      </c>
      <c r="P172" s="181" t="str">
        <f t="shared" si="10"/>
        <v>-</v>
      </c>
    </row>
    <row r="173" spans="3:16" x14ac:dyDescent="0.25">
      <c r="C173" s="161"/>
      <c r="D173" s="175"/>
      <c r="E173" s="164"/>
      <c r="F173" s="176" t="str">
        <f t="shared" si="9"/>
        <v>-</v>
      </c>
      <c r="G173" s="69"/>
      <c r="H173" s="192"/>
      <c r="I173" s="161"/>
      <c r="J173" s="178" t="str">
        <f>IFERROR(MIN('MP Calculations'!$E$29/I173,1),"-")</f>
        <v>-</v>
      </c>
      <c r="K173" s="12"/>
      <c r="L173" s="161"/>
      <c r="M173" s="161"/>
      <c r="N173" s="161"/>
      <c r="O173" s="180" t="str">
        <f t="shared" si="11"/>
        <v>-</v>
      </c>
      <c r="P173" s="181" t="str">
        <f t="shared" si="10"/>
        <v>-</v>
      </c>
    </row>
    <row r="174" spans="3:16" x14ac:dyDescent="0.25">
      <c r="C174" s="161"/>
      <c r="D174" s="175"/>
      <c r="E174" s="164"/>
      <c r="F174" s="176" t="str">
        <f t="shared" si="9"/>
        <v>-</v>
      </c>
      <c r="G174" s="69"/>
      <c r="H174" s="192"/>
      <c r="I174" s="161"/>
      <c r="J174" s="178" t="str">
        <f>IFERROR(MIN('MP Calculations'!$E$29/I174,1),"-")</f>
        <v>-</v>
      </c>
      <c r="K174" s="12"/>
      <c r="L174" s="161"/>
      <c r="M174" s="161"/>
      <c r="N174" s="161"/>
      <c r="O174" s="180" t="str">
        <f t="shared" si="11"/>
        <v>-</v>
      </c>
      <c r="P174" s="181" t="str">
        <f t="shared" si="10"/>
        <v>-</v>
      </c>
    </row>
    <row r="175" spans="3:16" x14ac:dyDescent="0.25">
      <c r="C175" s="161"/>
      <c r="D175" s="175"/>
      <c r="E175" s="164"/>
      <c r="F175" s="176" t="str">
        <f t="shared" si="9"/>
        <v>-</v>
      </c>
      <c r="G175" s="69"/>
      <c r="H175" s="192"/>
      <c r="I175" s="161"/>
      <c r="J175" s="178" t="str">
        <f>IFERROR(MIN('MP Calculations'!$E$29/I175,1),"-")</f>
        <v>-</v>
      </c>
      <c r="K175" s="12"/>
      <c r="L175" s="161"/>
      <c r="M175" s="161"/>
      <c r="N175" s="161"/>
      <c r="O175" s="180" t="str">
        <f t="shared" si="11"/>
        <v>-</v>
      </c>
      <c r="P175" s="181" t="str">
        <f t="shared" si="10"/>
        <v>-</v>
      </c>
    </row>
    <row r="176" spans="3:16" x14ac:dyDescent="0.25">
      <c r="C176" s="161"/>
      <c r="D176" s="175"/>
      <c r="E176" s="164"/>
      <c r="F176" s="176" t="str">
        <f t="shared" si="9"/>
        <v>-</v>
      </c>
      <c r="G176" s="69"/>
      <c r="H176" s="192"/>
      <c r="I176" s="161"/>
      <c r="J176" s="178" t="str">
        <f>IFERROR(MIN('MP Calculations'!$E$29/I176,1),"-")</f>
        <v>-</v>
      </c>
      <c r="K176" s="12"/>
      <c r="L176" s="161"/>
      <c r="M176" s="161"/>
      <c r="N176" s="161"/>
      <c r="O176" s="180" t="str">
        <f t="shared" si="11"/>
        <v>-</v>
      </c>
      <c r="P176" s="181" t="str">
        <f t="shared" si="10"/>
        <v>-</v>
      </c>
    </row>
    <row r="177" spans="3:16" x14ac:dyDescent="0.25">
      <c r="C177" s="161"/>
      <c r="D177" s="175"/>
      <c r="E177" s="164"/>
      <c r="F177" s="176" t="str">
        <f t="shared" si="9"/>
        <v>-</v>
      </c>
      <c r="G177" s="69"/>
      <c r="H177" s="192"/>
      <c r="I177" s="161"/>
      <c r="J177" s="178" t="str">
        <f>IFERROR(MIN('MP Calculations'!$E$29/I177,1),"-")</f>
        <v>-</v>
      </c>
      <c r="K177" s="12"/>
      <c r="L177" s="161"/>
      <c r="M177" s="161"/>
      <c r="N177" s="161"/>
      <c r="O177" s="180" t="str">
        <f t="shared" si="11"/>
        <v>-</v>
      </c>
      <c r="P177" s="181" t="str">
        <f t="shared" si="10"/>
        <v>-</v>
      </c>
    </row>
    <row r="178" spans="3:16" x14ac:dyDescent="0.25">
      <c r="C178" s="161"/>
      <c r="D178" s="175"/>
      <c r="E178" s="164"/>
      <c r="F178" s="176" t="str">
        <f t="shared" si="9"/>
        <v>-</v>
      </c>
      <c r="G178" s="69"/>
      <c r="H178" s="192"/>
      <c r="I178" s="161"/>
      <c r="J178" s="178" t="str">
        <f>IFERROR(MIN('MP Calculations'!$E$29/I178,1),"-")</f>
        <v>-</v>
      </c>
      <c r="K178" s="12"/>
      <c r="L178" s="161"/>
      <c r="M178" s="161"/>
      <c r="N178" s="161"/>
      <c r="O178" s="180" t="str">
        <f t="shared" si="11"/>
        <v>-</v>
      </c>
      <c r="P178" s="181" t="str">
        <f t="shared" si="10"/>
        <v>-</v>
      </c>
    </row>
    <row r="179" spans="3:16" x14ac:dyDescent="0.25">
      <c r="C179" s="161"/>
      <c r="D179" s="175"/>
      <c r="E179" s="164"/>
      <c r="F179" s="176" t="str">
        <f t="shared" si="9"/>
        <v>-</v>
      </c>
      <c r="G179" s="69"/>
      <c r="H179" s="192"/>
      <c r="I179" s="161"/>
      <c r="J179" s="178" t="str">
        <f>IFERROR(MIN('MP Calculations'!$E$29/I179,1),"-")</f>
        <v>-</v>
      </c>
      <c r="K179" s="12"/>
      <c r="L179" s="161"/>
      <c r="M179" s="161"/>
      <c r="N179" s="161"/>
      <c r="O179" s="180" t="str">
        <f t="shared" si="11"/>
        <v>-</v>
      </c>
      <c r="P179" s="181" t="str">
        <f t="shared" si="10"/>
        <v>-</v>
      </c>
    </row>
    <row r="180" spans="3:16" x14ac:dyDescent="0.25">
      <c r="C180" s="161"/>
      <c r="D180" s="175"/>
      <c r="E180" s="164"/>
      <c r="F180" s="176" t="str">
        <f t="shared" si="9"/>
        <v>-</v>
      </c>
      <c r="G180" s="69"/>
      <c r="H180" s="192"/>
      <c r="I180" s="161"/>
      <c r="J180" s="178" t="str">
        <f>IFERROR(MIN('MP Calculations'!$E$29/I180,1),"-")</f>
        <v>-</v>
      </c>
      <c r="K180" s="12"/>
      <c r="L180" s="161"/>
      <c r="M180" s="161"/>
      <c r="N180" s="161"/>
      <c r="O180" s="180" t="str">
        <f t="shared" si="11"/>
        <v>-</v>
      </c>
      <c r="P180" s="181" t="str">
        <f t="shared" si="10"/>
        <v>-</v>
      </c>
    </row>
    <row r="181" spans="3:16" x14ac:dyDescent="0.25">
      <c r="C181" s="161"/>
      <c r="D181" s="175"/>
      <c r="E181" s="164"/>
      <c r="F181" s="176" t="str">
        <f t="shared" si="9"/>
        <v>-</v>
      </c>
      <c r="G181" s="69"/>
      <c r="H181" s="192"/>
      <c r="I181" s="161"/>
      <c r="J181" s="178" t="str">
        <f>IFERROR(MIN('MP Calculations'!$E$29/I181,1),"-")</f>
        <v>-</v>
      </c>
      <c r="K181" s="12"/>
      <c r="L181" s="161"/>
      <c r="M181" s="161"/>
      <c r="N181" s="161"/>
      <c r="O181" s="180" t="str">
        <f t="shared" si="11"/>
        <v>-</v>
      </c>
      <c r="P181" s="181" t="str">
        <f t="shared" si="10"/>
        <v>-</v>
      </c>
    </row>
    <row r="182" spans="3:16" x14ac:dyDescent="0.25">
      <c r="C182" s="161"/>
      <c r="D182" s="175"/>
      <c r="E182" s="164"/>
      <c r="F182" s="176" t="str">
        <f t="shared" si="9"/>
        <v>-</v>
      </c>
      <c r="G182" s="69"/>
      <c r="H182" s="192"/>
      <c r="I182" s="161"/>
      <c r="J182" s="178" t="str">
        <f>IFERROR(MIN('MP Calculations'!$E$29/I182,1),"-")</f>
        <v>-</v>
      </c>
      <c r="K182" s="12"/>
      <c r="L182" s="161"/>
      <c r="M182" s="161"/>
      <c r="N182" s="161"/>
      <c r="O182" s="180" t="str">
        <f t="shared" si="11"/>
        <v>-</v>
      </c>
      <c r="P182" s="181" t="str">
        <f t="shared" si="10"/>
        <v>-</v>
      </c>
    </row>
    <row r="183" spans="3:16" x14ac:dyDescent="0.25">
      <c r="C183" s="161"/>
      <c r="D183" s="175"/>
      <c r="E183" s="164"/>
      <c r="F183" s="176" t="str">
        <f t="shared" si="9"/>
        <v>-</v>
      </c>
      <c r="G183" s="69"/>
      <c r="H183" s="192"/>
      <c r="I183" s="161"/>
      <c r="J183" s="178" t="str">
        <f>IFERROR(MIN('MP Calculations'!$E$29/I183,1),"-")</f>
        <v>-</v>
      </c>
      <c r="K183" s="12"/>
      <c r="L183" s="161"/>
      <c r="M183" s="161"/>
      <c r="N183" s="161"/>
      <c r="O183" s="180" t="str">
        <f t="shared" si="11"/>
        <v>-</v>
      </c>
      <c r="P183" s="181" t="str">
        <f t="shared" si="10"/>
        <v>-</v>
      </c>
    </row>
    <row r="184" spans="3:16" x14ac:dyDescent="0.25">
      <c r="C184" s="161"/>
      <c r="D184" s="175"/>
      <c r="E184" s="164"/>
      <c r="F184" s="176" t="str">
        <f t="shared" ref="F184:F217" si="12">IF(E184="","-",IF(E184&lt;$E$15,"ERROR - date outside of range",IF(MONTH(E184)&gt;=7,YEAR(E184)&amp;"-"&amp;RIGHT(YEAR(E184),2)+1,YEAR(E184)-1&amp;"-"&amp;RIGHT(YEAR(E184),2))))</f>
        <v>-</v>
      </c>
      <c r="G184" s="69"/>
      <c r="H184" s="192"/>
      <c r="I184" s="161"/>
      <c r="J184" s="178" t="str">
        <f>IFERROR(MIN('MP Calculations'!$E$29/I184,1),"-")</f>
        <v>-</v>
      </c>
      <c r="K184" s="12"/>
      <c r="L184" s="161"/>
      <c r="M184" s="161"/>
      <c r="N184" s="161"/>
      <c r="O184" s="180" t="str">
        <f t="shared" si="11"/>
        <v>-</v>
      </c>
      <c r="P184" s="181" t="str">
        <f t="shared" ref="P184:P217" si="13">IF(O184="-","-",IF(E184&lt;$E$15,0,O184*J184))</f>
        <v>-</v>
      </c>
    </row>
    <row r="185" spans="3:16" x14ac:dyDescent="0.25">
      <c r="C185" s="161"/>
      <c r="D185" s="175"/>
      <c r="E185" s="164"/>
      <c r="F185" s="176" t="str">
        <f t="shared" si="12"/>
        <v>-</v>
      </c>
      <c r="G185" s="69"/>
      <c r="H185" s="192"/>
      <c r="I185" s="161"/>
      <c r="J185" s="178" t="str">
        <f>IFERROR(MIN('MP Calculations'!$E$29/I185,1),"-")</f>
        <v>-</v>
      </c>
      <c r="K185" s="12"/>
      <c r="L185" s="161"/>
      <c r="M185" s="161"/>
      <c r="N185" s="161"/>
      <c r="O185" s="180" t="str">
        <f t="shared" si="11"/>
        <v>-</v>
      </c>
      <c r="P185" s="181" t="str">
        <f t="shared" si="13"/>
        <v>-</v>
      </c>
    </row>
    <row r="186" spans="3:16" x14ac:dyDescent="0.25">
      <c r="C186" s="161"/>
      <c r="D186" s="175"/>
      <c r="E186" s="164"/>
      <c r="F186" s="176" t="str">
        <f t="shared" si="12"/>
        <v>-</v>
      </c>
      <c r="G186" s="69"/>
      <c r="H186" s="192"/>
      <c r="I186" s="161"/>
      <c r="J186" s="178" t="str">
        <f>IFERROR(MIN('MP Calculations'!$E$29/I186,1),"-")</f>
        <v>-</v>
      </c>
      <c r="K186" s="12"/>
      <c r="L186" s="161"/>
      <c r="M186" s="161"/>
      <c r="N186" s="161"/>
      <c r="O186" s="180" t="str">
        <f t="shared" si="11"/>
        <v>-</v>
      </c>
      <c r="P186" s="181" t="str">
        <f t="shared" si="13"/>
        <v>-</v>
      </c>
    </row>
    <row r="187" spans="3:16" x14ac:dyDescent="0.25">
      <c r="C187" s="161"/>
      <c r="D187" s="175"/>
      <c r="E187" s="164"/>
      <c r="F187" s="176" t="str">
        <f t="shared" si="12"/>
        <v>-</v>
      </c>
      <c r="G187" s="69"/>
      <c r="H187" s="192"/>
      <c r="I187" s="161"/>
      <c r="J187" s="178" t="str">
        <f>IFERROR(MIN('MP Calculations'!$E$29/I187,1),"-")</f>
        <v>-</v>
      </c>
      <c r="K187" s="12"/>
      <c r="L187" s="161"/>
      <c r="M187" s="161"/>
      <c r="N187" s="161"/>
      <c r="O187" s="180" t="str">
        <f t="shared" si="11"/>
        <v>-</v>
      </c>
      <c r="P187" s="181" t="str">
        <f t="shared" si="13"/>
        <v>-</v>
      </c>
    </row>
    <row r="188" spans="3:16" x14ac:dyDescent="0.25">
      <c r="C188" s="161"/>
      <c r="D188" s="175"/>
      <c r="E188" s="164"/>
      <c r="F188" s="176" t="str">
        <f t="shared" si="12"/>
        <v>-</v>
      </c>
      <c r="G188" s="69"/>
      <c r="H188" s="192"/>
      <c r="I188" s="161"/>
      <c r="J188" s="178" t="str">
        <f>IFERROR(MIN('MP Calculations'!$E$29/I188,1),"-")</f>
        <v>-</v>
      </c>
      <c r="K188" s="12"/>
      <c r="L188" s="161"/>
      <c r="M188" s="161"/>
      <c r="N188" s="161"/>
      <c r="O188" s="180" t="str">
        <f t="shared" si="11"/>
        <v>-</v>
      </c>
      <c r="P188" s="181" t="str">
        <f t="shared" si="13"/>
        <v>-</v>
      </c>
    </row>
    <row r="189" spans="3:16" x14ac:dyDescent="0.25">
      <c r="C189" s="161"/>
      <c r="D189" s="175"/>
      <c r="E189" s="164"/>
      <c r="F189" s="176" t="str">
        <f t="shared" si="12"/>
        <v>-</v>
      </c>
      <c r="G189" s="69"/>
      <c r="H189" s="192"/>
      <c r="I189" s="161"/>
      <c r="J189" s="178" t="str">
        <f>IFERROR(MIN('MP Calculations'!$E$29/I189,1),"-")</f>
        <v>-</v>
      </c>
      <c r="K189" s="12"/>
      <c r="L189" s="161"/>
      <c r="M189" s="161"/>
      <c r="N189" s="161"/>
      <c r="O189" s="180" t="str">
        <f t="shared" si="11"/>
        <v>-</v>
      </c>
      <c r="P189" s="181" t="str">
        <f t="shared" si="13"/>
        <v>-</v>
      </c>
    </row>
    <row r="190" spans="3:16" x14ac:dyDescent="0.25">
      <c r="C190" s="161"/>
      <c r="D190" s="175"/>
      <c r="E190" s="164"/>
      <c r="F190" s="176" t="str">
        <f t="shared" si="12"/>
        <v>-</v>
      </c>
      <c r="G190" s="69"/>
      <c r="H190" s="192"/>
      <c r="I190" s="161"/>
      <c r="J190" s="178" t="str">
        <f>IFERROR(MIN('MP Calculations'!$E$29/I190,1),"-")</f>
        <v>-</v>
      </c>
      <c r="K190" s="12"/>
      <c r="L190" s="161"/>
      <c r="M190" s="161"/>
      <c r="N190" s="161"/>
      <c r="O190" s="180" t="str">
        <f t="shared" si="11"/>
        <v>-</v>
      </c>
      <c r="P190" s="181" t="str">
        <f t="shared" si="13"/>
        <v>-</v>
      </c>
    </row>
    <row r="191" spans="3:16" x14ac:dyDescent="0.25">
      <c r="C191" s="161"/>
      <c r="D191" s="175"/>
      <c r="E191" s="164"/>
      <c r="F191" s="176" t="str">
        <f t="shared" si="12"/>
        <v>-</v>
      </c>
      <c r="G191" s="69"/>
      <c r="H191" s="192"/>
      <c r="I191" s="161"/>
      <c r="J191" s="178" t="str">
        <f>IFERROR(MIN('MP Calculations'!$E$29/I191,1),"-")</f>
        <v>-</v>
      </c>
      <c r="K191" s="12"/>
      <c r="L191" s="161"/>
      <c r="M191" s="161"/>
      <c r="N191" s="161"/>
      <c r="O191" s="180" t="str">
        <f t="shared" si="11"/>
        <v>-</v>
      </c>
      <c r="P191" s="181" t="str">
        <f t="shared" si="13"/>
        <v>-</v>
      </c>
    </row>
    <row r="192" spans="3:16" x14ac:dyDescent="0.25">
      <c r="C192" s="161"/>
      <c r="D192" s="175"/>
      <c r="E192" s="164"/>
      <c r="F192" s="176" t="str">
        <f t="shared" si="12"/>
        <v>-</v>
      </c>
      <c r="G192" s="69"/>
      <c r="H192" s="192"/>
      <c r="I192" s="161"/>
      <c r="J192" s="178" t="str">
        <f>IFERROR(MIN('MP Calculations'!$E$29/I192,1),"-")</f>
        <v>-</v>
      </c>
      <c r="K192" s="12"/>
      <c r="L192" s="161"/>
      <c r="M192" s="161"/>
      <c r="N192" s="161"/>
      <c r="O192" s="180" t="str">
        <f t="shared" si="11"/>
        <v>-</v>
      </c>
      <c r="P192" s="181" t="str">
        <f t="shared" si="13"/>
        <v>-</v>
      </c>
    </row>
    <row r="193" spans="3:16" x14ac:dyDescent="0.25">
      <c r="C193" s="161"/>
      <c r="D193" s="175"/>
      <c r="E193" s="164"/>
      <c r="F193" s="176" t="str">
        <f t="shared" si="12"/>
        <v>-</v>
      </c>
      <c r="G193" s="69"/>
      <c r="H193" s="192"/>
      <c r="I193" s="161"/>
      <c r="J193" s="178" t="str">
        <f>IFERROR(MIN('MP Calculations'!$E$29/I193,1),"-")</f>
        <v>-</v>
      </c>
      <c r="K193" s="12"/>
      <c r="L193" s="161"/>
      <c r="M193" s="161"/>
      <c r="N193" s="161"/>
      <c r="O193" s="180" t="str">
        <f t="shared" si="11"/>
        <v>-</v>
      </c>
      <c r="P193" s="181" t="str">
        <f t="shared" si="13"/>
        <v>-</v>
      </c>
    </row>
    <row r="194" spans="3:16" x14ac:dyDescent="0.25">
      <c r="C194" s="161"/>
      <c r="D194" s="175"/>
      <c r="E194" s="164"/>
      <c r="F194" s="176" t="str">
        <f t="shared" si="12"/>
        <v>-</v>
      </c>
      <c r="G194" s="69"/>
      <c r="H194" s="192"/>
      <c r="I194" s="161"/>
      <c r="J194" s="178" t="str">
        <f>IFERROR(MIN('MP Calculations'!$E$29/I194,1),"-")</f>
        <v>-</v>
      </c>
      <c r="K194" s="12"/>
      <c r="L194" s="161"/>
      <c r="M194" s="161"/>
      <c r="N194" s="161"/>
      <c r="O194" s="180" t="str">
        <f t="shared" si="11"/>
        <v>-</v>
      </c>
      <c r="P194" s="181" t="str">
        <f t="shared" si="13"/>
        <v>-</v>
      </c>
    </row>
    <row r="195" spans="3:16" x14ac:dyDescent="0.25">
      <c r="C195" s="161"/>
      <c r="D195" s="175"/>
      <c r="E195" s="164"/>
      <c r="F195" s="176" t="str">
        <f t="shared" si="12"/>
        <v>-</v>
      </c>
      <c r="G195" s="69"/>
      <c r="H195" s="192"/>
      <c r="I195" s="161"/>
      <c r="J195" s="178" t="str">
        <f>IFERROR(MIN('MP Calculations'!$E$29/I195,1),"-")</f>
        <v>-</v>
      </c>
      <c r="K195" s="12"/>
      <c r="L195" s="161"/>
      <c r="M195" s="161"/>
      <c r="N195" s="161"/>
      <c r="O195" s="180" t="str">
        <f t="shared" si="11"/>
        <v>-</v>
      </c>
      <c r="P195" s="181" t="str">
        <f t="shared" si="13"/>
        <v>-</v>
      </c>
    </row>
    <row r="196" spans="3:16" x14ac:dyDescent="0.25">
      <c r="C196" s="161"/>
      <c r="D196" s="175"/>
      <c r="E196" s="164"/>
      <c r="F196" s="176" t="str">
        <f t="shared" si="12"/>
        <v>-</v>
      </c>
      <c r="G196" s="69"/>
      <c r="H196" s="192"/>
      <c r="I196" s="161"/>
      <c r="J196" s="178" t="str">
        <f>IFERROR(MIN('MP Calculations'!$E$29/I196,1),"-")</f>
        <v>-</v>
      </c>
      <c r="K196" s="12"/>
      <c r="L196" s="161"/>
      <c r="M196" s="161"/>
      <c r="N196" s="161"/>
      <c r="O196" s="180" t="str">
        <f t="shared" si="11"/>
        <v>-</v>
      </c>
      <c r="P196" s="181" t="str">
        <f t="shared" si="13"/>
        <v>-</v>
      </c>
    </row>
    <row r="197" spans="3:16" x14ac:dyDescent="0.25">
      <c r="C197" s="161"/>
      <c r="D197" s="175"/>
      <c r="E197" s="164"/>
      <c r="F197" s="176" t="str">
        <f t="shared" si="12"/>
        <v>-</v>
      </c>
      <c r="G197" s="69"/>
      <c r="H197" s="192"/>
      <c r="I197" s="161"/>
      <c r="J197" s="178" t="str">
        <f>IFERROR(MIN('MP Calculations'!$E$29/I197,1),"-")</f>
        <v>-</v>
      </c>
      <c r="K197" s="12"/>
      <c r="L197" s="161"/>
      <c r="M197" s="161"/>
      <c r="N197" s="161"/>
      <c r="O197" s="180" t="str">
        <f t="shared" si="11"/>
        <v>-</v>
      </c>
      <c r="P197" s="181" t="str">
        <f t="shared" si="13"/>
        <v>-</v>
      </c>
    </row>
    <row r="198" spans="3:16" x14ac:dyDescent="0.25">
      <c r="C198" s="161"/>
      <c r="D198" s="175"/>
      <c r="E198" s="164"/>
      <c r="F198" s="176" t="str">
        <f t="shared" si="12"/>
        <v>-</v>
      </c>
      <c r="G198" s="69"/>
      <c r="H198" s="192"/>
      <c r="I198" s="161"/>
      <c r="J198" s="178" t="str">
        <f>IFERROR(MIN('MP Calculations'!$E$29/I198,1),"-")</f>
        <v>-</v>
      </c>
      <c r="K198" s="12"/>
      <c r="L198" s="161"/>
      <c r="M198" s="161"/>
      <c r="N198" s="161"/>
      <c r="O198" s="180" t="str">
        <f t="shared" si="11"/>
        <v>-</v>
      </c>
      <c r="P198" s="181" t="str">
        <f t="shared" si="13"/>
        <v>-</v>
      </c>
    </row>
    <row r="199" spans="3:16" x14ac:dyDescent="0.25">
      <c r="C199" s="161"/>
      <c r="D199" s="175"/>
      <c r="E199" s="164"/>
      <c r="F199" s="176" t="str">
        <f t="shared" si="12"/>
        <v>-</v>
      </c>
      <c r="G199" s="69"/>
      <c r="H199" s="192"/>
      <c r="I199" s="161"/>
      <c r="J199" s="178" t="str">
        <f>IFERROR(MIN('MP Calculations'!$E$29/I199,1),"-")</f>
        <v>-</v>
      </c>
      <c r="K199" s="12"/>
      <c r="L199" s="161"/>
      <c r="M199" s="161"/>
      <c r="N199" s="161"/>
      <c r="O199" s="180" t="str">
        <f t="shared" si="11"/>
        <v>-</v>
      </c>
      <c r="P199" s="181" t="str">
        <f t="shared" si="13"/>
        <v>-</v>
      </c>
    </row>
    <row r="200" spans="3:16" x14ac:dyDescent="0.25">
      <c r="C200" s="161"/>
      <c r="D200" s="175"/>
      <c r="E200" s="164"/>
      <c r="F200" s="176" t="str">
        <f t="shared" si="12"/>
        <v>-</v>
      </c>
      <c r="G200" s="69"/>
      <c r="H200" s="192"/>
      <c r="I200" s="161"/>
      <c r="J200" s="178" t="str">
        <f>IFERROR(MIN('MP Calculations'!$E$29/I200,1),"-")</f>
        <v>-</v>
      </c>
      <c r="K200" s="12"/>
      <c r="L200" s="161"/>
      <c r="M200" s="161"/>
      <c r="N200" s="161"/>
      <c r="O200" s="180" t="str">
        <f t="shared" si="11"/>
        <v>-</v>
      </c>
      <c r="P200" s="181" t="str">
        <f t="shared" si="13"/>
        <v>-</v>
      </c>
    </row>
    <row r="201" spans="3:16" x14ac:dyDescent="0.25">
      <c r="C201" s="161"/>
      <c r="D201" s="175"/>
      <c r="E201" s="164"/>
      <c r="F201" s="176" t="str">
        <f t="shared" si="12"/>
        <v>-</v>
      </c>
      <c r="G201" s="69"/>
      <c r="H201" s="192"/>
      <c r="I201" s="161"/>
      <c r="J201" s="178" t="str">
        <f>IFERROR(MIN('MP Calculations'!$E$29/I201,1),"-")</f>
        <v>-</v>
      </c>
      <c r="K201" s="12"/>
      <c r="L201" s="161"/>
      <c r="M201" s="161"/>
      <c r="N201" s="161"/>
      <c r="O201" s="180" t="str">
        <f t="shared" si="11"/>
        <v>-</v>
      </c>
      <c r="P201" s="181" t="str">
        <f t="shared" si="13"/>
        <v>-</v>
      </c>
    </row>
    <row r="202" spans="3:16" x14ac:dyDescent="0.25">
      <c r="C202" s="161"/>
      <c r="D202" s="175"/>
      <c r="E202" s="164"/>
      <c r="F202" s="176" t="str">
        <f t="shared" si="12"/>
        <v>-</v>
      </c>
      <c r="G202" s="69"/>
      <c r="H202" s="192"/>
      <c r="I202" s="161"/>
      <c r="J202" s="178" t="str">
        <f>IFERROR(MIN('MP Calculations'!$E$29/I202,1),"-")</f>
        <v>-</v>
      </c>
      <c r="K202" s="12"/>
      <c r="L202" s="161"/>
      <c r="M202" s="161"/>
      <c r="N202" s="161"/>
      <c r="O202" s="180" t="str">
        <f t="shared" si="11"/>
        <v>-</v>
      </c>
      <c r="P202" s="181" t="str">
        <f t="shared" si="13"/>
        <v>-</v>
      </c>
    </row>
    <row r="203" spans="3:16" x14ac:dyDescent="0.25">
      <c r="C203" s="161"/>
      <c r="D203" s="175"/>
      <c r="E203" s="164"/>
      <c r="F203" s="176" t="str">
        <f t="shared" si="12"/>
        <v>-</v>
      </c>
      <c r="G203" s="69"/>
      <c r="H203" s="192"/>
      <c r="I203" s="161"/>
      <c r="J203" s="178" t="str">
        <f>IFERROR(MIN('MP Calculations'!$E$29/I203,1),"-")</f>
        <v>-</v>
      </c>
      <c r="K203" s="12"/>
      <c r="L203" s="161"/>
      <c r="M203" s="161"/>
      <c r="N203" s="161"/>
      <c r="O203" s="180" t="str">
        <f t="shared" si="11"/>
        <v>-</v>
      </c>
      <c r="P203" s="181" t="str">
        <f t="shared" si="13"/>
        <v>-</v>
      </c>
    </row>
    <row r="204" spans="3:16" x14ac:dyDescent="0.25">
      <c r="C204" s="161"/>
      <c r="D204" s="175"/>
      <c r="E204" s="164"/>
      <c r="F204" s="176" t="str">
        <f t="shared" si="12"/>
        <v>-</v>
      </c>
      <c r="G204" s="69"/>
      <c r="H204" s="192"/>
      <c r="I204" s="161"/>
      <c r="J204" s="178" t="str">
        <f>IFERROR(MIN('MP Calculations'!$E$29/I204,1),"-")</f>
        <v>-</v>
      </c>
      <c r="K204" s="12"/>
      <c r="L204" s="161"/>
      <c r="M204" s="161"/>
      <c r="N204" s="161"/>
      <c r="O204" s="180" t="str">
        <f t="shared" si="11"/>
        <v>-</v>
      </c>
      <c r="P204" s="181" t="str">
        <f t="shared" si="13"/>
        <v>-</v>
      </c>
    </row>
    <row r="205" spans="3:16" x14ac:dyDescent="0.25">
      <c r="C205" s="161"/>
      <c r="D205" s="175"/>
      <c r="E205" s="164"/>
      <c r="F205" s="176" t="str">
        <f t="shared" si="12"/>
        <v>-</v>
      </c>
      <c r="G205" s="69"/>
      <c r="H205" s="192"/>
      <c r="I205" s="161"/>
      <c r="J205" s="178" t="str">
        <f>IFERROR(MIN('MP Calculations'!$E$29/I205,1),"-")</f>
        <v>-</v>
      </c>
      <c r="K205" s="12"/>
      <c r="L205" s="161"/>
      <c r="M205" s="161"/>
      <c r="N205" s="161"/>
      <c r="O205" s="180" t="str">
        <f t="shared" si="11"/>
        <v>-</v>
      </c>
      <c r="P205" s="181" t="str">
        <f t="shared" si="13"/>
        <v>-</v>
      </c>
    </row>
    <row r="206" spans="3:16" x14ac:dyDescent="0.25">
      <c r="C206" s="161"/>
      <c r="D206" s="175"/>
      <c r="E206" s="164"/>
      <c r="F206" s="176" t="str">
        <f t="shared" si="12"/>
        <v>-</v>
      </c>
      <c r="G206" s="69"/>
      <c r="H206" s="192"/>
      <c r="I206" s="161"/>
      <c r="J206" s="178" t="str">
        <f>IFERROR(MIN('MP Calculations'!$E$29/I206,1),"-")</f>
        <v>-</v>
      </c>
      <c r="K206" s="12"/>
      <c r="L206" s="161"/>
      <c r="M206" s="161"/>
      <c r="N206" s="161"/>
      <c r="O206" s="180" t="str">
        <f t="shared" si="11"/>
        <v>-</v>
      </c>
      <c r="P206" s="181" t="str">
        <f t="shared" si="13"/>
        <v>-</v>
      </c>
    </row>
    <row r="207" spans="3:16" x14ac:dyDescent="0.25">
      <c r="C207" s="161"/>
      <c r="D207" s="175"/>
      <c r="E207" s="164"/>
      <c r="F207" s="176" t="str">
        <f t="shared" si="12"/>
        <v>-</v>
      </c>
      <c r="G207" s="69"/>
      <c r="H207" s="192"/>
      <c r="I207" s="161"/>
      <c r="J207" s="178" t="str">
        <f>IFERROR(MIN('MP Calculations'!$E$29/I207,1),"-")</f>
        <v>-</v>
      </c>
      <c r="K207" s="12"/>
      <c r="L207" s="161"/>
      <c r="M207" s="161"/>
      <c r="N207" s="161"/>
      <c r="O207" s="180" t="str">
        <f t="shared" si="11"/>
        <v>-</v>
      </c>
      <c r="P207" s="181" t="str">
        <f t="shared" si="13"/>
        <v>-</v>
      </c>
    </row>
    <row r="208" spans="3:16" x14ac:dyDescent="0.25">
      <c r="C208" s="161"/>
      <c r="D208" s="175"/>
      <c r="E208" s="164"/>
      <c r="F208" s="176" t="str">
        <f t="shared" si="12"/>
        <v>-</v>
      </c>
      <c r="G208" s="69"/>
      <c r="H208" s="192"/>
      <c r="I208" s="161"/>
      <c r="J208" s="178" t="str">
        <f>IFERROR(MIN('MP Calculations'!$E$29/I208,1),"-")</f>
        <v>-</v>
      </c>
      <c r="K208" s="12"/>
      <c r="L208" s="161"/>
      <c r="M208" s="161"/>
      <c r="N208" s="161"/>
      <c r="O208" s="180" t="str">
        <f t="shared" si="11"/>
        <v>-</v>
      </c>
      <c r="P208" s="181" t="str">
        <f t="shared" si="13"/>
        <v>-</v>
      </c>
    </row>
    <row r="209" spans="3:16" x14ac:dyDescent="0.25">
      <c r="C209" s="161"/>
      <c r="D209" s="175"/>
      <c r="E209" s="164"/>
      <c r="F209" s="176" t="str">
        <f t="shared" si="12"/>
        <v>-</v>
      </c>
      <c r="G209" s="69"/>
      <c r="H209" s="192"/>
      <c r="I209" s="161"/>
      <c r="J209" s="178" t="str">
        <f>IFERROR(MIN('MP Calculations'!$E$29/I209,1),"-")</f>
        <v>-</v>
      </c>
      <c r="K209" s="12"/>
      <c r="L209" s="161"/>
      <c r="M209" s="161"/>
      <c r="N209" s="161"/>
      <c r="O209" s="180" t="str">
        <f t="shared" si="11"/>
        <v>-</v>
      </c>
      <c r="P209" s="181" t="str">
        <f t="shared" si="13"/>
        <v>-</v>
      </c>
    </row>
    <row r="210" spans="3:16" x14ac:dyDescent="0.25">
      <c r="C210" s="161"/>
      <c r="D210" s="175"/>
      <c r="E210" s="164"/>
      <c r="F210" s="176" t="str">
        <f t="shared" si="12"/>
        <v>-</v>
      </c>
      <c r="G210" s="69"/>
      <c r="H210" s="192"/>
      <c r="I210" s="161"/>
      <c r="J210" s="178" t="str">
        <f>IFERROR(MIN('MP Calculations'!$E$29/I210,1),"-")</f>
        <v>-</v>
      </c>
      <c r="K210" s="12"/>
      <c r="L210" s="161"/>
      <c r="M210" s="161"/>
      <c r="N210" s="161"/>
      <c r="O210" s="180" t="str">
        <f t="shared" si="11"/>
        <v>-</v>
      </c>
      <c r="P210" s="181" t="str">
        <f t="shared" si="13"/>
        <v>-</v>
      </c>
    </row>
    <row r="211" spans="3:16" x14ac:dyDescent="0.25">
      <c r="C211" s="161"/>
      <c r="D211" s="175"/>
      <c r="E211" s="164"/>
      <c r="F211" s="176" t="str">
        <f t="shared" si="12"/>
        <v>-</v>
      </c>
      <c r="G211" s="69"/>
      <c r="H211" s="192"/>
      <c r="I211" s="161"/>
      <c r="J211" s="178" t="str">
        <f>IFERROR(MIN('MP Calculations'!$E$29/I211,1),"-")</f>
        <v>-</v>
      </c>
      <c r="K211" s="12"/>
      <c r="L211" s="161"/>
      <c r="M211" s="161"/>
      <c r="N211" s="161"/>
      <c r="O211" s="180" t="str">
        <f t="shared" si="11"/>
        <v>-</v>
      </c>
      <c r="P211" s="181" t="str">
        <f t="shared" si="13"/>
        <v>-</v>
      </c>
    </row>
    <row r="212" spans="3:16" x14ac:dyDescent="0.25">
      <c r="C212" s="161"/>
      <c r="D212" s="175"/>
      <c r="E212" s="164"/>
      <c r="F212" s="176" t="str">
        <f t="shared" si="12"/>
        <v>-</v>
      </c>
      <c r="G212" s="69"/>
      <c r="H212" s="192"/>
      <c r="I212" s="161"/>
      <c r="J212" s="178" t="str">
        <f>IFERROR(MIN('MP Calculations'!$E$29/I212,1),"-")</f>
        <v>-</v>
      </c>
      <c r="K212" s="12"/>
      <c r="L212" s="161"/>
      <c r="M212" s="161"/>
      <c r="N212" s="161"/>
      <c r="O212" s="180" t="str">
        <f t="shared" si="11"/>
        <v>-</v>
      </c>
      <c r="P212" s="181" t="str">
        <f t="shared" si="13"/>
        <v>-</v>
      </c>
    </row>
    <row r="213" spans="3:16" x14ac:dyDescent="0.25">
      <c r="C213" s="161"/>
      <c r="D213" s="175"/>
      <c r="E213" s="164"/>
      <c r="F213" s="176" t="str">
        <f t="shared" si="12"/>
        <v>-</v>
      </c>
      <c r="G213" s="69"/>
      <c r="H213" s="192"/>
      <c r="I213" s="161"/>
      <c r="J213" s="178" t="str">
        <f>IFERROR(MIN('MP Calculations'!$E$29/I213,1),"-")</f>
        <v>-</v>
      </c>
      <c r="K213" s="12"/>
      <c r="L213" s="161"/>
      <c r="M213" s="161"/>
      <c r="N213" s="161"/>
      <c r="O213" s="180" t="str">
        <f t="shared" si="11"/>
        <v>-</v>
      </c>
      <c r="P213" s="181" t="str">
        <f t="shared" si="13"/>
        <v>-</v>
      </c>
    </row>
    <row r="214" spans="3:16" x14ac:dyDescent="0.25">
      <c r="C214" s="161"/>
      <c r="D214" s="175"/>
      <c r="E214" s="164"/>
      <c r="F214" s="176" t="str">
        <f t="shared" si="12"/>
        <v>-</v>
      </c>
      <c r="G214" s="69"/>
      <c r="H214" s="192"/>
      <c r="I214" s="161"/>
      <c r="J214" s="178" t="str">
        <f>IFERROR(MIN('MP Calculations'!$E$29/I214,1),"-")</f>
        <v>-</v>
      </c>
      <c r="K214" s="12"/>
      <c r="L214" s="161"/>
      <c r="M214" s="161"/>
      <c r="N214" s="161"/>
      <c r="O214" s="180" t="str">
        <f t="shared" si="11"/>
        <v>-</v>
      </c>
      <c r="P214" s="181" t="str">
        <f t="shared" si="13"/>
        <v>-</v>
      </c>
    </row>
    <row r="215" spans="3:16" x14ac:dyDescent="0.25">
      <c r="C215" s="161"/>
      <c r="D215" s="175"/>
      <c r="E215" s="164"/>
      <c r="F215" s="176" t="str">
        <f t="shared" si="12"/>
        <v>-</v>
      </c>
      <c r="G215" s="69"/>
      <c r="H215" s="192"/>
      <c r="I215" s="161"/>
      <c r="J215" s="178" t="str">
        <f>IFERROR(MIN('MP Calculations'!$E$29/I215,1),"-")</f>
        <v>-</v>
      </c>
      <c r="K215" s="12"/>
      <c r="L215" s="161"/>
      <c r="M215" s="161"/>
      <c r="N215" s="161"/>
      <c r="O215" s="180" t="str">
        <f t="shared" ref="O215:O218" si="14">IF(N215="","-",L215*N215)</f>
        <v>-</v>
      </c>
      <c r="P215" s="181" t="str">
        <f t="shared" si="13"/>
        <v>-</v>
      </c>
    </row>
    <row r="216" spans="3:16" x14ac:dyDescent="0.25">
      <c r="C216" s="161"/>
      <c r="D216" s="175"/>
      <c r="E216" s="164"/>
      <c r="F216" s="176" t="str">
        <f t="shared" si="12"/>
        <v>-</v>
      </c>
      <c r="G216" s="69"/>
      <c r="H216" s="192"/>
      <c r="I216" s="161"/>
      <c r="J216" s="178" t="str">
        <f>IFERROR(MIN('MP Calculations'!$E$29/I216,1),"-")</f>
        <v>-</v>
      </c>
      <c r="K216" s="12"/>
      <c r="L216" s="161"/>
      <c r="M216" s="161"/>
      <c r="N216" s="161"/>
      <c r="O216" s="180" t="str">
        <f t="shared" si="14"/>
        <v>-</v>
      </c>
      <c r="P216" s="181" t="str">
        <f t="shared" si="13"/>
        <v>-</v>
      </c>
    </row>
    <row r="217" spans="3:16" x14ac:dyDescent="0.25">
      <c r="C217" s="161"/>
      <c r="D217" s="175"/>
      <c r="E217" s="164"/>
      <c r="F217" s="176" t="str">
        <f t="shared" si="12"/>
        <v>-</v>
      </c>
      <c r="G217" s="69"/>
      <c r="H217" s="192"/>
      <c r="I217" s="161"/>
      <c r="J217" s="178" t="str">
        <f>IFERROR(MIN('MP Calculations'!$E$29/I217,1),"-")</f>
        <v>-</v>
      </c>
      <c r="K217" s="12"/>
      <c r="L217" s="161"/>
      <c r="M217" s="161"/>
      <c r="N217" s="161"/>
      <c r="O217" s="180" t="str">
        <f t="shared" si="14"/>
        <v>-</v>
      </c>
      <c r="P217" s="181" t="str">
        <f t="shared" si="13"/>
        <v>-</v>
      </c>
    </row>
    <row r="218" spans="3:16" ht="57.5" x14ac:dyDescent="0.25">
      <c r="C218" s="162"/>
      <c r="D218" s="18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67"/>
      <c r="F218" s="183" t="str">
        <f t="shared" si="6"/>
        <v>-</v>
      </c>
      <c r="G218" s="69"/>
      <c r="H218" s="184"/>
      <c r="I218" s="187"/>
      <c r="J218" s="186" t="str">
        <f>IFERROR(MIN('MP Calculations'!$E$29/I218,1),"-")</f>
        <v>-</v>
      </c>
      <c r="K218" s="69"/>
      <c r="L218" s="187"/>
      <c r="M218" s="187"/>
      <c r="N218" s="187"/>
      <c r="O218" s="188" t="str">
        <f t="shared" si="14"/>
        <v>-</v>
      </c>
      <c r="P218" s="189" t="str">
        <f t="shared" si="8"/>
        <v>-</v>
      </c>
    </row>
  </sheetData>
  <conditionalFormatting sqref="F22:F218">
    <cfRule type="containsText" dxfId="3" priority="2" operator="containsText" text="ERROR">
      <formula>NOT(ISERROR(SEARCH("ERROR",F22)))</formula>
    </cfRule>
  </conditionalFormatting>
  <conditionalFormatting sqref="J22:J218">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zoomScaleNormal="100" workbookViewId="0"/>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51" t="s">
        <v>203</v>
      </c>
    </row>
    <row r="6" spans="3:40" x14ac:dyDescent="0.25">
      <c r="C6" s="6" t="s">
        <v>204</v>
      </c>
      <c r="F6" s="195">
        <f>'General inputs'!H36</f>
        <v>0.10495901701668212</v>
      </c>
      <c r="G6" s="146"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39" t="s">
        <v>205</v>
      </c>
      <c r="G8" s="39"/>
      <c r="H8" s="40"/>
      <c r="I8" s="39" t="s">
        <v>206</v>
      </c>
      <c r="J8" s="39"/>
      <c r="K8" s="40"/>
      <c r="L8" s="206" t="s">
        <v>207</v>
      </c>
      <c r="M8" s="207"/>
      <c r="N8" s="40"/>
      <c r="O8" s="206" t="s">
        <v>208</v>
      </c>
      <c r="P8" s="207"/>
      <c r="Q8" s="40"/>
      <c r="R8" s="206" t="s">
        <v>209</v>
      </c>
      <c r="S8" s="207"/>
      <c r="T8" s="40"/>
      <c r="U8" s="206" t="s">
        <v>210</v>
      </c>
      <c r="V8" s="207"/>
      <c r="W8" s="40"/>
      <c r="X8" s="206" t="s">
        <v>211</v>
      </c>
      <c r="Y8" s="207"/>
      <c r="Z8" s="40"/>
      <c r="AA8" s="206" t="s">
        <v>212</v>
      </c>
      <c r="AB8" s="207"/>
      <c r="AC8" s="40"/>
      <c r="AD8" s="206" t="s">
        <v>213</v>
      </c>
      <c r="AE8" s="207"/>
      <c r="AF8" s="40"/>
      <c r="AG8" s="206" t="s">
        <v>214</v>
      </c>
      <c r="AH8" s="207"/>
    </row>
    <row r="9" spans="3:40" x14ac:dyDescent="0.25">
      <c r="C9" s="6" t="s">
        <v>215</v>
      </c>
      <c r="F9" s="24" t="s">
        <v>216</v>
      </c>
      <c r="G9" s="197">
        <f>F6</f>
        <v>0.10495901701668212</v>
      </c>
      <c r="H9" s="30"/>
      <c r="I9" s="24" t="s">
        <v>216</v>
      </c>
      <c r="J9" s="56">
        <v>150</v>
      </c>
      <c r="K9" s="30"/>
      <c r="L9" s="54" t="s">
        <v>217</v>
      </c>
      <c r="M9" s="55">
        <v>20000</v>
      </c>
      <c r="N9" s="30"/>
      <c r="O9" s="54" t="s">
        <v>218</v>
      </c>
      <c r="P9" s="55">
        <v>5000</v>
      </c>
      <c r="Q9" s="30"/>
      <c r="R9" s="54" t="s">
        <v>217</v>
      </c>
      <c r="S9" s="55">
        <v>20000</v>
      </c>
      <c r="T9" s="30"/>
      <c r="U9" s="54" t="s">
        <v>218</v>
      </c>
      <c r="V9" s="55">
        <v>5000</v>
      </c>
      <c r="W9" s="30"/>
      <c r="X9" s="54" t="s">
        <v>217</v>
      </c>
      <c r="Y9" s="55">
        <v>20000</v>
      </c>
      <c r="Z9" s="30"/>
      <c r="AA9" s="54" t="s">
        <v>218</v>
      </c>
      <c r="AB9" s="55">
        <v>5000</v>
      </c>
      <c r="AC9" s="30"/>
      <c r="AD9" s="54" t="s">
        <v>217</v>
      </c>
      <c r="AE9" s="55">
        <v>20000</v>
      </c>
      <c r="AF9" s="30"/>
      <c r="AG9" s="54" t="s">
        <v>218</v>
      </c>
      <c r="AH9" s="55">
        <v>5000</v>
      </c>
    </row>
    <row r="11" spans="3:40" ht="34.5" x14ac:dyDescent="0.25">
      <c r="D11" s="145" t="s">
        <v>219</v>
      </c>
      <c r="E11" s="28"/>
      <c r="F11" s="145" t="s">
        <v>220</v>
      </c>
      <c r="G11" s="30" t="s">
        <v>99</v>
      </c>
      <c r="H11" s="30"/>
      <c r="I11" s="28" t="s">
        <v>221</v>
      </c>
      <c r="J11" s="30" t="s">
        <v>99</v>
      </c>
      <c r="K11" s="30"/>
      <c r="L11" s="28" t="str">
        <f>"Annual take-up of "&amp;INDEX($AK$12:$AK$19,MATCH(L9,$AJ$12:$AJ$20,0))&amp;" for "&amp;L8</f>
        <v>Annual take-up of hectares for Schools</v>
      </c>
      <c r="M11" s="30" t="s">
        <v>99</v>
      </c>
      <c r="N11" s="30"/>
      <c r="O11" s="28" t="str">
        <f>"Annual take-up of "&amp;INDEX($AK$12:$AK$19,MATCH(O9,$AJ$12:$AJ$20,0))&amp;" for "&amp;O8</f>
        <v>Annual take-up of properties for Commercial</v>
      </c>
      <c r="P11" s="30" t="s">
        <v>99</v>
      </c>
      <c r="Q11" s="30"/>
      <c r="R11" s="28" t="str">
        <f>"Annual take-up of "&amp;INDEX($AK$12:$AK$19,MATCH(R9,$AJ$12:$AJ$20,0))&amp;" for "&amp;R8</f>
        <v>Annual take-up of hectares for Light industrial</v>
      </c>
      <c r="S11" s="30" t="s">
        <v>99</v>
      </c>
      <c r="T11" s="30"/>
      <c r="U11" s="28" t="str">
        <f>"Annual take-up of "&amp;INDEX($AK$12:$AK$19,MATCH(U9,$AJ$12:$AJ$20,0))&amp;" for "&amp;U8</f>
        <v>Annual take-up of properties for Non-res 4</v>
      </c>
      <c r="V11" s="30" t="s">
        <v>99</v>
      </c>
      <c r="W11" s="30"/>
      <c r="X11" s="28" t="str">
        <f>"Annual take-up of "&amp;INDEX($AK$12:$AK$19,MATCH(X9,$AJ$12:$AJ$20,0))&amp;" for "&amp;X8</f>
        <v>Annual take-up of hectares for Non-res 5</v>
      </c>
      <c r="Y11" s="30" t="s">
        <v>99</v>
      </c>
      <c r="Z11" s="30"/>
      <c r="AA11" s="28" t="str">
        <f>"Annual take-up of "&amp;INDEX($AK$12:$AK$19,MATCH(AA9,$AJ$12:$AJ$20,0))&amp;" for "&amp;AA8</f>
        <v>Annual take-up of properties for Non-res 6</v>
      </c>
      <c r="AB11" s="30" t="s">
        <v>99</v>
      </c>
      <c r="AC11" s="30"/>
      <c r="AD11" s="28" t="str">
        <f>"Annual take-up of "&amp;INDEX($AK$12:$AK$19,MATCH(AD9,$AJ$12:$AJ$20,0))&amp;" for "&amp;AD8</f>
        <v>Annual take-up of hectares for Non-res 7</v>
      </c>
      <c r="AE11" s="30" t="s">
        <v>99</v>
      </c>
      <c r="AF11" s="30"/>
      <c r="AG11" s="28" t="str">
        <f>"Annual take-up of "&amp;INDEX($AK$12:$AK$19,MATCH(AG9,$AJ$12:$AJ$20,0))&amp;" for "&amp;AG8</f>
        <v>Annual take-up of properties for Non-res 8</v>
      </c>
      <c r="AH11" s="30" t="s">
        <v>99</v>
      </c>
      <c r="AJ11" s="86" t="s">
        <v>222</v>
      </c>
      <c r="AK11" s="26"/>
      <c r="AM11" s="106"/>
      <c r="AN11" s="26"/>
    </row>
    <row r="12" spans="3:40" ht="12" customHeight="1" x14ac:dyDescent="0.25">
      <c r="C12" s="26" t="str">
        <f>'MP Calculations'!D39</f>
        <v>1995-96</v>
      </c>
      <c r="D12" s="77">
        <f>IF(LEFT($C12,4)*1&lt;LEFT('General inputs'!$I$16,4)+'General inputs'!$H$38,SUM(G12,J12,M12,P12,S12,V12,Y12,AB12,AE12,AH12),"")</f>
        <v>0</v>
      </c>
      <c r="F12" s="41"/>
      <c r="G12" s="77">
        <f>F12*$G$9/$F$6</f>
        <v>0</v>
      </c>
      <c r="I12" s="41"/>
      <c r="J12" s="36">
        <f t="shared" ref="J12:J43" si="0">I12*$J$9/$F$6</f>
        <v>0</v>
      </c>
      <c r="L12" s="41">
        <v>0</v>
      </c>
      <c r="M12" s="36">
        <f t="shared" ref="M12:M43" si="1">L12*$M$9/$F$6</f>
        <v>0</v>
      </c>
      <c r="O12" s="41">
        <v>0</v>
      </c>
      <c r="P12" s="36">
        <f t="shared" ref="P12:P43" si="2">O12*$P$9/$F$6</f>
        <v>0</v>
      </c>
      <c r="R12" s="41">
        <v>0</v>
      </c>
      <c r="S12" s="36">
        <f t="shared" ref="S12:S43" si="3">R12*$S$9/$F$6</f>
        <v>0</v>
      </c>
      <c r="U12" s="41">
        <v>0</v>
      </c>
      <c r="V12" s="36">
        <f t="shared" ref="V12:V43" si="4">U12*$V$9/$F$6</f>
        <v>0</v>
      </c>
      <c r="X12" s="41">
        <v>0</v>
      </c>
      <c r="Y12" s="36">
        <f t="shared" ref="Y12:Y43" si="5">X12*$Y$9/$F$6</f>
        <v>0</v>
      </c>
      <c r="AA12" s="41">
        <v>0</v>
      </c>
      <c r="AB12" s="36">
        <f t="shared" ref="AB12:AB43" si="6">AA12*$AB$9/$F$6</f>
        <v>0</v>
      </c>
      <c r="AD12" s="41">
        <v>0</v>
      </c>
      <c r="AE12" s="36">
        <f t="shared" ref="AE12:AE43" si="7">AD12*$AE$9/$F$6</f>
        <v>0</v>
      </c>
      <c r="AG12" s="41">
        <v>0</v>
      </c>
      <c r="AH12" s="36">
        <f t="shared" ref="AH12:AH43" si="8">AG12*$AH$9/$F$6</f>
        <v>0</v>
      </c>
      <c r="AI12" s="87">
        <v>1</v>
      </c>
      <c r="AJ12" s="57" t="s">
        <v>218</v>
      </c>
      <c r="AK12" s="57" t="s">
        <v>223</v>
      </c>
    </row>
    <row r="13" spans="3:40" x14ac:dyDescent="0.25">
      <c r="C13" s="26" t="str">
        <f>'MP Calculations'!D40</f>
        <v>1996-97</v>
      </c>
      <c r="D13" s="76">
        <f>IF(LEFT($C13,4)*1&lt;LEFT('General inputs'!$I$16,4)+'General inputs'!$H$38,SUM(G13,J13,M13,P13,S13,V13,Y13,AB13,AE13,AH13),"")</f>
        <v>0</v>
      </c>
      <c r="F13" s="32"/>
      <c r="G13" s="76">
        <f t="shared" ref="G13:G43" si="9">F13*$G$9/$F$6</f>
        <v>0</v>
      </c>
      <c r="I13" s="32"/>
      <c r="J13" s="37">
        <f t="shared" si="0"/>
        <v>0</v>
      </c>
      <c r="L13" s="32">
        <v>0</v>
      </c>
      <c r="M13" s="37">
        <f t="shared" si="1"/>
        <v>0</v>
      </c>
      <c r="O13" s="32">
        <v>0</v>
      </c>
      <c r="P13" s="37">
        <f t="shared" si="2"/>
        <v>0</v>
      </c>
      <c r="R13" s="32">
        <v>0</v>
      </c>
      <c r="S13" s="37">
        <f t="shared" si="3"/>
        <v>0</v>
      </c>
      <c r="U13" s="32">
        <v>0</v>
      </c>
      <c r="V13" s="37">
        <f t="shared" si="4"/>
        <v>0</v>
      </c>
      <c r="X13" s="32">
        <v>0</v>
      </c>
      <c r="Y13" s="37">
        <f t="shared" si="5"/>
        <v>0</v>
      </c>
      <c r="AA13" s="32">
        <v>0</v>
      </c>
      <c r="AB13" s="37">
        <f t="shared" si="6"/>
        <v>0</v>
      </c>
      <c r="AD13" s="32">
        <v>0</v>
      </c>
      <c r="AE13" s="37">
        <f t="shared" si="7"/>
        <v>0</v>
      </c>
      <c r="AG13" s="32">
        <v>0</v>
      </c>
      <c r="AH13" s="37">
        <f t="shared" si="8"/>
        <v>0</v>
      </c>
      <c r="AI13">
        <f>AI12+1</f>
        <v>2</v>
      </c>
      <c r="AJ13" s="25" t="s">
        <v>217</v>
      </c>
      <c r="AK13" s="25" t="s">
        <v>224</v>
      </c>
    </row>
    <row r="14" spans="3:40" x14ac:dyDescent="0.25">
      <c r="C14" s="26" t="str">
        <f>'MP Calculations'!D41</f>
        <v>1997-98</v>
      </c>
      <c r="D14" s="76">
        <f>IF(LEFT($C14,4)*1&lt;LEFT('General inputs'!$I$16,4)+'General inputs'!$H$38,SUM(G14,J14,M14,P14,S14,V14,Y14,AB14,AE14,AH14),"")</f>
        <v>0</v>
      </c>
      <c r="F14" s="32"/>
      <c r="G14" s="76">
        <f t="shared" si="9"/>
        <v>0</v>
      </c>
      <c r="I14" s="32"/>
      <c r="J14" s="37">
        <f t="shared" si="0"/>
        <v>0</v>
      </c>
      <c r="L14" s="32">
        <v>0</v>
      </c>
      <c r="M14" s="37">
        <f t="shared" si="1"/>
        <v>0</v>
      </c>
      <c r="O14" s="32">
        <v>0</v>
      </c>
      <c r="P14" s="37">
        <f t="shared" si="2"/>
        <v>0</v>
      </c>
      <c r="R14" s="32">
        <v>0</v>
      </c>
      <c r="S14" s="37">
        <f t="shared" si="3"/>
        <v>0</v>
      </c>
      <c r="U14" s="32">
        <v>0</v>
      </c>
      <c r="V14" s="37">
        <f t="shared" si="4"/>
        <v>0</v>
      </c>
      <c r="X14" s="32">
        <v>0</v>
      </c>
      <c r="Y14" s="37">
        <f t="shared" si="5"/>
        <v>0</v>
      </c>
      <c r="AA14" s="32">
        <v>0</v>
      </c>
      <c r="AB14" s="37">
        <f t="shared" si="6"/>
        <v>0</v>
      </c>
      <c r="AD14" s="32">
        <v>0</v>
      </c>
      <c r="AE14" s="37">
        <f t="shared" si="7"/>
        <v>0</v>
      </c>
      <c r="AG14" s="32">
        <v>0</v>
      </c>
      <c r="AH14" s="37">
        <f t="shared" si="8"/>
        <v>0</v>
      </c>
      <c r="AI14">
        <f t="shared" ref="AI14:AI18" si="10">AI13+1</f>
        <v>3</v>
      </c>
      <c r="AJ14" s="25"/>
      <c r="AK14" s="25"/>
    </row>
    <row r="15" spans="3:40" x14ac:dyDescent="0.25">
      <c r="C15" s="26" t="str">
        <f>'MP Calculations'!D42</f>
        <v>1998-99</v>
      </c>
      <c r="D15" s="76">
        <f>IF(LEFT($C15,4)*1&lt;LEFT('General inputs'!$I$16,4)+'General inputs'!$H$38,SUM(G15,J15,M15,P15,S15,V15,Y15,AB15,AE15,AH15),"")</f>
        <v>0</v>
      </c>
      <c r="F15" s="32"/>
      <c r="G15" s="76">
        <f t="shared" si="9"/>
        <v>0</v>
      </c>
      <c r="I15" s="32"/>
      <c r="J15" s="37">
        <f t="shared" si="0"/>
        <v>0</v>
      </c>
      <c r="L15" s="32">
        <v>0</v>
      </c>
      <c r="M15" s="37">
        <f t="shared" si="1"/>
        <v>0</v>
      </c>
      <c r="O15" s="32">
        <v>0</v>
      </c>
      <c r="P15" s="37">
        <f t="shared" si="2"/>
        <v>0</v>
      </c>
      <c r="R15" s="32">
        <v>0</v>
      </c>
      <c r="S15" s="37">
        <f t="shared" si="3"/>
        <v>0</v>
      </c>
      <c r="U15" s="32">
        <v>0</v>
      </c>
      <c r="V15" s="37">
        <f t="shared" si="4"/>
        <v>0</v>
      </c>
      <c r="X15" s="32">
        <v>0</v>
      </c>
      <c r="Y15" s="37">
        <f t="shared" si="5"/>
        <v>0</v>
      </c>
      <c r="AA15" s="32">
        <v>0</v>
      </c>
      <c r="AB15" s="37">
        <f t="shared" si="6"/>
        <v>0</v>
      </c>
      <c r="AD15" s="32">
        <v>0</v>
      </c>
      <c r="AE15" s="37">
        <f t="shared" si="7"/>
        <v>0</v>
      </c>
      <c r="AG15" s="32">
        <v>0</v>
      </c>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5">
      <c r="C16" s="26" t="str">
        <f>'MP Calculations'!D43</f>
        <v>1999-00</v>
      </c>
      <c r="D16" s="76">
        <f>IF(LEFT($C16,4)*1&lt;LEFT('General inputs'!$I$16,4)+'General inputs'!$H$38,SUM(G16,J16,M16,P16,S16,V16,Y16,AB16,AE16,AH16),"")</f>
        <v>0</v>
      </c>
      <c r="F16" s="32"/>
      <c r="G16" s="76">
        <f t="shared" si="9"/>
        <v>0</v>
      </c>
      <c r="I16" s="32"/>
      <c r="J16" s="37">
        <f t="shared" si="0"/>
        <v>0</v>
      </c>
      <c r="L16" s="32">
        <v>0</v>
      </c>
      <c r="M16" s="37">
        <f t="shared" si="1"/>
        <v>0</v>
      </c>
      <c r="O16" s="32">
        <v>0</v>
      </c>
      <c r="P16" s="37">
        <f t="shared" si="2"/>
        <v>0</v>
      </c>
      <c r="R16" s="32">
        <v>0</v>
      </c>
      <c r="S16" s="37">
        <f t="shared" si="3"/>
        <v>0</v>
      </c>
      <c r="U16" s="32">
        <v>0</v>
      </c>
      <c r="V16" s="37">
        <f t="shared" si="4"/>
        <v>0</v>
      </c>
      <c r="X16" s="32">
        <v>0</v>
      </c>
      <c r="Y16" s="37">
        <f t="shared" si="5"/>
        <v>0</v>
      </c>
      <c r="AA16" s="32">
        <v>0</v>
      </c>
      <c r="AB16" s="37">
        <f t="shared" si="6"/>
        <v>0</v>
      </c>
      <c r="AD16" s="32">
        <v>0</v>
      </c>
      <c r="AE16" s="37">
        <f t="shared" si="7"/>
        <v>0</v>
      </c>
      <c r="AG16" s="32">
        <v>0</v>
      </c>
      <c r="AH16" s="37">
        <f t="shared" si="8"/>
        <v>0</v>
      </c>
      <c r="AI16">
        <f t="shared" si="10"/>
        <v>5</v>
      </c>
      <c r="AJ16" s="112"/>
      <c r="AK16" s="112"/>
      <c r="AL16" s="107" t="s">
        <v>225</v>
      </c>
    </row>
    <row r="17" spans="3:37" x14ac:dyDescent="0.25">
      <c r="C17" s="26" t="str">
        <f>'MP Calculations'!D44</f>
        <v>2000-01</v>
      </c>
      <c r="D17" s="76">
        <f>IF(LEFT($C17,4)*1&lt;LEFT('General inputs'!$I$16,4)+'General inputs'!$H$38,SUM(G17,J17,M17,P17,S17,V17,Y17,AB17,AE17,AH17),"")</f>
        <v>0</v>
      </c>
      <c r="F17" s="32"/>
      <c r="G17" s="76">
        <f t="shared" si="9"/>
        <v>0</v>
      </c>
      <c r="I17" s="32"/>
      <c r="J17" s="37">
        <f t="shared" si="0"/>
        <v>0</v>
      </c>
      <c r="L17" s="32">
        <v>0</v>
      </c>
      <c r="M17" s="37">
        <f t="shared" si="1"/>
        <v>0</v>
      </c>
      <c r="O17" s="32">
        <v>0</v>
      </c>
      <c r="P17" s="37">
        <f t="shared" si="2"/>
        <v>0</v>
      </c>
      <c r="R17" s="32">
        <v>0</v>
      </c>
      <c r="S17" s="37">
        <f t="shared" si="3"/>
        <v>0</v>
      </c>
      <c r="U17" s="32">
        <v>0</v>
      </c>
      <c r="V17" s="37">
        <f t="shared" si="4"/>
        <v>0</v>
      </c>
      <c r="X17" s="32">
        <v>0</v>
      </c>
      <c r="Y17" s="37">
        <f t="shared" si="5"/>
        <v>0</v>
      </c>
      <c r="AA17" s="32">
        <v>0</v>
      </c>
      <c r="AB17" s="37">
        <f t="shared" si="6"/>
        <v>0</v>
      </c>
      <c r="AD17" s="32">
        <v>0</v>
      </c>
      <c r="AE17" s="37">
        <f t="shared" si="7"/>
        <v>0</v>
      </c>
      <c r="AG17" s="32">
        <v>0</v>
      </c>
      <c r="AH17" s="37">
        <f t="shared" si="8"/>
        <v>0</v>
      </c>
      <c r="AI17">
        <f t="shared" si="10"/>
        <v>6</v>
      </c>
      <c r="AJ17" s="25"/>
      <c r="AK17" s="25"/>
    </row>
    <row r="18" spans="3:37" x14ac:dyDescent="0.25">
      <c r="C18" s="26" t="str">
        <f>'MP Calculations'!D45</f>
        <v>2001-02</v>
      </c>
      <c r="D18" s="76">
        <f>IF(LEFT($C18,4)*1&lt;LEFT('General inputs'!$I$16,4)+'General inputs'!$H$38,SUM(G18,J18,M18,P18,S18,V18,Y18,AB18,AE18,AH18),"")</f>
        <v>0</v>
      </c>
      <c r="F18" s="32"/>
      <c r="G18" s="76">
        <f t="shared" si="9"/>
        <v>0</v>
      </c>
      <c r="I18" s="32"/>
      <c r="J18" s="37">
        <f t="shared" si="0"/>
        <v>0</v>
      </c>
      <c r="L18" s="32">
        <v>0</v>
      </c>
      <c r="M18" s="37">
        <f t="shared" si="1"/>
        <v>0</v>
      </c>
      <c r="O18" s="32">
        <v>0</v>
      </c>
      <c r="P18" s="37">
        <f t="shared" si="2"/>
        <v>0</v>
      </c>
      <c r="R18" s="32">
        <v>0</v>
      </c>
      <c r="S18" s="37">
        <f t="shared" si="3"/>
        <v>0</v>
      </c>
      <c r="U18" s="32">
        <v>0</v>
      </c>
      <c r="V18" s="37">
        <f t="shared" si="4"/>
        <v>0</v>
      </c>
      <c r="X18" s="32">
        <v>0</v>
      </c>
      <c r="Y18" s="37">
        <f t="shared" si="5"/>
        <v>0</v>
      </c>
      <c r="AA18" s="32">
        <v>0</v>
      </c>
      <c r="AB18" s="37">
        <f t="shared" si="6"/>
        <v>0</v>
      </c>
      <c r="AD18" s="32">
        <v>0</v>
      </c>
      <c r="AE18" s="37">
        <f t="shared" si="7"/>
        <v>0</v>
      </c>
      <c r="AG18" s="32">
        <v>0</v>
      </c>
      <c r="AH18" s="37">
        <f t="shared" si="8"/>
        <v>0</v>
      </c>
      <c r="AI18">
        <f t="shared" si="10"/>
        <v>7</v>
      </c>
      <c r="AJ18" s="25"/>
      <c r="AK18" s="25"/>
    </row>
    <row r="19" spans="3:37" x14ac:dyDescent="0.25">
      <c r="C19" s="26" t="str">
        <f>'MP Calculations'!D46</f>
        <v>2002-03</v>
      </c>
      <c r="D19" s="76">
        <f>IF(LEFT($C19,4)*1&lt;LEFT('General inputs'!$I$16,4)+'General inputs'!$H$38,SUM(G19,J19,M19,P19,S19,V19,Y19,AB19,AE19,AH19),"")</f>
        <v>0</v>
      </c>
      <c r="F19" s="32"/>
      <c r="G19" s="76">
        <f t="shared" si="9"/>
        <v>0</v>
      </c>
      <c r="I19" s="32"/>
      <c r="J19" s="37">
        <f t="shared" si="0"/>
        <v>0</v>
      </c>
      <c r="L19" s="32">
        <v>0</v>
      </c>
      <c r="M19" s="37">
        <f>L19*$M$9/$F$6</f>
        <v>0</v>
      </c>
      <c r="O19" s="32">
        <v>0</v>
      </c>
      <c r="P19" s="37">
        <f t="shared" si="2"/>
        <v>0</v>
      </c>
      <c r="R19" s="32">
        <v>0</v>
      </c>
      <c r="S19" s="37">
        <f t="shared" si="3"/>
        <v>0</v>
      </c>
      <c r="U19" s="32">
        <v>0</v>
      </c>
      <c r="V19" s="37">
        <f t="shared" si="4"/>
        <v>0</v>
      </c>
      <c r="X19" s="32">
        <v>0</v>
      </c>
      <c r="Y19" s="37">
        <f t="shared" si="5"/>
        <v>0</v>
      </c>
      <c r="AA19" s="32">
        <v>0</v>
      </c>
      <c r="AB19" s="37">
        <f t="shared" si="6"/>
        <v>0</v>
      </c>
      <c r="AD19" s="32">
        <v>0</v>
      </c>
      <c r="AE19" s="37">
        <f t="shared" si="7"/>
        <v>0</v>
      </c>
      <c r="AG19" s="32">
        <v>0</v>
      </c>
      <c r="AH19" s="37">
        <f t="shared" si="8"/>
        <v>0</v>
      </c>
      <c r="AJ19" s="88" t="str">
        <f>"add alternatives at "&amp;ADDRESS(ROW(AJ18),COLUMN(AJ18))&amp;":"&amp;ADDRESS(ROW(AJ23),COLUMN(AJ23))</f>
        <v>add alternatives at $AJ$18:$AJ$23</v>
      </c>
      <c r="AK19" s="108"/>
    </row>
    <row r="20" spans="3:37" x14ac:dyDescent="0.25">
      <c r="C20" s="26" t="str">
        <f>'MP Calculations'!D47</f>
        <v>2003-04</v>
      </c>
      <c r="D20" s="76">
        <f>IF(LEFT($C20,4)*1&lt;LEFT('General inputs'!$I$16,4)+'General inputs'!$H$38,SUM(G20,J20,M20,P20,S20,V20,Y20,AB20,AE20,AH20),"")</f>
        <v>0</v>
      </c>
      <c r="F20" s="32"/>
      <c r="G20" s="76">
        <f t="shared" si="9"/>
        <v>0</v>
      </c>
      <c r="I20" s="32"/>
      <c r="J20" s="37">
        <f t="shared" si="0"/>
        <v>0</v>
      </c>
      <c r="L20" s="32">
        <v>0</v>
      </c>
      <c r="M20" s="37">
        <f t="shared" si="1"/>
        <v>0</v>
      </c>
      <c r="O20" s="32">
        <v>0</v>
      </c>
      <c r="P20" s="37">
        <f t="shared" si="2"/>
        <v>0</v>
      </c>
      <c r="R20" s="32">
        <v>0</v>
      </c>
      <c r="S20" s="37">
        <f t="shared" si="3"/>
        <v>0</v>
      </c>
      <c r="U20" s="32">
        <v>0</v>
      </c>
      <c r="V20" s="37">
        <f t="shared" si="4"/>
        <v>0</v>
      </c>
      <c r="X20" s="32">
        <v>0</v>
      </c>
      <c r="Y20" s="37">
        <f t="shared" si="5"/>
        <v>0</v>
      </c>
      <c r="AA20" s="32">
        <v>0</v>
      </c>
      <c r="AB20" s="37">
        <f t="shared" si="6"/>
        <v>0</v>
      </c>
      <c r="AD20" s="32">
        <v>0</v>
      </c>
      <c r="AE20" s="37">
        <f t="shared" si="7"/>
        <v>0</v>
      </c>
      <c r="AG20" s="32">
        <v>0</v>
      </c>
      <c r="AH20" s="37">
        <f t="shared" si="8"/>
        <v>0</v>
      </c>
    </row>
    <row r="21" spans="3:37" x14ac:dyDescent="0.25">
      <c r="C21" s="26" t="str">
        <f>'MP Calculations'!D48</f>
        <v>2004-05</v>
      </c>
      <c r="D21" s="76">
        <f>IF(LEFT($C21,4)*1&lt;LEFT('General inputs'!$I$16,4)+'General inputs'!$H$38,SUM(G21,J21,M21,P21,S21,V21,Y21,AB21,AE21,AH21),"")</f>
        <v>0</v>
      </c>
      <c r="F21" s="32"/>
      <c r="G21" s="76">
        <f t="shared" si="9"/>
        <v>0</v>
      </c>
      <c r="I21" s="32"/>
      <c r="J21" s="37">
        <f t="shared" si="0"/>
        <v>0</v>
      </c>
      <c r="L21" s="32">
        <v>0</v>
      </c>
      <c r="M21" s="37">
        <f t="shared" si="1"/>
        <v>0</v>
      </c>
      <c r="O21" s="32">
        <v>0</v>
      </c>
      <c r="P21" s="37">
        <f t="shared" si="2"/>
        <v>0</v>
      </c>
      <c r="R21" s="32">
        <v>0</v>
      </c>
      <c r="S21" s="37">
        <f t="shared" si="3"/>
        <v>0</v>
      </c>
      <c r="U21" s="32">
        <v>0</v>
      </c>
      <c r="V21" s="37">
        <f t="shared" si="4"/>
        <v>0</v>
      </c>
      <c r="X21" s="32">
        <v>0</v>
      </c>
      <c r="Y21" s="37">
        <f t="shared" si="5"/>
        <v>0</v>
      </c>
      <c r="AA21" s="32">
        <v>0</v>
      </c>
      <c r="AB21" s="37">
        <f t="shared" si="6"/>
        <v>0</v>
      </c>
      <c r="AD21" s="32">
        <v>0</v>
      </c>
      <c r="AE21" s="37">
        <f t="shared" si="7"/>
        <v>0</v>
      </c>
      <c r="AG21" s="32">
        <v>0</v>
      </c>
      <c r="AH21" s="37">
        <f t="shared" si="8"/>
        <v>0</v>
      </c>
    </row>
    <row r="22" spans="3:37" x14ac:dyDescent="0.25">
      <c r="C22" s="26" t="str">
        <f>'MP Calculations'!D49</f>
        <v>2005-06</v>
      </c>
      <c r="D22" s="76">
        <f>IF(LEFT($C22,4)*1&lt;LEFT('General inputs'!$I$16,4)+'General inputs'!$H$38,SUM(G22,J22,M22,P22,S22,V22,Y22,AB22,AE22,AH22),"")</f>
        <v>0</v>
      </c>
      <c r="F22" s="32"/>
      <c r="G22" s="76">
        <f t="shared" si="9"/>
        <v>0</v>
      </c>
      <c r="I22" s="32"/>
      <c r="J22" s="37">
        <f t="shared" si="0"/>
        <v>0</v>
      </c>
      <c r="L22" s="32">
        <v>0</v>
      </c>
      <c r="M22" s="37">
        <f t="shared" si="1"/>
        <v>0</v>
      </c>
      <c r="O22" s="32">
        <v>0</v>
      </c>
      <c r="P22" s="37">
        <f t="shared" si="2"/>
        <v>0</v>
      </c>
      <c r="R22" s="32">
        <v>0</v>
      </c>
      <c r="S22" s="37">
        <f t="shared" si="3"/>
        <v>0</v>
      </c>
      <c r="U22" s="32">
        <v>0</v>
      </c>
      <c r="V22" s="37">
        <f t="shared" si="4"/>
        <v>0</v>
      </c>
      <c r="X22" s="32">
        <v>0</v>
      </c>
      <c r="Y22" s="37">
        <f t="shared" si="5"/>
        <v>0</v>
      </c>
      <c r="AA22" s="32">
        <v>0</v>
      </c>
      <c r="AB22" s="37">
        <f t="shared" si="6"/>
        <v>0</v>
      </c>
      <c r="AD22" s="32">
        <v>0</v>
      </c>
      <c r="AE22" s="37">
        <f t="shared" si="7"/>
        <v>0</v>
      </c>
      <c r="AG22" s="32">
        <v>0</v>
      </c>
      <c r="AH22" s="37">
        <f t="shared" si="8"/>
        <v>0</v>
      </c>
    </row>
    <row r="23" spans="3:37" x14ac:dyDescent="0.25">
      <c r="C23" s="26" t="str">
        <f>'MP Calculations'!D50</f>
        <v>2006-07</v>
      </c>
      <c r="D23" s="76">
        <f>IF(LEFT($C23,4)*1&lt;LEFT('General inputs'!$I$16,4)+'General inputs'!$H$38,SUM(G23,J23,M23,P23,S23,V23,Y23,AB23,AE23,AH23),"")</f>
        <v>0</v>
      </c>
      <c r="F23" s="32"/>
      <c r="G23" s="76">
        <f t="shared" si="9"/>
        <v>0</v>
      </c>
      <c r="I23" s="32"/>
      <c r="J23" s="37">
        <f t="shared" si="0"/>
        <v>0</v>
      </c>
      <c r="L23" s="32">
        <v>0</v>
      </c>
      <c r="M23" s="37">
        <f t="shared" si="1"/>
        <v>0</v>
      </c>
      <c r="O23" s="32">
        <v>0</v>
      </c>
      <c r="P23" s="37">
        <f t="shared" si="2"/>
        <v>0</v>
      </c>
      <c r="R23" s="32">
        <v>0</v>
      </c>
      <c r="S23" s="37">
        <f t="shared" si="3"/>
        <v>0</v>
      </c>
      <c r="U23" s="32">
        <v>0</v>
      </c>
      <c r="V23" s="37">
        <f t="shared" si="4"/>
        <v>0</v>
      </c>
      <c r="X23" s="32">
        <v>0</v>
      </c>
      <c r="Y23" s="37">
        <f t="shared" si="5"/>
        <v>0</v>
      </c>
      <c r="AA23" s="32">
        <v>0</v>
      </c>
      <c r="AB23" s="37">
        <f t="shared" si="6"/>
        <v>0</v>
      </c>
      <c r="AD23" s="32">
        <v>0</v>
      </c>
      <c r="AE23" s="37">
        <f t="shared" si="7"/>
        <v>0</v>
      </c>
      <c r="AG23" s="32">
        <v>0</v>
      </c>
      <c r="AH23" s="37">
        <f t="shared" si="8"/>
        <v>0</v>
      </c>
    </row>
    <row r="24" spans="3:37" x14ac:dyDescent="0.25">
      <c r="C24" s="26" t="str">
        <f>'MP Calculations'!D51</f>
        <v>2007-08</v>
      </c>
      <c r="D24" s="76">
        <f>IF(LEFT($C24,4)*1&lt;LEFT('General inputs'!$I$16,4)+'General inputs'!$H$38,SUM(G24,J24,M24,P24,S24,V24,Y24,AB24,AE24,AH24),"")</f>
        <v>0</v>
      </c>
      <c r="F24" s="32"/>
      <c r="G24" s="76">
        <f t="shared" si="9"/>
        <v>0</v>
      </c>
      <c r="I24" s="32"/>
      <c r="J24" s="37">
        <f t="shared" si="0"/>
        <v>0</v>
      </c>
      <c r="L24" s="32">
        <v>0</v>
      </c>
      <c r="M24" s="37">
        <f t="shared" si="1"/>
        <v>0</v>
      </c>
      <c r="O24" s="32">
        <v>0</v>
      </c>
      <c r="P24" s="37">
        <f t="shared" si="2"/>
        <v>0</v>
      </c>
      <c r="R24" s="32">
        <v>0</v>
      </c>
      <c r="S24" s="37">
        <f t="shared" si="3"/>
        <v>0</v>
      </c>
      <c r="U24" s="32">
        <v>0</v>
      </c>
      <c r="V24" s="37">
        <f t="shared" si="4"/>
        <v>0</v>
      </c>
      <c r="X24" s="32">
        <v>0</v>
      </c>
      <c r="Y24" s="37">
        <f t="shared" si="5"/>
        <v>0</v>
      </c>
      <c r="AA24" s="32">
        <v>0</v>
      </c>
      <c r="AB24" s="37">
        <f t="shared" si="6"/>
        <v>0</v>
      </c>
      <c r="AD24" s="32">
        <v>0</v>
      </c>
      <c r="AE24" s="37">
        <f t="shared" si="7"/>
        <v>0</v>
      </c>
      <c r="AG24" s="32">
        <v>0</v>
      </c>
      <c r="AH24" s="37">
        <f t="shared" si="8"/>
        <v>0</v>
      </c>
    </row>
    <row r="25" spans="3:37" x14ac:dyDescent="0.25">
      <c r="C25" s="26" t="str">
        <f>'MP Calculations'!D52</f>
        <v>2008-09</v>
      </c>
      <c r="D25" s="76">
        <f>IF(LEFT($C25,4)*1&lt;LEFT('General inputs'!$I$16,4)+'General inputs'!$H$38,SUM(G25,J25,M25,P25,S25,V25,Y25,AB25,AE25,AH25),"")</f>
        <v>0</v>
      </c>
      <c r="F25" s="32"/>
      <c r="G25" s="76">
        <f t="shared" si="9"/>
        <v>0</v>
      </c>
      <c r="I25" s="32"/>
      <c r="J25" s="37">
        <f t="shared" si="0"/>
        <v>0</v>
      </c>
      <c r="L25" s="32">
        <v>0</v>
      </c>
      <c r="M25" s="37">
        <f t="shared" si="1"/>
        <v>0</v>
      </c>
      <c r="O25" s="32">
        <v>0</v>
      </c>
      <c r="P25" s="37">
        <f t="shared" si="2"/>
        <v>0</v>
      </c>
      <c r="R25" s="32">
        <v>0</v>
      </c>
      <c r="S25" s="37">
        <f t="shared" si="3"/>
        <v>0</v>
      </c>
      <c r="U25" s="32">
        <v>0</v>
      </c>
      <c r="V25" s="37">
        <f t="shared" si="4"/>
        <v>0</v>
      </c>
      <c r="X25" s="32">
        <v>0</v>
      </c>
      <c r="Y25" s="37">
        <f t="shared" si="5"/>
        <v>0</v>
      </c>
      <c r="AA25" s="32">
        <v>0</v>
      </c>
      <c r="AB25" s="37">
        <f t="shared" si="6"/>
        <v>0</v>
      </c>
      <c r="AD25" s="32">
        <v>0</v>
      </c>
      <c r="AE25" s="37">
        <f t="shared" si="7"/>
        <v>0</v>
      </c>
      <c r="AG25" s="32">
        <v>0</v>
      </c>
      <c r="AH25" s="37">
        <f t="shared" si="8"/>
        <v>0</v>
      </c>
    </row>
    <row r="26" spans="3:37" x14ac:dyDescent="0.25">
      <c r="C26" s="26" t="str">
        <f>'MP Calculations'!D53</f>
        <v>2009-10</v>
      </c>
      <c r="D26" s="76">
        <f>IF(LEFT($C26,4)*1&lt;LEFT('General inputs'!$I$16,4)+'General inputs'!$H$38,SUM(G26,J26,M26,P26,S26,V26,Y26,AB26,AE26,AH26),"")</f>
        <v>0</v>
      </c>
      <c r="F26" s="32"/>
      <c r="G26" s="76">
        <f t="shared" si="9"/>
        <v>0</v>
      </c>
      <c r="I26" s="32"/>
      <c r="J26" s="37">
        <f t="shared" si="0"/>
        <v>0</v>
      </c>
      <c r="L26" s="32">
        <v>0</v>
      </c>
      <c r="M26" s="37">
        <f t="shared" si="1"/>
        <v>0</v>
      </c>
      <c r="O26" s="32">
        <v>0</v>
      </c>
      <c r="P26" s="37">
        <f t="shared" si="2"/>
        <v>0</v>
      </c>
      <c r="R26" s="32">
        <v>0</v>
      </c>
      <c r="S26" s="37">
        <f t="shared" si="3"/>
        <v>0</v>
      </c>
      <c r="U26" s="32">
        <v>0</v>
      </c>
      <c r="V26" s="37">
        <f t="shared" si="4"/>
        <v>0</v>
      </c>
      <c r="X26" s="32">
        <v>0</v>
      </c>
      <c r="Y26" s="37">
        <f t="shared" si="5"/>
        <v>0</v>
      </c>
      <c r="AA26" s="32">
        <v>0</v>
      </c>
      <c r="AB26" s="37">
        <f t="shared" si="6"/>
        <v>0</v>
      </c>
      <c r="AD26" s="32">
        <v>0</v>
      </c>
      <c r="AE26" s="37">
        <f t="shared" si="7"/>
        <v>0</v>
      </c>
      <c r="AG26" s="32">
        <v>0</v>
      </c>
      <c r="AH26" s="37">
        <f t="shared" si="8"/>
        <v>0</v>
      </c>
    </row>
    <row r="27" spans="3:37" x14ac:dyDescent="0.25">
      <c r="C27" s="26" t="str">
        <f>'MP Calculations'!D54</f>
        <v>2010-11</v>
      </c>
      <c r="D27" s="76">
        <f>IF(LEFT($C27,4)*1&lt;LEFT('General inputs'!$I$16,4)+'General inputs'!$H$38,SUM(G27,J27,M27,P27,S27,V27,Y27,AB27,AE27,AH27),"")</f>
        <v>0</v>
      </c>
      <c r="F27" s="32"/>
      <c r="G27" s="76">
        <f t="shared" si="9"/>
        <v>0</v>
      </c>
      <c r="I27" s="32"/>
      <c r="J27" s="37">
        <f t="shared" si="0"/>
        <v>0</v>
      </c>
      <c r="L27" s="32">
        <v>0</v>
      </c>
      <c r="M27" s="37">
        <f t="shared" si="1"/>
        <v>0</v>
      </c>
      <c r="O27" s="32">
        <v>0</v>
      </c>
      <c r="P27" s="37">
        <f t="shared" si="2"/>
        <v>0</v>
      </c>
      <c r="R27" s="32">
        <v>0</v>
      </c>
      <c r="S27" s="37">
        <f t="shared" si="3"/>
        <v>0</v>
      </c>
      <c r="U27" s="32">
        <v>0</v>
      </c>
      <c r="V27" s="37">
        <f t="shared" si="4"/>
        <v>0</v>
      </c>
      <c r="X27" s="32">
        <v>0</v>
      </c>
      <c r="Y27" s="37">
        <f t="shared" si="5"/>
        <v>0</v>
      </c>
      <c r="AA27" s="32">
        <v>0</v>
      </c>
      <c r="AB27" s="37">
        <f t="shared" si="6"/>
        <v>0</v>
      </c>
      <c r="AD27" s="32">
        <v>0</v>
      </c>
      <c r="AE27" s="37">
        <f t="shared" si="7"/>
        <v>0</v>
      </c>
      <c r="AG27" s="32">
        <v>0</v>
      </c>
      <c r="AH27" s="37">
        <f t="shared" si="8"/>
        <v>0</v>
      </c>
    </row>
    <row r="28" spans="3:37" x14ac:dyDescent="0.25">
      <c r="C28" s="26" t="str">
        <f>'MP Calculations'!D55</f>
        <v>2011-12</v>
      </c>
      <c r="D28" s="76">
        <f>IF(LEFT($C28,4)*1&lt;LEFT('General inputs'!$I$16,4)+'General inputs'!$H$38,SUM(G28,J28,M28,P28,S28,V28,Y28,AB28,AE28,AH28),"")</f>
        <v>0</v>
      </c>
      <c r="F28" s="32"/>
      <c r="G28" s="76">
        <f t="shared" si="9"/>
        <v>0</v>
      </c>
      <c r="I28" s="32"/>
      <c r="J28" s="37">
        <f t="shared" si="0"/>
        <v>0</v>
      </c>
      <c r="L28" s="32">
        <v>0</v>
      </c>
      <c r="M28" s="37">
        <f t="shared" si="1"/>
        <v>0</v>
      </c>
      <c r="O28" s="32">
        <v>0</v>
      </c>
      <c r="P28" s="37">
        <f t="shared" si="2"/>
        <v>0</v>
      </c>
      <c r="R28" s="32">
        <v>0</v>
      </c>
      <c r="S28" s="37">
        <f t="shared" si="3"/>
        <v>0</v>
      </c>
      <c r="U28" s="32">
        <v>0</v>
      </c>
      <c r="V28" s="37">
        <f t="shared" si="4"/>
        <v>0</v>
      </c>
      <c r="X28" s="32">
        <v>0</v>
      </c>
      <c r="Y28" s="37">
        <f t="shared" si="5"/>
        <v>0</v>
      </c>
      <c r="AA28" s="32">
        <v>0</v>
      </c>
      <c r="AB28" s="37">
        <f t="shared" si="6"/>
        <v>0</v>
      </c>
      <c r="AD28" s="32">
        <v>0</v>
      </c>
      <c r="AE28" s="37">
        <f t="shared" si="7"/>
        <v>0</v>
      </c>
      <c r="AG28" s="32">
        <v>0</v>
      </c>
      <c r="AH28" s="37">
        <f t="shared" si="8"/>
        <v>0</v>
      </c>
    </row>
    <row r="29" spans="3:37" x14ac:dyDescent="0.25">
      <c r="C29" s="26" t="str">
        <f>'MP Calculations'!D56</f>
        <v>2012-13</v>
      </c>
      <c r="D29" s="76">
        <f>IF(LEFT($C29,4)*1&lt;LEFT('General inputs'!$I$16,4)+'General inputs'!$H$38,SUM(G29,J29,M29,P29,S29,V29,Y29,AB29,AE29,AH29),"")</f>
        <v>0</v>
      </c>
      <c r="F29" s="32"/>
      <c r="G29" s="76">
        <f t="shared" si="9"/>
        <v>0</v>
      </c>
      <c r="I29" s="32"/>
      <c r="J29" s="37">
        <f t="shared" si="0"/>
        <v>0</v>
      </c>
      <c r="L29" s="32">
        <v>0</v>
      </c>
      <c r="M29" s="37">
        <f t="shared" si="1"/>
        <v>0</v>
      </c>
      <c r="O29" s="32">
        <v>0</v>
      </c>
      <c r="P29" s="37">
        <f t="shared" si="2"/>
        <v>0</v>
      </c>
      <c r="R29" s="32">
        <v>0</v>
      </c>
      <c r="S29" s="37">
        <f t="shared" si="3"/>
        <v>0</v>
      </c>
      <c r="U29" s="32">
        <v>0</v>
      </c>
      <c r="V29" s="37">
        <f t="shared" si="4"/>
        <v>0</v>
      </c>
      <c r="X29" s="32">
        <v>0</v>
      </c>
      <c r="Y29" s="37">
        <f t="shared" si="5"/>
        <v>0</v>
      </c>
      <c r="AA29" s="32">
        <v>0</v>
      </c>
      <c r="AB29" s="37">
        <f t="shared" si="6"/>
        <v>0</v>
      </c>
      <c r="AD29" s="32">
        <v>0</v>
      </c>
      <c r="AE29" s="37">
        <f t="shared" si="7"/>
        <v>0</v>
      </c>
      <c r="AG29" s="32">
        <v>0</v>
      </c>
      <c r="AH29" s="37">
        <f t="shared" si="8"/>
        <v>0</v>
      </c>
    </row>
    <row r="30" spans="3:37" x14ac:dyDescent="0.25">
      <c r="C30" s="26" t="str">
        <f>'MP Calculations'!D57</f>
        <v>2013-14</v>
      </c>
      <c r="D30" s="76">
        <f>IF(LEFT($C30,4)*1&lt;LEFT('General inputs'!$I$16,4)+'General inputs'!$H$38,SUM(G30,J30,M30,P30,S30,V30,Y30,AB30,AE30,AH30),"")</f>
        <v>0</v>
      </c>
      <c r="F30" s="32"/>
      <c r="G30" s="76">
        <f t="shared" si="9"/>
        <v>0</v>
      </c>
      <c r="I30" s="32"/>
      <c r="J30" s="37">
        <f t="shared" si="0"/>
        <v>0</v>
      </c>
      <c r="L30" s="32">
        <v>0</v>
      </c>
      <c r="M30" s="37">
        <f t="shared" si="1"/>
        <v>0</v>
      </c>
      <c r="O30" s="32">
        <v>0</v>
      </c>
      <c r="P30" s="37">
        <f t="shared" si="2"/>
        <v>0</v>
      </c>
      <c r="R30" s="32">
        <v>0</v>
      </c>
      <c r="S30" s="37">
        <f t="shared" si="3"/>
        <v>0</v>
      </c>
      <c r="U30" s="32">
        <v>0</v>
      </c>
      <c r="V30" s="37">
        <f t="shared" si="4"/>
        <v>0</v>
      </c>
      <c r="X30" s="32">
        <v>0</v>
      </c>
      <c r="Y30" s="37">
        <f t="shared" si="5"/>
        <v>0</v>
      </c>
      <c r="AA30" s="32">
        <v>0</v>
      </c>
      <c r="AB30" s="37">
        <f t="shared" si="6"/>
        <v>0</v>
      </c>
      <c r="AD30" s="32">
        <v>0</v>
      </c>
      <c r="AE30" s="37">
        <f t="shared" si="7"/>
        <v>0</v>
      </c>
      <c r="AG30" s="32">
        <v>0</v>
      </c>
      <c r="AH30" s="37">
        <f t="shared" si="8"/>
        <v>0</v>
      </c>
    </row>
    <row r="31" spans="3:37" x14ac:dyDescent="0.25">
      <c r="C31" s="26" t="str">
        <f>'MP Calculations'!D58</f>
        <v>2014-15</v>
      </c>
      <c r="D31" s="76">
        <f>IF(LEFT($C31,4)*1&lt;LEFT('General inputs'!$I$16,4)+'General inputs'!$H$38,SUM(G31,J31,M31,P31,S31,V31,Y31,AB31,AE31,AH31),"")</f>
        <v>0</v>
      </c>
      <c r="F31" s="32"/>
      <c r="G31" s="76">
        <f t="shared" si="9"/>
        <v>0</v>
      </c>
      <c r="I31" s="32"/>
      <c r="J31" s="37">
        <f t="shared" si="0"/>
        <v>0</v>
      </c>
      <c r="L31" s="32">
        <v>0</v>
      </c>
      <c r="M31" s="37">
        <f t="shared" si="1"/>
        <v>0</v>
      </c>
      <c r="O31" s="32">
        <v>0</v>
      </c>
      <c r="P31" s="37">
        <f t="shared" si="2"/>
        <v>0</v>
      </c>
      <c r="R31" s="32">
        <v>0</v>
      </c>
      <c r="S31" s="37">
        <f t="shared" si="3"/>
        <v>0</v>
      </c>
      <c r="U31" s="32">
        <v>0</v>
      </c>
      <c r="V31" s="37">
        <f t="shared" si="4"/>
        <v>0</v>
      </c>
      <c r="X31" s="32">
        <v>0</v>
      </c>
      <c r="Y31" s="37">
        <f t="shared" si="5"/>
        <v>0</v>
      </c>
      <c r="AA31" s="32">
        <v>0</v>
      </c>
      <c r="AB31" s="37">
        <f t="shared" si="6"/>
        <v>0</v>
      </c>
      <c r="AD31" s="32">
        <v>0</v>
      </c>
      <c r="AE31" s="37">
        <f t="shared" si="7"/>
        <v>0</v>
      </c>
      <c r="AG31" s="32">
        <v>0</v>
      </c>
      <c r="AH31" s="37">
        <f t="shared" si="8"/>
        <v>0</v>
      </c>
    </row>
    <row r="32" spans="3:37" x14ac:dyDescent="0.25">
      <c r="C32" s="26" t="str">
        <f>'MP Calculations'!D59</f>
        <v>2015-16</v>
      </c>
      <c r="D32" s="76">
        <f>IF(LEFT($C32,4)*1&lt;LEFT('General inputs'!$I$16,4)+'General inputs'!$H$38,SUM(G32,J32,M32,P32,S32,V32,Y32,AB32,AE32,AH32),"")</f>
        <v>0</v>
      </c>
      <c r="F32" s="32"/>
      <c r="G32" s="76">
        <f t="shared" si="9"/>
        <v>0</v>
      </c>
      <c r="I32" s="32"/>
      <c r="J32" s="37">
        <f t="shared" si="0"/>
        <v>0</v>
      </c>
      <c r="L32" s="32">
        <v>0</v>
      </c>
      <c r="M32" s="37">
        <f t="shared" si="1"/>
        <v>0</v>
      </c>
      <c r="O32" s="32">
        <v>0</v>
      </c>
      <c r="P32" s="37">
        <f t="shared" si="2"/>
        <v>0</v>
      </c>
      <c r="R32" s="32">
        <v>0</v>
      </c>
      <c r="S32" s="37">
        <f t="shared" si="3"/>
        <v>0</v>
      </c>
      <c r="U32" s="32">
        <v>0</v>
      </c>
      <c r="V32" s="37">
        <f t="shared" si="4"/>
        <v>0</v>
      </c>
      <c r="X32" s="32">
        <v>0</v>
      </c>
      <c r="Y32" s="37">
        <f t="shared" si="5"/>
        <v>0</v>
      </c>
      <c r="AA32" s="32">
        <v>0</v>
      </c>
      <c r="AB32" s="37">
        <f t="shared" si="6"/>
        <v>0</v>
      </c>
      <c r="AD32" s="32">
        <v>0</v>
      </c>
      <c r="AE32" s="37">
        <f t="shared" si="7"/>
        <v>0</v>
      </c>
      <c r="AG32" s="32">
        <v>0</v>
      </c>
      <c r="AH32" s="37">
        <f t="shared" si="8"/>
        <v>0</v>
      </c>
    </row>
    <row r="33" spans="3:34" x14ac:dyDescent="0.25">
      <c r="C33" s="26" t="str">
        <f>'MP Calculations'!D60</f>
        <v>2016-17</v>
      </c>
      <c r="D33" s="76">
        <f>IF(LEFT($C33,4)*1&lt;LEFT('General inputs'!$I$16,4)+'General inputs'!$H$38,SUM(G33,J33,M33,P33,S33,V33,Y33,AB33,AE33,AH33),"")</f>
        <v>0</v>
      </c>
      <c r="F33" s="32"/>
      <c r="G33" s="76">
        <f t="shared" si="9"/>
        <v>0</v>
      </c>
      <c r="I33" s="32"/>
      <c r="J33" s="37">
        <f t="shared" si="0"/>
        <v>0</v>
      </c>
      <c r="L33" s="32">
        <v>0</v>
      </c>
      <c r="M33" s="37">
        <f t="shared" si="1"/>
        <v>0</v>
      </c>
      <c r="O33" s="32">
        <v>0</v>
      </c>
      <c r="P33" s="37">
        <f t="shared" si="2"/>
        <v>0</v>
      </c>
      <c r="R33" s="32">
        <v>0</v>
      </c>
      <c r="S33" s="37">
        <f t="shared" si="3"/>
        <v>0</v>
      </c>
      <c r="U33" s="32">
        <v>0</v>
      </c>
      <c r="V33" s="37">
        <f t="shared" si="4"/>
        <v>0</v>
      </c>
      <c r="X33" s="32">
        <v>0</v>
      </c>
      <c r="Y33" s="37">
        <f t="shared" si="5"/>
        <v>0</v>
      </c>
      <c r="AA33" s="32">
        <v>0</v>
      </c>
      <c r="AB33" s="37">
        <f t="shared" si="6"/>
        <v>0</v>
      </c>
      <c r="AD33" s="32">
        <v>0</v>
      </c>
      <c r="AE33" s="37">
        <f t="shared" si="7"/>
        <v>0</v>
      </c>
      <c r="AG33" s="32">
        <v>0</v>
      </c>
      <c r="AH33" s="37">
        <f t="shared" si="8"/>
        <v>0</v>
      </c>
    </row>
    <row r="34" spans="3:34" x14ac:dyDescent="0.25">
      <c r="C34" s="26" t="str">
        <f>'MP Calculations'!D61</f>
        <v>2017-18</v>
      </c>
      <c r="D34" s="76">
        <f>IF(LEFT($C34,4)*1&lt;LEFT('General inputs'!$I$16,4)+'General inputs'!$H$38,SUM(G34,J34,M34,P34,S34,V34,Y34,AB34,AE34,AH34),"")</f>
        <v>0</v>
      </c>
      <c r="F34" s="32"/>
      <c r="G34" s="76">
        <f t="shared" si="9"/>
        <v>0</v>
      </c>
      <c r="I34" s="32"/>
      <c r="J34" s="37">
        <f t="shared" si="0"/>
        <v>0</v>
      </c>
      <c r="L34" s="32">
        <v>0</v>
      </c>
      <c r="M34" s="37">
        <f t="shared" si="1"/>
        <v>0</v>
      </c>
      <c r="O34" s="32">
        <v>0</v>
      </c>
      <c r="P34" s="37">
        <f t="shared" si="2"/>
        <v>0</v>
      </c>
      <c r="R34" s="32">
        <v>0</v>
      </c>
      <c r="S34" s="37">
        <f t="shared" si="3"/>
        <v>0</v>
      </c>
      <c r="U34" s="32">
        <v>0</v>
      </c>
      <c r="V34" s="37">
        <f t="shared" si="4"/>
        <v>0</v>
      </c>
      <c r="X34" s="32">
        <v>0</v>
      </c>
      <c r="Y34" s="37">
        <f t="shared" si="5"/>
        <v>0</v>
      </c>
      <c r="AA34" s="32">
        <v>0</v>
      </c>
      <c r="AB34" s="37">
        <f t="shared" si="6"/>
        <v>0</v>
      </c>
      <c r="AD34" s="32">
        <v>0</v>
      </c>
      <c r="AE34" s="37">
        <f t="shared" si="7"/>
        <v>0</v>
      </c>
      <c r="AG34" s="32">
        <v>0</v>
      </c>
      <c r="AH34" s="37">
        <f t="shared" si="8"/>
        <v>0</v>
      </c>
    </row>
    <row r="35" spans="3:34" x14ac:dyDescent="0.25">
      <c r="C35" s="26" t="str">
        <f>'MP Calculations'!D62</f>
        <v>2018-19</v>
      </c>
      <c r="D35" s="76">
        <f>IF(LEFT($C35,4)*1&lt;LEFT('General inputs'!$I$16,4)+'General inputs'!$H$38,SUM(G35,J35,M35,P35,S35,V35,Y35,AB35,AE35,AH35),"")</f>
        <v>0</v>
      </c>
      <c r="F35" s="32"/>
      <c r="G35" s="76">
        <f t="shared" si="9"/>
        <v>0</v>
      </c>
      <c r="I35" s="32"/>
      <c r="J35" s="37">
        <f t="shared" si="0"/>
        <v>0</v>
      </c>
      <c r="L35" s="32">
        <v>0</v>
      </c>
      <c r="M35" s="37">
        <f t="shared" si="1"/>
        <v>0</v>
      </c>
      <c r="O35" s="32">
        <v>0</v>
      </c>
      <c r="P35" s="37">
        <f t="shared" si="2"/>
        <v>0</v>
      </c>
      <c r="R35" s="32">
        <v>0</v>
      </c>
      <c r="S35" s="37">
        <f t="shared" si="3"/>
        <v>0</v>
      </c>
      <c r="U35" s="32">
        <v>0</v>
      </c>
      <c r="V35" s="37">
        <f t="shared" si="4"/>
        <v>0</v>
      </c>
      <c r="X35" s="32">
        <v>0</v>
      </c>
      <c r="Y35" s="37">
        <f t="shared" si="5"/>
        <v>0</v>
      </c>
      <c r="AA35" s="32">
        <v>0</v>
      </c>
      <c r="AB35" s="37">
        <f t="shared" si="6"/>
        <v>0</v>
      </c>
      <c r="AD35" s="32">
        <v>0</v>
      </c>
      <c r="AE35" s="37">
        <f t="shared" si="7"/>
        <v>0</v>
      </c>
      <c r="AG35" s="32">
        <v>0</v>
      </c>
      <c r="AH35" s="37">
        <f t="shared" si="8"/>
        <v>0</v>
      </c>
    </row>
    <row r="36" spans="3:34" x14ac:dyDescent="0.25">
      <c r="C36" s="26" t="str">
        <f>'MP Calculations'!D63</f>
        <v>2019-20</v>
      </c>
      <c r="D36" s="76">
        <f>IF(LEFT($C36,4)*1&lt;LEFT('General inputs'!$I$16,4)+'General inputs'!$H$38,SUM(G36,J36,M36,P36,S36,V36,Y36,AB36,AE36,AH36),"")</f>
        <v>0</v>
      </c>
      <c r="F36" s="32"/>
      <c r="G36" s="76">
        <f t="shared" si="9"/>
        <v>0</v>
      </c>
      <c r="I36" s="32"/>
      <c r="J36" s="37">
        <f t="shared" si="0"/>
        <v>0</v>
      </c>
      <c r="L36" s="32">
        <v>0</v>
      </c>
      <c r="M36" s="37">
        <f t="shared" si="1"/>
        <v>0</v>
      </c>
      <c r="O36" s="32">
        <v>0</v>
      </c>
      <c r="P36" s="37">
        <f t="shared" si="2"/>
        <v>0</v>
      </c>
      <c r="R36" s="32">
        <v>0</v>
      </c>
      <c r="S36" s="37">
        <f t="shared" si="3"/>
        <v>0</v>
      </c>
      <c r="U36" s="32">
        <v>0</v>
      </c>
      <c r="V36" s="37">
        <f t="shared" si="4"/>
        <v>0</v>
      </c>
      <c r="X36" s="32">
        <v>0</v>
      </c>
      <c r="Y36" s="37">
        <f t="shared" si="5"/>
        <v>0</v>
      </c>
      <c r="AA36" s="32">
        <v>0</v>
      </c>
      <c r="AB36" s="37">
        <f t="shared" si="6"/>
        <v>0</v>
      </c>
      <c r="AD36" s="32">
        <v>0</v>
      </c>
      <c r="AE36" s="37">
        <f t="shared" si="7"/>
        <v>0</v>
      </c>
      <c r="AG36" s="32">
        <v>0</v>
      </c>
      <c r="AH36" s="37">
        <f t="shared" si="8"/>
        <v>0</v>
      </c>
    </row>
    <row r="37" spans="3:34" x14ac:dyDescent="0.25">
      <c r="C37" s="26" t="str">
        <f>'MP Calculations'!D64</f>
        <v>2020-21</v>
      </c>
      <c r="D37" s="76">
        <f>IF(LEFT($C37,4)*1&lt;LEFT('General inputs'!$I$16,4)+'General inputs'!$H$38,SUM(G37,J37,M37,P37,S37,V37,Y37,AB37,AE37,AH37),"")</f>
        <v>0</v>
      </c>
      <c r="F37" s="32"/>
      <c r="G37" s="76">
        <f t="shared" si="9"/>
        <v>0</v>
      </c>
      <c r="I37" s="32"/>
      <c r="J37" s="37">
        <f t="shared" si="0"/>
        <v>0</v>
      </c>
      <c r="L37" s="32">
        <v>0</v>
      </c>
      <c r="M37" s="37">
        <f t="shared" si="1"/>
        <v>0</v>
      </c>
      <c r="O37" s="32">
        <v>0</v>
      </c>
      <c r="P37" s="37">
        <f t="shared" si="2"/>
        <v>0</v>
      </c>
      <c r="R37" s="32">
        <v>0</v>
      </c>
      <c r="S37" s="37">
        <f t="shared" si="3"/>
        <v>0</v>
      </c>
      <c r="U37" s="32">
        <v>0</v>
      </c>
      <c r="V37" s="37">
        <f t="shared" si="4"/>
        <v>0</v>
      </c>
      <c r="X37" s="32">
        <v>0</v>
      </c>
      <c r="Y37" s="37">
        <f t="shared" si="5"/>
        <v>0</v>
      </c>
      <c r="AA37" s="32">
        <v>0</v>
      </c>
      <c r="AB37" s="37">
        <f t="shared" si="6"/>
        <v>0</v>
      </c>
      <c r="AD37" s="32">
        <v>0</v>
      </c>
      <c r="AE37" s="37">
        <f t="shared" si="7"/>
        <v>0</v>
      </c>
      <c r="AG37" s="32">
        <v>0</v>
      </c>
      <c r="AH37" s="37">
        <f t="shared" si="8"/>
        <v>0</v>
      </c>
    </row>
    <row r="38" spans="3:34" x14ac:dyDescent="0.25">
      <c r="C38" s="26" t="str">
        <f>'MP Calculations'!D65</f>
        <v>2021-22</v>
      </c>
      <c r="D38" s="76">
        <f>IF(LEFT($C38,4)*1&lt;LEFT('General inputs'!$I$16,4)+'General inputs'!$H$38,SUM(G38,J38,M38,P38,S38,V38,Y38,AB38,AE38,AH38),"")</f>
        <v>0</v>
      </c>
      <c r="F38" s="32"/>
      <c r="G38" s="76">
        <f t="shared" si="9"/>
        <v>0</v>
      </c>
      <c r="I38" s="32"/>
      <c r="J38" s="37">
        <f t="shared" si="0"/>
        <v>0</v>
      </c>
      <c r="L38" s="32">
        <v>0</v>
      </c>
      <c r="M38" s="37">
        <f t="shared" si="1"/>
        <v>0</v>
      </c>
      <c r="O38" s="32">
        <v>0</v>
      </c>
      <c r="P38" s="37">
        <f t="shared" si="2"/>
        <v>0</v>
      </c>
      <c r="R38" s="32">
        <v>0</v>
      </c>
      <c r="S38" s="37">
        <f t="shared" si="3"/>
        <v>0</v>
      </c>
      <c r="U38" s="32">
        <v>0</v>
      </c>
      <c r="V38" s="37">
        <f t="shared" si="4"/>
        <v>0</v>
      </c>
      <c r="X38" s="32">
        <v>0</v>
      </c>
      <c r="Y38" s="37">
        <f t="shared" si="5"/>
        <v>0</v>
      </c>
      <c r="AA38" s="32">
        <v>0</v>
      </c>
      <c r="AB38" s="37">
        <f t="shared" si="6"/>
        <v>0</v>
      </c>
      <c r="AD38" s="32">
        <v>0</v>
      </c>
      <c r="AE38" s="37">
        <f t="shared" si="7"/>
        <v>0</v>
      </c>
      <c r="AG38" s="32">
        <v>0</v>
      </c>
      <c r="AH38" s="37">
        <f t="shared" si="8"/>
        <v>0</v>
      </c>
    </row>
    <row r="39" spans="3:34" x14ac:dyDescent="0.25">
      <c r="C39" s="26" t="str">
        <f>'MP Calculations'!D66</f>
        <v>2022-23</v>
      </c>
      <c r="D39" s="76">
        <f>IF(LEFT($C39,4)*1&lt;LEFT('General inputs'!$I$16,4)+'General inputs'!$H$38,SUM(G39,J39,M39,P39,S39,V39,Y39,AB39,AE39,AH39),"")</f>
        <v>0</v>
      </c>
      <c r="F39" s="32"/>
      <c r="G39" s="76">
        <f t="shared" si="9"/>
        <v>0</v>
      </c>
      <c r="I39" s="32"/>
      <c r="J39" s="37">
        <f t="shared" si="0"/>
        <v>0</v>
      </c>
      <c r="L39" s="32">
        <v>0</v>
      </c>
      <c r="M39" s="37">
        <f t="shared" si="1"/>
        <v>0</v>
      </c>
      <c r="O39" s="32">
        <v>0</v>
      </c>
      <c r="P39" s="37">
        <f t="shared" si="2"/>
        <v>0</v>
      </c>
      <c r="R39" s="32">
        <v>0</v>
      </c>
      <c r="S39" s="37">
        <f t="shared" si="3"/>
        <v>0</v>
      </c>
      <c r="U39" s="32">
        <v>0</v>
      </c>
      <c r="V39" s="37">
        <f t="shared" si="4"/>
        <v>0</v>
      </c>
      <c r="X39" s="32">
        <v>0</v>
      </c>
      <c r="Y39" s="37">
        <f t="shared" si="5"/>
        <v>0</v>
      </c>
      <c r="AA39" s="32">
        <v>0</v>
      </c>
      <c r="AB39" s="37">
        <f t="shared" si="6"/>
        <v>0</v>
      </c>
      <c r="AD39" s="32">
        <v>0</v>
      </c>
      <c r="AE39" s="37">
        <f t="shared" si="7"/>
        <v>0</v>
      </c>
      <c r="AG39" s="32">
        <v>0</v>
      </c>
      <c r="AH39" s="37">
        <f t="shared" si="8"/>
        <v>0</v>
      </c>
    </row>
    <row r="40" spans="3:34" x14ac:dyDescent="0.25">
      <c r="C40" s="26" t="str">
        <f>'MP Calculations'!D67</f>
        <v>2023-24</v>
      </c>
      <c r="D40" s="76">
        <f>IF(LEFT($C40,4)*1&lt;LEFT('General inputs'!$I$16,4)+'General inputs'!$H$38,SUM(G40,J40,M40,P40,S40,V40,Y40,AB40,AE40,AH40),"")</f>
        <v>0</v>
      </c>
      <c r="F40" s="32"/>
      <c r="G40" s="76">
        <f t="shared" si="9"/>
        <v>0</v>
      </c>
      <c r="I40" s="32"/>
      <c r="J40" s="37">
        <f t="shared" si="0"/>
        <v>0</v>
      </c>
      <c r="L40" s="32">
        <v>0</v>
      </c>
      <c r="M40" s="37">
        <f t="shared" si="1"/>
        <v>0</v>
      </c>
      <c r="O40" s="32">
        <v>0</v>
      </c>
      <c r="P40" s="37">
        <f t="shared" si="2"/>
        <v>0</v>
      </c>
      <c r="R40" s="32">
        <v>0</v>
      </c>
      <c r="S40" s="37">
        <f t="shared" si="3"/>
        <v>0</v>
      </c>
      <c r="U40" s="32">
        <v>0</v>
      </c>
      <c r="V40" s="37">
        <f t="shared" si="4"/>
        <v>0</v>
      </c>
      <c r="X40" s="32">
        <v>0</v>
      </c>
      <c r="Y40" s="37">
        <f t="shared" si="5"/>
        <v>0</v>
      </c>
      <c r="AA40" s="32">
        <v>0</v>
      </c>
      <c r="AB40" s="37">
        <f t="shared" si="6"/>
        <v>0</v>
      </c>
      <c r="AD40" s="32">
        <v>0</v>
      </c>
      <c r="AE40" s="37">
        <f t="shared" si="7"/>
        <v>0</v>
      </c>
      <c r="AG40" s="32">
        <v>0</v>
      </c>
      <c r="AH40" s="37">
        <f t="shared" si="8"/>
        <v>0</v>
      </c>
    </row>
    <row r="41" spans="3:34" x14ac:dyDescent="0.25">
      <c r="C41" s="26" t="str">
        <f>'MP Calculations'!D68</f>
        <v>2024-25</v>
      </c>
      <c r="D41" s="76">
        <f>IF(LEFT($C41,4)*1&lt;LEFT('General inputs'!$I$16,4)+'General inputs'!$H$38,SUM(G41,J41,M41,P41,S41,V41,Y41,AB41,AE41,AH41),"")</f>
        <v>562.1488368636617</v>
      </c>
      <c r="F41" s="32">
        <v>562.1488368636617</v>
      </c>
      <c r="G41" s="76">
        <f>F41*$G$9/$F$6</f>
        <v>562.1488368636617</v>
      </c>
      <c r="I41" s="32"/>
      <c r="J41" s="37">
        <f t="shared" si="0"/>
        <v>0</v>
      </c>
      <c r="L41" s="32">
        <v>0</v>
      </c>
      <c r="M41" s="37">
        <f t="shared" si="1"/>
        <v>0</v>
      </c>
      <c r="O41" s="32">
        <v>0</v>
      </c>
      <c r="P41" s="37">
        <f t="shared" si="2"/>
        <v>0</v>
      </c>
      <c r="R41" s="32">
        <v>0</v>
      </c>
      <c r="S41" s="37">
        <f t="shared" si="3"/>
        <v>0</v>
      </c>
      <c r="U41" s="32">
        <v>0</v>
      </c>
      <c r="V41" s="37">
        <f t="shared" si="4"/>
        <v>0</v>
      </c>
      <c r="X41" s="32">
        <v>0</v>
      </c>
      <c r="Y41" s="37">
        <f t="shared" si="5"/>
        <v>0</v>
      </c>
      <c r="AA41" s="32">
        <v>0</v>
      </c>
      <c r="AB41" s="37">
        <f t="shared" si="6"/>
        <v>0</v>
      </c>
      <c r="AD41" s="32">
        <v>0</v>
      </c>
      <c r="AE41" s="37">
        <f t="shared" si="7"/>
        <v>0</v>
      </c>
      <c r="AG41" s="32">
        <v>0</v>
      </c>
      <c r="AH41" s="37">
        <f t="shared" si="8"/>
        <v>0</v>
      </c>
    </row>
    <row r="42" spans="3:34" x14ac:dyDescent="0.25">
      <c r="C42" s="26" t="str">
        <f>'MP Calculations'!D69</f>
        <v>2025-26</v>
      </c>
      <c r="D42" s="76">
        <f>IF(LEFT($C42,4)*1&lt;LEFT('General inputs'!$I$16,4)+'General inputs'!$H$38,SUM(G42,J42,M42,P42,S42,V42,Y42,AB42,AE42,AH42),"")</f>
        <v>575.58382854756155</v>
      </c>
      <c r="F42" s="32">
        <v>575.58382854756155</v>
      </c>
      <c r="G42" s="76">
        <f t="shared" si="9"/>
        <v>575.58382854756155</v>
      </c>
      <c r="I42" s="32"/>
      <c r="J42" s="37">
        <f t="shared" si="0"/>
        <v>0</v>
      </c>
      <c r="L42" s="32">
        <v>0</v>
      </c>
      <c r="M42" s="37">
        <f t="shared" si="1"/>
        <v>0</v>
      </c>
      <c r="O42" s="32">
        <v>0</v>
      </c>
      <c r="P42" s="37">
        <f t="shared" si="2"/>
        <v>0</v>
      </c>
      <c r="R42" s="32">
        <v>0</v>
      </c>
      <c r="S42" s="37">
        <f t="shared" si="3"/>
        <v>0</v>
      </c>
      <c r="U42" s="32">
        <v>0</v>
      </c>
      <c r="V42" s="37">
        <f t="shared" si="4"/>
        <v>0</v>
      </c>
      <c r="X42" s="32">
        <v>0</v>
      </c>
      <c r="Y42" s="37">
        <f t="shared" si="5"/>
        <v>0</v>
      </c>
      <c r="AA42" s="32">
        <v>0</v>
      </c>
      <c r="AB42" s="37">
        <f t="shared" si="6"/>
        <v>0</v>
      </c>
      <c r="AD42" s="32">
        <v>0</v>
      </c>
      <c r="AE42" s="37">
        <f t="shared" si="7"/>
        <v>0</v>
      </c>
      <c r="AG42" s="32">
        <v>0</v>
      </c>
      <c r="AH42" s="37">
        <f t="shared" si="8"/>
        <v>0</v>
      </c>
    </row>
    <row r="43" spans="3:34" x14ac:dyDescent="0.25">
      <c r="C43" s="26" t="str">
        <f>'MP Calculations'!D70</f>
        <v>2026-27</v>
      </c>
      <c r="D43" s="76">
        <f>IF(LEFT($C43,4)*1&lt;LEFT('General inputs'!$I$16,4)+'General inputs'!$H$38,SUM(G43,J43,M43,P43,S43,V43,Y43,AB43,AE43,AH43),"")</f>
        <v>829.9820022532823</v>
      </c>
      <c r="F43" s="32">
        <v>829.98200225328242</v>
      </c>
      <c r="G43" s="76">
        <f t="shared" si="9"/>
        <v>829.9820022532823</v>
      </c>
      <c r="I43" s="32"/>
      <c r="J43" s="37">
        <f t="shared" si="0"/>
        <v>0</v>
      </c>
      <c r="L43" s="32">
        <v>0</v>
      </c>
      <c r="M43" s="37">
        <f t="shared" si="1"/>
        <v>0</v>
      </c>
      <c r="O43" s="32">
        <v>0</v>
      </c>
      <c r="P43" s="37">
        <f t="shared" si="2"/>
        <v>0</v>
      </c>
      <c r="R43" s="32">
        <v>0</v>
      </c>
      <c r="S43" s="37">
        <f t="shared" si="3"/>
        <v>0</v>
      </c>
      <c r="U43" s="32">
        <v>0</v>
      </c>
      <c r="V43" s="37">
        <f t="shared" si="4"/>
        <v>0</v>
      </c>
      <c r="X43" s="32">
        <v>0</v>
      </c>
      <c r="Y43" s="37">
        <f t="shared" si="5"/>
        <v>0</v>
      </c>
      <c r="AA43" s="32">
        <v>0</v>
      </c>
      <c r="AB43" s="37">
        <f t="shared" si="6"/>
        <v>0</v>
      </c>
      <c r="AD43" s="32">
        <v>0</v>
      </c>
      <c r="AE43" s="37">
        <f t="shared" si="7"/>
        <v>0</v>
      </c>
      <c r="AG43" s="32">
        <v>0</v>
      </c>
      <c r="AH43" s="37">
        <f t="shared" si="8"/>
        <v>0</v>
      </c>
    </row>
    <row r="44" spans="3:34" x14ac:dyDescent="0.25">
      <c r="C44" s="26" t="str">
        <f>'MP Calculations'!D71</f>
        <v>2027-28</v>
      </c>
      <c r="D44" s="76">
        <f>IF(LEFT($C44,4)*1&lt;LEFT('General inputs'!$I$16,4)+'General inputs'!$H$38,SUM(G44,J44,M44,P44,S44,V44,Y44,AB44,AE44,AH44),"")</f>
        <v>982.68936983326284</v>
      </c>
      <c r="F44" s="32">
        <v>982.68936983326284</v>
      </c>
      <c r="G44" s="76">
        <f t="shared" ref="G44:G75" si="11">F44*$G$9/$F$6</f>
        <v>982.68936983326284</v>
      </c>
      <c r="I44" s="32"/>
      <c r="J44" s="37">
        <f t="shared" ref="J44:J75" si="12">I44*$J$9/$F$6</f>
        <v>0</v>
      </c>
      <c r="L44" s="32">
        <v>0</v>
      </c>
      <c r="M44" s="37">
        <f t="shared" ref="M44:M75" si="13">L44*$M$9/$F$6</f>
        <v>0</v>
      </c>
      <c r="O44" s="32">
        <v>0</v>
      </c>
      <c r="P44" s="37">
        <f t="shared" ref="P44:P75" si="14">O44*$P$9/$F$6</f>
        <v>0</v>
      </c>
      <c r="R44" s="32">
        <v>0</v>
      </c>
      <c r="S44" s="37">
        <f t="shared" ref="S44:S75" si="15">R44*$S$9/$F$6</f>
        <v>0</v>
      </c>
      <c r="U44" s="32">
        <v>0</v>
      </c>
      <c r="V44" s="37">
        <f t="shared" ref="V44:V75" si="16">U44*$V$9/$F$6</f>
        <v>0</v>
      </c>
      <c r="X44" s="32">
        <v>0</v>
      </c>
      <c r="Y44" s="37">
        <f t="shared" ref="Y44:Y75" si="17">X44*$Y$9/$F$6</f>
        <v>0</v>
      </c>
      <c r="AA44" s="32">
        <v>0</v>
      </c>
      <c r="AB44" s="37">
        <f t="shared" ref="AB44:AB75" si="18">AA44*$AB$9/$F$6</f>
        <v>0</v>
      </c>
      <c r="AD44" s="32">
        <v>0</v>
      </c>
      <c r="AE44" s="37">
        <f t="shared" ref="AE44:AE75" si="19">AD44*$AE$9/$F$6</f>
        <v>0</v>
      </c>
      <c r="AG44" s="32">
        <v>0</v>
      </c>
      <c r="AH44" s="37">
        <f t="shared" ref="AH44:AH75" si="20">AG44*$AH$9/$F$6</f>
        <v>0</v>
      </c>
    </row>
    <row r="45" spans="3:34" x14ac:dyDescent="0.25">
      <c r="C45" s="26" t="str">
        <f>'MP Calculations'!D72</f>
        <v>2028-29</v>
      </c>
      <c r="D45" s="76">
        <f>IF(LEFT($C45,4)*1&lt;LEFT('General inputs'!$I$16,4)+'General inputs'!$H$38,SUM(G45,J45,M45,P45,S45,V45,Y45,AB45,AE45,AH45),"")</f>
        <v>541.22174946289942</v>
      </c>
      <c r="F45" s="32">
        <v>541.22174946289942</v>
      </c>
      <c r="G45" s="76">
        <f t="shared" si="11"/>
        <v>541.22174946289942</v>
      </c>
      <c r="I45" s="32"/>
      <c r="J45" s="37">
        <f t="shared" si="12"/>
        <v>0</v>
      </c>
      <c r="L45" s="32">
        <v>0</v>
      </c>
      <c r="M45" s="37">
        <f t="shared" si="13"/>
        <v>0</v>
      </c>
      <c r="O45" s="32">
        <v>0</v>
      </c>
      <c r="P45" s="37">
        <f t="shared" si="14"/>
        <v>0</v>
      </c>
      <c r="R45" s="32">
        <v>0</v>
      </c>
      <c r="S45" s="37">
        <f t="shared" si="15"/>
        <v>0</v>
      </c>
      <c r="U45" s="32">
        <v>0</v>
      </c>
      <c r="V45" s="37">
        <f t="shared" si="16"/>
        <v>0</v>
      </c>
      <c r="X45" s="32">
        <v>0</v>
      </c>
      <c r="Y45" s="37">
        <f t="shared" si="17"/>
        <v>0</v>
      </c>
      <c r="AA45" s="32">
        <v>0</v>
      </c>
      <c r="AB45" s="37">
        <f t="shared" si="18"/>
        <v>0</v>
      </c>
      <c r="AD45" s="32">
        <v>0</v>
      </c>
      <c r="AE45" s="37">
        <f t="shared" si="19"/>
        <v>0</v>
      </c>
      <c r="AG45" s="32">
        <v>0</v>
      </c>
      <c r="AH45" s="37">
        <f t="shared" si="20"/>
        <v>0</v>
      </c>
    </row>
    <row r="46" spans="3:34" x14ac:dyDescent="0.25">
      <c r="C46" s="26" t="str">
        <f>'MP Calculations'!D73</f>
        <v>2029-30</v>
      </c>
      <c r="D46" s="76">
        <f>IF(LEFT($C46,4)*1&lt;LEFT('General inputs'!$I$16,4)+'General inputs'!$H$38,SUM(G46,J46,M46,P46,S46,V46,Y46,AB46,AE46,AH46),"")</f>
        <v>1328.8123965205023</v>
      </c>
      <c r="F46" s="32">
        <v>1328.8123965205023</v>
      </c>
      <c r="G46" s="76">
        <f t="shared" si="11"/>
        <v>1328.8123965205023</v>
      </c>
      <c r="I46" s="32"/>
      <c r="J46" s="37">
        <f t="shared" si="12"/>
        <v>0</v>
      </c>
      <c r="L46" s="32">
        <v>0</v>
      </c>
      <c r="M46" s="37">
        <f t="shared" si="13"/>
        <v>0</v>
      </c>
      <c r="O46" s="32">
        <v>0</v>
      </c>
      <c r="P46" s="37">
        <f t="shared" si="14"/>
        <v>0</v>
      </c>
      <c r="R46" s="32">
        <v>0</v>
      </c>
      <c r="S46" s="37">
        <f t="shared" si="15"/>
        <v>0</v>
      </c>
      <c r="U46" s="32">
        <v>0</v>
      </c>
      <c r="V46" s="37">
        <f t="shared" si="16"/>
        <v>0</v>
      </c>
      <c r="X46" s="32">
        <v>0</v>
      </c>
      <c r="Y46" s="37">
        <f t="shared" si="17"/>
        <v>0</v>
      </c>
      <c r="AA46" s="32">
        <v>0</v>
      </c>
      <c r="AB46" s="37">
        <f t="shared" si="18"/>
        <v>0</v>
      </c>
      <c r="AD46" s="32">
        <v>0</v>
      </c>
      <c r="AE46" s="37">
        <f t="shared" si="19"/>
        <v>0</v>
      </c>
      <c r="AG46" s="32">
        <v>0</v>
      </c>
      <c r="AH46" s="37">
        <f t="shared" si="20"/>
        <v>0</v>
      </c>
    </row>
    <row r="47" spans="3:34" x14ac:dyDescent="0.25">
      <c r="C47" s="26" t="str">
        <f>'MP Calculations'!D74</f>
        <v>2030-31</v>
      </c>
      <c r="D47" s="76">
        <f>IF(LEFT($C47,4)*1&lt;LEFT('General inputs'!$I$16,4)+'General inputs'!$H$38,SUM(G47,J47,M47,P47,S47,V47,Y47,AB47,AE47,AH47),"")</f>
        <v>623.4187125008084</v>
      </c>
      <c r="F47" s="32">
        <v>623.4187125008084</v>
      </c>
      <c r="G47" s="76">
        <f t="shared" si="11"/>
        <v>623.4187125008084</v>
      </c>
      <c r="I47" s="32"/>
      <c r="J47" s="37">
        <f t="shared" si="12"/>
        <v>0</v>
      </c>
      <c r="L47" s="32">
        <v>0</v>
      </c>
      <c r="M47" s="37">
        <f t="shared" si="13"/>
        <v>0</v>
      </c>
      <c r="O47" s="32">
        <v>0</v>
      </c>
      <c r="P47" s="37">
        <f t="shared" si="14"/>
        <v>0</v>
      </c>
      <c r="R47" s="32">
        <v>0</v>
      </c>
      <c r="S47" s="37">
        <f t="shared" si="15"/>
        <v>0</v>
      </c>
      <c r="U47" s="32">
        <v>0</v>
      </c>
      <c r="V47" s="37">
        <f t="shared" si="16"/>
        <v>0</v>
      </c>
      <c r="X47" s="32">
        <v>0</v>
      </c>
      <c r="Y47" s="37">
        <f t="shared" si="17"/>
        <v>0</v>
      </c>
      <c r="AA47" s="32">
        <v>0</v>
      </c>
      <c r="AB47" s="37">
        <f t="shared" si="18"/>
        <v>0</v>
      </c>
      <c r="AD47" s="32">
        <v>0</v>
      </c>
      <c r="AE47" s="37">
        <f t="shared" si="19"/>
        <v>0</v>
      </c>
      <c r="AG47" s="32">
        <v>0</v>
      </c>
      <c r="AH47" s="37">
        <f t="shared" si="20"/>
        <v>0</v>
      </c>
    </row>
    <row r="48" spans="3:34" x14ac:dyDescent="0.25">
      <c r="C48" s="26" t="str">
        <f>'MP Calculations'!D75</f>
        <v>2031-32</v>
      </c>
      <c r="D48" s="76">
        <f>IF(LEFT($C48,4)*1&lt;LEFT('General inputs'!$I$16,4)+'General inputs'!$H$38,SUM(G48,J48,M48,P48,S48,V48,Y48,AB48,AE48,AH48),"")</f>
        <v>305.67787655640865</v>
      </c>
      <c r="F48" s="32">
        <v>305.67787655640859</v>
      </c>
      <c r="G48" s="76">
        <f t="shared" si="11"/>
        <v>305.67787655640865</v>
      </c>
      <c r="I48" s="32"/>
      <c r="J48" s="37">
        <f t="shared" si="12"/>
        <v>0</v>
      </c>
      <c r="L48" s="32">
        <v>0</v>
      </c>
      <c r="M48" s="37">
        <f t="shared" si="13"/>
        <v>0</v>
      </c>
      <c r="O48" s="32">
        <v>0</v>
      </c>
      <c r="P48" s="37">
        <f t="shared" si="14"/>
        <v>0</v>
      </c>
      <c r="R48" s="32">
        <v>0</v>
      </c>
      <c r="S48" s="37">
        <f t="shared" si="15"/>
        <v>0</v>
      </c>
      <c r="U48" s="32">
        <v>0</v>
      </c>
      <c r="V48" s="37">
        <f t="shared" si="16"/>
        <v>0</v>
      </c>
      <c r="X48" s="32">
        <v>0</v>
      </c>
      <c r="Y48" s="37">
        <f t="shared" si="17"/>
        <v>0</v>
      </c>
      <c r="AA48" s="32">
        <v>0</v>
      </c>
      <c r="AB48" s="37">
        <f t="shared" si="18"/>
        <v>0</v>
      </c>
      <c r="AD48" s="32">
        <v>0</v>
      </c>
      <c r="AE48" s="37">
        <f t="shared" si="19"/>
        <v>0</v>
      </c>
      <c r="AG48" s="32">
        <v>0</v>
      </c>
      <c r="AH48" s="37">
        <f t="shared" si="20"/>
        <v>0</v>
      </c>
    </row>
    <row r="49" spans="3:34" x14ac:dyDescent="0.25">
      <c r="C49" s="26" t="str">
        <f>'MP Calculations'!D76</f>
        <v>2032-33</v>
      </c>
      <c r="D49" s="76">
        <f>IF(LEFT($C49,4)*1&lt;LEFT('General inputs'!$I$16,4)+'General inputs'!$H$38,SUM(G49,J49,M49,P49,S49,V49,Y49,AB49,AE49,AH49),"")</f>
        <v>171.87227297631398</v>
      </c>
      <c r="F49" s="32">
        <v>171.87227297631398</v>
      </c>
      <c r="G49" s="76">
        <f t="shared" si="11"/>
        <v>171.87227297631398</v>
      </c>
      <c r="I49" s="32"/>
      <c r="J49" s="37">
        <f t="shared" si="12"/>
        <v>0</v>
      </c>
      <c r="L49" s="32">
        <v>0</v>
      </c>
      <c r="M49" s="37">
        <f t="shared" si="13"/>
        <v>0</v>
      </c>
      <c r="O49" s="32">
        <v>0</v>
      </c>
      <c r="P49" s="37">
        <f t="shared" si="14"/>
        <v>0</v>
      </c>
      <c r="R49" s="32">
        <v>0</v>
      </c>
      <c r="S49" s="37">
        <f t="shared" si="15"/>
        <v>0</v>
      </c>
      <c r="U49" s="32">
        <v>0</v>
      </c>
      <c r="V49" s="37">
        <f t="shared" si="16"/>
        <v>0</v>
      </c>
      <c r="X49" s="32">
        <v>0</v>
      </c>
      <c r="Y49" s="37">
        <f t="shared" si="17"/>
        <v>0</v>
      </c>
      <c r="AA49" s="32">
        <v>0</v>
      </c>
      <c r="AB49" s="37">
        <f t="shared" si="18"/>
        <v>0</v>
      </c>
      <c r="AD49" s="32">
        <v>0</v>
      </c>
      <c r="AE49" s="37">
        <f t="shared" si="19"/>
        <v>0</v>
      </c>
      <c r="AG49" s="32">
        <v>0</v>
      </c>
      <c r="AH49" s="37">
        <f t="shared" si="20"/>
        <v>0</v>
      </c>
    </row>
    <row r="50" spans="3:34" x14ac:dyDescent="0.25">
      <c r="C50" s="26" t="str">
        <f>'MP Calculations'!D77</f>
        <v>2033-34</v>
      </c>
      <c r="D50" s="76">
        <f>IF(LEFT($C50,4)*1&lt;LEFT('General inputs'!$I$16,4)+'General inputs'!$H$38,SUM(G50,J50,M50,P50,S50,V50,Y50,AB50,AE50,AH50),"")</f>
        <v>185.12611351216398</v>
      </c>
      <c r="F50" s="32">
        <v>185.12611351216401</v>
      </c>
      <c r="G50" s="76">
        <f t="shared" si="11"/>
        <v>185.12611351216398</v>
      </c>
      <c r="I50" s="32"/>
      <c r="J50" s="37">
        <f t="shared" si="12"/>
        <v>0</v>
      </c>
      <c r="L50" s="32">
        <v>0</v>
      </c>
      <c r="M50" s="37">
        <f t="shared" si="13"/>
        <v>0</v>
      </c>
      <c r="O50" s="32">
        <v>0</v>
      </c>
      <c r="P50" s="37">
        <f t="shared" si="14"/>
        <v>0</v>
      </c>
      <c r="R50" s="32">
        <v>0</v>
      </c>
      <c r="S50" s="37">
        <f t="shared" si="15"/>
        <v>0</v>
      </c>
      <c r="U50" s="32">
        <v>0</v>
      </c>
      <c r="V50" s="37">
        <f t="shared" si="16"/>
        <v>0</v>
      </c>
      <c r="X50" s="32">
        <v>0</v>
      </c>
      <c r="Y50" s="37">
        <f t="shared" si="17"/>
        <v>0</v>
      </c>
      <c r="AA50" s="32">
        <v>0</v>
      </c>
      <c r="AB50" s="37">
        <f t="shared" si="18"/>
        <v>0</v>
      </c>
      <c r="AD50" s="32">
        <v>0</v>
      </c>
      <c r="AE50" s="37">
        <f t="shared" si="19"/>
        <v>0</v>
      </c>
      <c r="AG50" s="32">
        <v>0</v>
      </c>
      <c r="AH50" s="37">
        <f t="shared" si="20"/>
        <v>0</v>
      </c>
    </row>
    <row r="51" spans="3:34" x14ac:dyDescent="0.25">
      <c r="C51" s="26" t="str">
        <f>'MP Calculations'!D78</f>
        <v>2034-35</v>
      </c>
      <c r="D51" s="76">
        <f>IF(LEFT($C51,4)*1&lt;LEFT('General inputs'!$I$16,4)+'General inputs'!$H$38,SUM(G51,J51,M51,P51,S51,V51,Y51,AB51,AE51,AH51),"")</f>
        <v>535.23360215131288</v>
      </c>
      <c r="F51" s="32">
        <v>535.23360215131288</v>
      </c>
      <c r="G51" s="76">
        <f t="shared" si="11"/>
        <v>535.23360215131288</v>
      </c>
      <c r="I51" s="32"/>
      <c r="J51" s="37">
        <f t="shared" si="12"/>
        <v>0</v>
      </c>
      <c r="L51" s="32">
        <v>0</v>
      </c>
      <c r="M51" s="37">
        <f t="shared" si="13"/>
        <v>0</v>
      </c>
      <c r="O51" s="32">
        <v>0</v>
      </c>
      <c r="P51" s="37">
        <f t="shared" si="14"/>
        <v>0</v>
      </c>
      <c r="R51" s="32">
        <v>0</v>
      </c>
      <c r="S51" s="37">
        <f t="shared" si="15"/>
        <v>0</v>
      </c>
      <c r="U51" s="32">
        <v>0</v>
      </c>
      <c r="V51" s="37">
        <f t="shared" si="16"/>
        <v>0</v>
      </c>
      <c r="X51" s="32">
        <v>0</v>
      </c>
      <c r="Y51" s="37">
        <f t="shared" si="17"/>
        <v>0</v>
      </c>
      <c r="AA51" s="32">
        <v>0</v>
      </c>
      <c r="AB51" s="37">
        <f t="shared" si="18"/>
        <v>0</v>
      </c>
      <c r="AD51" s="32">
        <v>0</v>
      </c>
      <c r="AE51" s="37">
        <f t="shared" si="19"/>
        <v>0</v>
      </c>
      <c r="AG51" s="32">
        <v>0</v>
      </c>
      <c r="AH51" s="37">
        <f t="shared" si="20"/>
        <v>0</v>
      </c>
    </row>
    <row r="52" spans="3:34" x14ac:dyDescent="0.25">
      <c r="C52" s="26" t="str">
        <f>'MP Calculations'!D79</f>
        <v>2035-36</v>
      </c>
      <c r="D52" s="76">
        <f>IF(LEFT($C52,4)*1&lt;LEFT('General inputs'!$I$16,4)+'General inputs'!$H$38,SUM(G52,J52,M52,P52,S52,V52,Y52,AB52,AE52,AH52),"")</f>
        <v>282.84185639521365</v>
      </c>
      <c r="F52" s="32">
        <v>282.84185639521365</v>
      </c>
      <c r="G52" s="76">
        <f t="shared" si="11"/>
        <v>282.84185639521365</v>
      </c>
      <c r="I52" s="32"/>
      <c r="J52" s="37">
        <f t="shared" si="12"/>
        <v>0</v>
      </c>
      <c r="L52" s="32">
        <v>0</v>
      </c>
      <c r="M52" s="37">
        <f t="shared" si="13"/>
        <v>0</v>
      </c>
      <c r="O52" s="32">
        <v>0</v>
      </c>
      <c r="P52" s="37">
        <f t="shared" si="14"/>
        <v>0</v>
      </c>
      <c r="R52" s="32">
        <v>0</v>
      </c>
      <c r="S52" s="37">
        <f t="shared" si="15"/>
        <v>0</v>
      </c>
      <c r="U52" s="32">
        <v>0</v>
      </c>
      <c r="V52" s="37">
        <f t="shared" si="16"/>
        <v>0</v>
      </c>
      <c r="X52" s="32">
        <v>0</v>
      </c>
      <c r="Y52" s="37">
        <f t="shared" si="17"/>
        <v>0</v>
      </c>
      <c r="AA52" s="32">
        <v>0</v>
      </c>
      <c r="AB52" s="37">
        <f t="shared" si="18"/>
        <v>0</v>
      </c>
      <c r="AD52" s="32">
        <v>0</v>
      </c>
      <c r="AE52" s="37">
        <f t="shared" si="19"/>
        <v>0</v>
      </c>
      <c r="AG52" s="32">
        <v>0</v>
      </c>
      <c r="AH52" s="37">
        <f t="shared" si="20"/>
        <v>0</v>
      </c>
    </row>
    <row r="53" spans="3:34" x14ac:dyDescent="0.25">
      <c r="C53" s="26" t="str">
        <f>'MP Calculations'!D80</f>
        <v>2036-37</v>
      </c>
      <c r="D53" s="76">
        <f>IF(LEFT($C53,4)*1&lt;LEFT('General inputs'!$I$16,4)+'General inputs'!$H$38,SUM(G53,J53,M53,P53,S53,V53,Y53,AB53,AE53,AH53),"")</f>
        <v>53.030005549361704</v>
      </c>
      <c r="F53" s="32">
        <v>53.030005549361704</v>
      </c>
      <c r="G53" s="76">
        <f t="shared" si="11"/>
        <v>53.030005549361704</v>
      </c>
      <c r="I53" s="32"/>
      <c r="J53" s="37">
        <f t="shared" si="12"/>
        <v>0</v>
      </c>
      <c r="L53" s="32">
        <v>0</v>
      </c>
      <c r="M53" s="37">
        <f t="shared" si="13"/>
        <v>0</v>
      </c>
      <c r="O53" s="32">
        <v>0</v>
      </c>
      <c r="P53" s="37">
        <f t="shared" si="14"/>
        <v>0</v>
      </c>
      <c r="R53" s="32">
        <v>0</v>
      </c>
      <c r="S53" s="37">
        <f t="shared" si="15"/>
        <v>0</v>
      </c>
      <c r="U53" s="32">
        <v>0</v>
      </c>
      <c r="V53" s="37">
        <f t="shared" si="16"/>
        <v>0</v>
      </c>
      <c r="X53" s="32">
        <v>0</v>
      </c>
      <c r="Y53" s="37">
        <f t="shared" si="17"/>
        <v>0</v>
      </c>
      <c r="AA53" s="32">
        <v>0</v>
      </c>
      <c r="AB53" s="37">
        <f t="shared" si="18"/>
        <v>0</v>
      </c>
      <c r="AD53" s="32">
        <v>0</v>
      </c>
      <c r="AE53" s="37">
        <f t="shared" si="19"/>
        <v>0</v>
      </c>
      <c r="AG53" s="32">
        <v>0</v>
      </c>
      <c r="AH53" s="37">
        <f t="shared" si="20"/>
        <v>0</v>
      </c>
    </row>
    <row r="54" spans="3:34" x14ac:dyDescent="0.25">
      <c r="C54" s="26" t="str">
        <f>'MP Calculations'!D81</f>
        <v>2037-38</v>
      </c>
      <c r="D54" s="76">
        <f>IF(LEFT($C54,4)*1&lt;LEFT('General inputs'!$I$16,4)+'General inputs'!$H$38,SUM(G54,J54,M54,P54,S54,V54,Y54,AB54,AE54,AH54),"")</f>
        <v>53.030005549361704</v>
      </c>
      <c r="F54" s="32">
        <v>53.030005549361704</v>
      </c>
      <c r="G54" s="76">
        <f t="shared" si="11"/>
        <v>53.030005549361704</v>
      </c>
      <c r="I54" s="32"/>
      <c r="J54" s="37">
        <f t="shared" si="12"/>
        <v>0</v>
      </c>
      <c r="L54" s="32">
        <v>0</v>
      </c>
      <c r="M54" s="37">
        <f t="shared" si="13"/>
        <v>0</v>
      </c>
      <c r="O54" s="32">
        <v>0</v>
      </c>
      <c r="P54" s="37">
        <f t="shared" si="14"/>
        <v>0</v>
      </c>
      <c r="R54" s="32">
        <v>0</v>
      </c>
      <c r="S54" s="37">
        <f t="shared" si="15"/>
        <v>0</v>
      </c>
      <c r="U54" s="32">
        <v>0</v>
      </c>
      <c r="V54" s="37">
        <f t="shared" si="16"/>
        <v>0</v>
      </c>
      <c r="X54" s="32">
        <v>0</v>
      </c>
      <c r="Y54" s="37">
        <f t="shared" si="17"/>
        <v>0</v>
      </c>
      <c r="AA54" s="32">
        <v>0</v>
      </c>
      <c r="AB54" s="37">
        <f t="shared" si="18"/>
        <v>0</v>
      </c>
      <c r="AD54" s="32">
        <v>0</v>
      </c>
      <c r="AE54" s="37">
        <f t="shared" si="19"/>
        <v>0</v>
      </c>
      <c r="AG54" s="32">
        <v>0</v>
      </c>
      <c r="AH54" s="37">
        <f t="shared" si="20"/>
        <v>0</v>
      </c>
    </row>
    <row r="55" spans="3:34" x14ac:dyDescent="0.25">
      <c r="C55" s="26" t="str">
        <f>'MP Calculations'!D82</f>
        <v>2038-39</v>
      </c>
      <c r="D55" s="76">
        <f>IF(LEFT($C55,4)*1&lt;LEFT('General inputs'!$I$16,4)+'General inputs'!$H$38,SUM(G55,J55,M55,P55,S55,V55,Y55,AB55,AE55,AH55),"")</f>
        <v>53.030005549361704</v>
      </c>
      <c r="F55" s="32">
        <v>53.030005549361704</v>
      </c>
      <c r="G55" s="76">
        <f t="shared" si="11"/>
        <v>53.030005549361704</v>
      </c>
      <c r="I55" s="32"/>
      <c r="J55" s="37">
        <f t="shared" si="12"/>
        <v>0</v>
      </c>
      <c r="L55" s="32">
        <v>0</v>
      </c>
      <c r="M55" s="37">
        <f t="shared" si="13"/>
        <v>0</v>
      </c>
      <c r="O55" s="32">
        <v>0</v>
      </c>
      <c r="P55" s="37">
        <f t="shared" si="14"/>
        <v>0</v>
      </c>
      <c r="R55" s="32">
        <v>0</v>
      </c>
      <c r="S55" s="37">
        <f t="shared" si="15"/>
        <v>0</v>
      </c>
      <c r="U55" s="32">
        <v>0</v>
      </c>
      <c r="V55" s="37">
        <f t="shared" si="16"/>
        <v>0</v>
      </c>
      <c r="X55" s="32">
        <v>0</v>
      </c>
      <c r="Y55" s="37">
        <f t="shared" si="17"/>
        <v>0</v>
      </c>
      <c r="AA55" s="32">
        <v>0</v>
      </c>
      <c r="AB55" s="37">
        <f t="shared" si="18"/>
        <v>0</v>
      </c>
      <c r="AD55" s="32">
        <v>0</v>
      </c>
      <c r="AE55" s="37">
        <f t="shared" si="19"/>
        <v>0</v>
      </c>
      <c r="AG55" s="32">
        <v>0</v>
      </c>
      <c r="AH55" s="37">
        <f t="shared" si="20"/>
        <v>0</v>
      </c>
    </row>
    <row r="56" spans="3:34" x14ac:dyDescent="0.25">
      <c r="C56" s="26" t="str">
        <f>'MP Calculations'!D83</f>
        <v>2039-40</v>
      </c>
      <c r="D56" s="76">
        <f>IF(LEFT($C56,4)*1&lt;LEFT('General inputs'!$I$16,4)+'General inputs'!$H$38,SUM(G56,J56,M56,P56,S56,V56,Y56,AB56,AE56,AH56),"")</f>
        <v>53.030005549360794</v>
      </c>
      <c r="F56" s="32">
        <v>53.030005549360794</v>
      </c>
      <c r="G56" s="76">
        <f t="shared" si="11"/>
        <v>53.030005549360794</v>
      </c>
      <c r="I56" s="32"/>
      <c r="J56" s="37">
        <f t="shared" si="12"/>
        <v>0</v>
      </c>
      <c r="L56" s="32">
        <v>0</v>
      </c>
      <c r="M56" s="37">
        <f t="shared" si="13"/>
        <v>0</v>
      </c>
      <c r="O56" s="32">
        <v>0</v>
      </c>
      <c r="P56" s="37">
        <f t="shared" si="14"/>
        <v>0</v>
      </c>
      <c r="R56" s="32">
        <v>0</v>
      </c>
      <c r="S56" s="37">
        <f t="shared" si="15"/>
        <v>0</v>
      </c>
      <c r="U56" s="32">
        <v>0</v>
      </c>
      <c r="V56" s="37">
        <f t="shared" si="16"/>
        <v>0</v>
      </c>
      <c r="X56" s="32">
        <v>0</v>
      </c>
      <c r="Y56" s="37">
        <f t="shared" si="17"/>
        <v>0</v>
      </c>
      <c r="AA56" s="32">
        <v>0</v>
      </c>
      <c r="AB56" s="37">
        <f t="shared" si="18"/>
        <v>0</v>
      </c>
      <c r="AD56" s="32">
        <v>0</v>
      </c>
      <c r="AE56" s="37">
        <f t="shared" si="19"/>
        <v>0</v>
      </c>
      <c r="AG56" s="32">
        <v>0</v>
      </c>
      <c r="AH56" s="37">
        <f t="shared" si="20"/>
        <v>0</v>
      </c>
    </row>
    <row r="57" spans="3:34" x14ac:dyDescent="0.25">
      <c r="C57" s="26" t="str">
        <f>'MP Calculations'!D84</f>
        <v>2040-41</v>
      </c>
      <c r="D57" s="76">
        <f>IF(LEFT($C57,4)*1&lt;LEFT('General inputs'!$I$16,4)+'General inputs'!$H$38,SUM(G57,J57,M57,P57,S57,V57,Y57,AB57,AE57,AH57),"")</f>
        <v>53.030005549360794</v>
      </c>
      <c r="F57" s="32">
        <v>53.030005549360794</v>
      </c>
      <c r="G57" s="76">
        <f t="shared" si="11"/>
        <v>53.030005549360794</v>
      </c>
      <c r="I57" s="32"/>
      <c r="J57" s="37">
        <f t="shared" si="12"/>
        <v>0</v>
      </c>
      <c r="L57" s="32">
        <v>0</v>
      </c>
      <c r="M57" s="37">
        <f t="shared" si="13"/>
        <v>0</v>
      </c>
      <c r="O57" s="32">
        <v>0</v>
      </c>
      <c r="P57" s="37">
        <f t="shared" si="14"/>
        <v>0</v>
      </c>
      <c r="R57" s="32">
        <v>0</v>
      </c>
      <c r="S57" s="37">
        <f t="shared" si="15"/>
        <v>0</v>
      </c>
      <c r="U57" s="32">
        <v>0</v>
      </c>
      <c r="V57" s="37">
        <f t="shared" si="16"/>
        <v>0</v>
      </c>
      <c r="X57" s="32">
        <v>0</v>
      </c>
      <c r="Y57" s="37">
        <f t="shared" si="17"/>
        <v>0</v>
      </c>
      <c r="AA57" s="32">
        <v>0</v>
      </c>
      <c r="AB57" s="37">
        <f t="shared" si="18"/>
        <v>0</v>
      </c>
      <c r="AD57" s="32">
        <v>0</v>
      </c>
      <c r="AE57" s="37">
        <f t="shared" si="19"/>
        <v>0</v>
      </c>
      <c r="AG57" s="32">
        <v>0</v>
      </c>
      <c r="AH57" s="37">
        <f t="shared" si="20"/>
        <v>0</v>
      </c>
    </row>
    <row r="58" spans="3:34" x14ac:dyDescent="0.25">
      <c r="C58" s="26" t="str">
        <f>'MP Calculations'!D85</f>
        <v>2041-42</v>
      </c>
      <c r="D58" s="76">
        <f>IF(LEFT($C58,4)*1&lt;LEFT('General inputs'!$I$16,4)+'General inputs'!$H$38,SUM(G58,J58,M58,P58,S58,V58,Y58,AB58,AE58,AH58),"")</f>
        <v>-1.8189894035458565E-12</v>
      </c>
      <c r="F58" s="32">
        <v>-1.8189894035458565E-12</v>
      </c>
      <c r="G58" s="76">
        <f t="shared" si="11"/>
        <v>-1.8189894035458565E-12</v>
      </c>
      <c r="I58" s="32"/>
      <c r="J58" s="37">
        <f t="shared" si="12"/>
        <v>0</v>
      </c>
      <c r="L58" s="32">
        <v>0</v>
      </c>
      <c r="M58" s="37">
        <f t="shared" si="13"/>
        <v>0</v>
      </c>
      <c r="O58" s="32">
        <v>0</v>
      </c>
      <c r="P58" s="37">
        <f t="shared" si="14"/>
        <v>0</v>
      </c>
      <c r="R58" s="32">
        <v>0</v>
      </c>
      <c r="S58" s="37">
        <f t="shared" si="15"/>
        <v>0</v>
      </c>
      <c r="U58" s="32">
        <v>0</v>
      </c>
      <c r="V58" s="37">
        <f t="shared" si="16"/>
        <v>0</v>
      </c>
      <c r="X58" s="32">
        <v>0</v>
      </c>
      <c r="Y58" s="37">
        <f t="shared" si="17"/>
        <v>0</v>
      </c>
      <c r="AA58" s="32">
        <v>0</v>
      </c>
      <c r="AB58" s="37">
        <f t="shared" si="18"/>
        <v>0</v>
      </c>
      <c r="AD58" s="32">
        <v>0</v>
      </c>
      <c r="AE58" s="37">
        <f t="shared" si="19"/>
        <v>0</v>
      </c>
      <c r="AG58" s="32">
        <v>0</v>
      </c>
      <c r="AH58" s="37">
        <f t="shared" si="20"/>
        <v>0</v>
      </c>
    </row>
    <row r="59" spans="3:34" x14ac:dyDescent="0.25">
      <c r="C59" s="26" t="str">
        <f>'MP Calculations'!D86</f>
        <v>2042-43</v>
      </c>
      <c r="D59" s="76">
        <f>IF(LEFT($C59,4)*1&lt;LEFT('General inputs'!$I$16,4)+'General inputs'!$H$38,SUM(G59,J59,M59,P59,S59,V59,Y59,AB59,AE59,AH59),"")</f>
        <v>0</v>
      </c>
      <c r="F59" s="32"/>
      <c r="G59" s="76">
        <f t="shared" si="11"/>
        <v>0</v>
      </c>
      <c r="I59" s="32"/>
      <c r="J59" s="37">
        <f t="shared" si="12"/>
        <v>0</v>
      </c>
      <c r="L59" s="32">
        <v>0</v>
      </c>
      <c r="M59" s="37">
        <f t="shared" si="13"/>
        <v>0</v>
      </c>
      <c r="O59" s="32">
        <v>0</v>
      </c>
      <c r="P59" s="37">
        <f t="shared" si="14"/>
        <v>0</v>
      </c>
      <c r="R59" s="32">
        <v>0</v>
      </c>
      <c r="S59" s="37">
        <f t="shared" si="15"/>
        <v>0</v>
      </c>
      <c r="U59" s="32">
        <v>0</v>
      </c>
      <c r="V59" s="37">
        <f t="shared" si="16"/>
        <v>0</v>
      </c>
      <c r="X59" s="32">
        <v>0</v>
      </c>
      <c r="Y59" s="37">
        <f t="shared" si="17"/>
        <v>0</v>
      </c>
      <c r="AA59" s="32">
        <v>0</v>
      </c>
      <c r="AB59" s="37">
        <f t="shared" si="18"/>
        <v>0</v>
      </c>
      <c r="AD59" s="32">
        <v>0</v>
      </c>
      <c r="AE59" s="37">
        <f t="shared" si="19"/>
        <v>0</v>
      </c>
      <c r="AG59" s="32">
        <v>0</v>
      </c>
      <c r="AH59" s="37">
        <f t="shared" si="20"/>
        <v>0</v>
      </c>
    </row>
    <row r="60" spans="3:34" x14ac:dyDescent="0.25">
      <c r="C60" s="26" t="str">
        <f>'MP Calculations'!D87</f>
        <v>2043-44</v>
      </c>
      <c r="D60" s="76">
        <f>IF(LEFT($C60,4)*1&lt;LEFT('General inputs'!$I$16,4)+'General inputs'!$H$38,SUM(G60,J60,M60,P60,S60,V60,Y60,AB60,AE60,AH60),"")</f>
        <v>0</v>
      </c>
      <c r="F60" s="32"/>
      <c r="G60" s="76">
        <f t="shared" si="11"/>
        <v>0</v>
      </c>
      <c r="I60" s="32"/>
      <c r="J60" s="37">
        <f t="shared" si="12"/>
        <v>0</v>
      </c>
      <c r="L60" s="32">
        <v>0</v>
      </c>
      <c r="M60" s="37">
        <f t="shared" si="13"/>
        <v>0</v>
      </c>
      <c r="O60" s="32">
        <v>0</v>
      </c>
      <c r="P60" s="37">
        <f t="shared" si="14"/>
        <v>0</v>
      </c>
      <c r="R60" s="32">
        <v>0</v>
      </c>
      <c r="S60" s="37">
        <f t="shared" si="15"/>
        <v>0</v>
      </c>
      <c r="U60" s="32">
        <v>0</v>
      </c>
      <c r="V60" s="37">
        <f t="shared" si="16"/>
        <v>0</v>
      </c>
      <c r="X60" s="32">
        <v>0</v>
      </c>
      <c r="Y60" s="37">
        <f t="shared" si="17"/>
        <v>0</v>
      </c>
      <c r="AA60" s="32">
        <v>0</v>
      </c>
      <c r="AB60" s="37">
        <f t="shared" si="18"/>
        <v>0</v>
      </c>
      <c r="AD60" s="32">
        <v>0</v>
      </c>
      <c r="AE60" s="37">
        <f t="shared" si="19"/>
        <v>0</v>
      </c>
      <c r="AG60" s="32">
        <v>0</v>
      </c>
      <c r="AH60" s="37">
        <f t="shared" si="20"/>
        <v>0</v>
      </c>
    </row>
    <row r="61" spans="3:34" x14ac:dyDescent="0.25">
      <c r="C61" s="26" t="str">
        <f>'MP Calculations'!D88</f>
        <v>2044-45</v>
      </c>
      <c r="D61" s="76">
        <f>IF(LEFT($C61,4)*1&lt;LEFT('General inputs'!$I$16,4)+'General inputs'!$H$38,SUM(G61,J61,M61,P61,S61,V61,Y61,AB61,AE61,AH61),"")</f>
        <v>0</v>
      </c>
      <c r="F61" s="32"/>
      <c r="G61" s="76">
        <f t="shared" si="11"/>
        <v>0</v>
      </c>
      <c r="I61" s="32"/>
      <c r="J61" s="37">
        <f t="shared" si="12"/>
        <v>0</v>
      </c>
      <c r="L61" s="32">
        <v>0</v>
      </c>
      <c r="M61" s="37">
        <f t="shared" si="13"/>
        <v>0</v>
      </c>
      <c r="O61" s="32">
        <v>0</v>
      </c>
      <c r="P61" s="37">
        <f t="shared" si="14"/>
        <v>0</v>
      </c>
      <c r="R61" s="32">
        <v>0</v>
      </c>
      <c r="S61" s="37">
        <f t="shared" si="15"/>
        <v>0</v>
      </c>
      <c r="U61" s="32">
        <v>0</v>
      </c>
      <c r="V61" s="37">
        <f t="shared" si="16"/>
        <v>0</v>
      </c>
      <c r="X61" s="32">
        <v>0</v>
      </c>
      <c r="Y61" s="37">
        <f t="shared" si="17"/>
        <v>0</v>
      </c>
      <c r="AA61" s="32">
        <v>0</v>
      </c>
      <c r="AB61" s="37">
        <f t="shared" si="18"/>
        <v>0</v>
      </c>
      <c r="AD61" s="32">
        <v>0</v>
      </c>
      <c r="AE61" s="37">
        <f t="shared" si="19"/>
        <v>0</v>
      </c>
      <c r="AG61" s="32">
        <v>0</v>
      </c>
      <c r="AH61" s="37">
        <f t="shared" si="20"/>
        <v>0</v>
      </c>
    </row>
    <row r="62" spans="3:34" x14ac:dyDescent="0.25">
      <c r="C62" s="26" t="str">
        <f>'MP Calculations'!D89</f>
        <v>2045-46</v>
      </c>
      <c r="D62" s="76">
        <f>IF(LEFT($C62,4)*1&lt;LEFT('General inputs'!$I$16,4)+'General inputs'!$H$38,SUM(G62,J62,M62,P62,S62,V62,Y62,AB62,AE62,AH62),"")</f>
        <v>0</v>
      </c>
      <c r="F62" s="32"/>
      <c r="G62" s="76">
        <f t="shared" si="11"/>
        <v>0</v>
      </c>
      <c r="I62" s="32"/>
      <c r="J62" s="37">
        <f t="shared" si="12"/>
        <v>0</v>
      </c>
      <c r="L62" s="32">
        <v>0</v>
      </c>
      <c r="M62" s="37">
        <f t="shared" si="13"/>
        <v>0</v>
      </c>
      <c r="O62" s="32">
        <v>0</v>
      </c>
      <c r="P62" s="37">
        <f t="shared" si="14"/>
        <v>0</v>
      </c>
      <c r="R62" s="32">
        <v>0</v>
      </c>
      <c r="S62" s="37">
        <f t="shared" si="15"/>
        <v>0</v>
      </c>
      <c r="U62" s="32">
        <v>0</v>
      </c>
      <c r="V62" s="37">
        <f t="shared" si="16"/>
        <v>0</v>
      </c>
      <c r="X62" s="32">
        <v>0</v>
      </c>
      <c r="Y62" s="37">
        <f t="shared" si="17"/>
        <v>0</v>
      </c>
      <c r="AA62" s="32">
        <v>0</v>
      </c>
      <c r="AB62" s="37">
        <f t="shared" si="18"/>
        <v>0</v>
      </c>
      <c r="AD62" s="32">
        <v>0</v>
      </c>
      <c r="AE62" s="37">
        <f t="shared" si="19"/>
        <v>0</v>
      </c>
      <c r="AG62" s="32">
        <v>0</v>
      </c>
      <c r="AH62" s="37">
        <f t="shared" si="20"/>
        <v>0</v>
      </c>
    </row>
    <row r="63" spans="3:34" x14ac:dyDescent="0.25">
      <c r="C63" s="26" t="str">
        <f>'MP Calculations'!D90</f>
        <v>2046-47</v>
      </c>
      <c r="D63" s="76">
        <f>IF(LEFT($C63,4)*1&lt;LEFT('General inputs'!$I$16,4)+'General inputs'!$H$38,SUM(G63,J63,M63,P63,S63,V63,Y63,AB63,AE63,AH63),"")</f>
        <v>0</v>
      </c>
      <c r="F63" s="32"/>
      <c r="G63" s="76">
        <f t="shared" si="11"/>
        <v>0</v>
      </c>
      <c r="I63" s="32"/>
      <c r="J63" s="37">
        <f t="shared" si="12"/>
        <v>0</v>
      </c>
      <c r="L63" s="32">
        <v>0</v>
      </c>
      <c r="M63" s="37">
        <f t="shared" si="13"/>
        <v>0</v>
      </c>
      <c r="O63" s="32">
        <v>0</v>
      </c>
      <c r="P63" s="37">
        <f t="shared" si="14"/>
        <v>0</v>
      </c>
      <c r="R63" s="32">
        <v>0</v>
      </c>
      <c r="S63" s="37">
        <f t="shared" si="15"/>
        <v>0</v>
      </c>
      <c r="U63" s="32">
        <v>0</v>
      </c>
      <c r="V63" s="37">
        <f t="shared" si="16"/>
        <v>0</v>
      </c>
      <c r="X63" s="32">
        <v>0</v>
      </c>
      <c r="Y63" s="37">
        <f t="shared" si="17"/>
        <v>0</v>
      </c>
      <c r="AA63" s="32">
        <v>0</v>
      </c>
      <c r="AB63" s="37">
        <f t="shared" si="18"/>
        <v>0</v>
      </c>
      <c r="AD63" s="32">
        <v>0</v>
      </c>
      <c r="AE63" s="37">
        <f t="shared" si="19"/>
        <v>0</v>
      </c>
      <c r="AG63" s="32">
        <v>0</v>
      </c>
      <c r="AH63" s="37">
        <f t="shared" si="20"/>
        <v>0</v>
      </c>
    </row>
    <row r="64" spans="3:34" x14ac:dyDescent="0.25">
      <c r="C64" s="26" t="str">
        <f>'MP Calculations'!D91</f>
        <v>2047-48</v>
      </c>
      <c r="D64" s="76">
        <f>IF(LEFT($C64,4)*1&lt;LEFT('General inputs'!$I$16,4)+'General inputs'!$H$38,SUM(G64,J64,M64,P64,S64,V64,Y64,AB64,AE64,AH64),"")</f>
        <v>0</v>
      </c>
      <c r="F64" s="32"/>
      <c r="G64" s="76">
        <f t="shared" si="11"/>
        <v>0</v>
      </c>
      <c r="I64" s="32"/>
      <c r="J64" s="37">
        <f t="shared" si="12"/>
        <v>0</v>
      </c>
      <c r="L64" s="32">
        <v>0</v>
      </c>
      <c r="M64" s="37">
        <f t="shared" si="13"/>
        <v>0</v>
      </c>
      <c r="O64" s="32">
        <v>0</v>
      </c>
      <c r="P64" s="37">
        <f t="shared" si="14"/>
        <v>0</v>
      </c>
      <c r="R64" s="32">
        <v>0</v>
      </c>
      <c r="S64" s="37">
        <f t="shared" si="15"/>
        <v>0</v>
      </c>
      <c r="U64" s="32">
        <v>0</v>
      </c>
      <c r="V64" s="37">
        <f t="shared" si="16"/>
        <v>0</v>
      </c>
      <c r="X64" s="32">
        <v>0</v>
      </c>
      <c r="Y64" s="37">
        <f t="shared" si="17"/>
        <v>0</v>
      </c>
      <c r="AA64" s="32">
        <v>0</v>
      </c>
      <c r="AB64" s="37">
        <f t="shared" si="18"/>
        <v>0</v>
      </c>
      <c r="AD64" s="32">
        <v>0</v>
      </c>
      <c r="AE64" s="37">
        <f t="shared" si="19"/>
        <v>0</v>
      </c>
      <c r="AG64" s="32">
        <v>0</v>
      </c>
      <c r="AH64" s="37">
        <f t="shared" si="20"/>
        <v>0</v>
      </c>
    </row>
    <row r="65" spans="3:34" x14ac:dyDescent="0.25">
      <c r="C65" s="26" t="str">
        <f>'MP Calculations'!D92</f>
        <v>2048-49</v>
      </c>
      <c r="D65" s="76">
        <f>IF(LEFT($C65,4)*1&lt;LEFT('General inputs'!$I$16,4)+'General inputs'!$H$38,SUM(G65,J65,M65,P65,S65,V65,Y65,AB65,AE65,AH65),"")</f>
        <v>0</v>
      </c>
      <c r="F65" s="32"/>
      <c r="G65" s="76">
        <f t="shared" si="11"/>
        <v>0</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5">
      <c r="C66" s="26" t="str">
        <f>'MP Calculations'!D93</f>
        <v>2049-50</v>
      </c>
      <c r="D66" s="76">
        <f>IF(LEFT($C66,4)*1&lt;LEFT('General inputs'!$I$16,4)+'General inputs'!$H$38,SUM(G66,J66,M66,P66,S66,V66,Y66,AB66,AE66,AH66),"")</f>
        <v>0</v>
      </c>
      <c r="F66" s="32"/>
      <c r="G66" s="76">
        <f t="shared" si="11"/>
        <v>0</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5">
      <c r="C67" s="26" t="str">
        <f>'MP Calculations'!D94</f>
        <v>2050-51</v>
      </c>
      <c r="D67" s="76">
        <f>IF(LEFT($C67,4)*1&lt;LEFT('General inputs'!$I$16,4)+'General inputs'!$H$38,SUM(G67,J67,M67,P67,S67,V67,Y67,AB67,AE67,AH67),"")</f>
        <v>0</v>
      </c>
      <c r="F67" s="32"/>
      <c r="G67" s="76">
        <f t="shared" si="11"/>
        <v>0</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5">
      <c r="C68" s="26" t="str">
        <f>'MP Calculations'!D95</f>
        <v>2051-52</v>
      </c>
      <c r="D68" s="76">
        <f>IF(LEFT($C68,4)*1&lt;LEFT('General inputs'!$I$16,4)+'General inputs'!$H$38,SUM(G68,J68,M68,P68,S68,V68,Y68,AB68,AE68,AH68),"")</f>
        <v>0</v>
      </c>
      <c r="F68" s="32"/>
      <c r="G68" s="76">
        <f t="shared" si="11"/>
        <v>0</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5">
      <c r="C69" s="26" t="str">
        <f>'MP Calculations'!D96</f>
        <v>2052-53</v>
      </c>
      <c r="D69" s="76">
        <f>IF(LEFT($C69,4)*1&lt;LEFT('General inputs'!$I$16,4)+'General inputs'!$H$38,SUM(G69,J69,M69,P69,S69,V69,Y69,AB69,AE69,AH69),"")</f>
        <v>0</v>
      </c>
      <c r="F69" s="32"/>
      <c r="G69" s="76">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5">
      <c r="C70" s="26" t="str">
        <f>'MP Calculations'!D97</f>
        <v>2053-54</v>
      </c>
      <c r="D70" s="76">
        <f>IF(LEFT($C70,4)*1&lt;LEFT('General inputs'!$I$16,4)+'General inputs'!$H$38,SUM(G70,J70,M70,P70,S70,V70,Y70,AB70,AE70,AH70),"")</f>
        <v>0</v>
      </c>
      <c r="F70" s="32"/>
      <c r="G70" s="76">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5">
      <c r="C71" s="26" t="str">
        <f>'MP Calculations'!D98</f>
        <v>2054-55</v>
      </c>
      <c r="D71" s="76" t="str">
        <f>IF(LEFT($C71,4)*1&lt;LEFT('General inputs'!$I$16,4)+'General inputs'!$H$38,SUM(G71,J71,M71,P71,S71,V71,Y71,AB71,AE71,AH71),"")</f>
        <v/>
      </c>
      <c r="F71" s="32"/>
      <c r="G71" s="76">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5">
      <c r="C72" s="26" t="str">
        <f>'MP Calculations'!D99</f>
        <v>2055-56</v>
      </c>
      <c r="D72" s="76" t="str">
        <f>IF(LEFT($C72,4)*1&lt;LEFT('General inputs'!$I$16,4)+'General inputs'!$H$38,SUM(G72,J72,M72,P72,S72,V72,Y72,AB72,AE72,AH72),"")</f>
        <v/>
      </c>
      <c r="F72" s="32"/>
      <c r="G72" s="76">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5">
      <c r="C73" s="26" t="str">
        <f>'MP Calculations'!D100</f>
        <v>2056-57</v>
      </c>
      <c r="D73" s="76" t="str">
        <f>IF(LEFT($C73,4)*1&lt;LEFT('General inputs'!$I$16,4)+'General inputs'!$H$38,SUM(G73,J73,M73,P73,S73,V73,Y73,AB73,AE73,AH73),"")</f>
        <v/>
      </c>
      <c r="F73" s="32"/>
      <c r="G73" s="76">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5">
      <c r="C74" s="26" t="str">
        <f>'MP Calculations'!D101</f>
        <v>2057-58</v>
      </c>
      <c r="D74" s="76" t="str">
        <f>IF(LEFT($C74,4)*1&lt;LEFT('General inputs'!$I$16,4)+'General inputs'!$H$38,SUM(G74,J74,M74,P74,S74,V74,Y74,AB74,AE74,AH74),"")</f>
        <v/>
      </c>
      <c r="F74" s="32"/>
      <c r="G74" s="76">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5">
      <c r="C75" s="26" t="str">
        <f>'MP Calculations'!D102</f>
        <v>2058-59</v>
      </c>
      <c r="D75" s="76" t="str">
        <f>IF(LEFT($C75,4)*1&lt;LEFT('General inputs'!$I$16,4)+'General inputs'!$H$38,SUM(G75,J75,M75,P75,S75,V75,Y75,AB75,AE75,AH75),"")</f>
        <v/>
      </c>
      <c r="F75" s="32"/>
      <c r="G75" s="76">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5">
      <c r="C76" s="26" t="str">
        <f>'MP Calculations'!D103</f>
        <v>2059-60</v>
      </c>
      <c r="D76" s="76" t="str">
        <f>IF(LEFT($C76,4)*1&lt;LEFT('General inputs'!$I$16,4)+'General inputs'!$H$38,SUM(G76,J76,M76,P76,S76,V76,Y76,AB76,AE76,AH76),"")</f>
        <v/>
      </c>
      <c r="F76" s="32"/>
      <c r="G76" s="76">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5">
      <c r="C77" s="26" t="str">
        <f>'MP Calculations'!D104</f>
        <v>2060-61</v>
      </c>
      <c r="D77" s="76" t="str">
        <f>IF(LEFT($C77,4)*1&lt;LEFT('General inputs'!$I$16,4)+'General inputs'!$H$38,SUM(G77,J77,M77,P77,S77,V77,Y77,AB77,AE77,AH77),"")</f>
        <v/>
      </c>
      <c r="F77" s="32"/>
      <c r="G77" s="76">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5">
      <c r="C78" s="26" t="str">
        <f>'MP Calculations'!D105</f>
        <v>2061-62</v>
      </c>
      <c r="D78" s="76" t="str">
        <f>IF(LEFT($C78,4)*1&lt;LEFT('General inputs'!$I$16,4)+'General inputs'!$H$38,SUM(G78,J78,M78,P78,S78,V78,Y78,AB78,AE78,AH78),"")</f>
        <v/>
      </c>
      <c r="F78" s="32"/>
      <c r="G78" s="76">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5">
      <c r="C79" s="26" t="str">
        <f>'MP Calculations'!D106</f>
        <v>2062-63</v>
      </c>
      <c r="D79" s="76" t="str">
        <f>IF(LEFT($C79,4)*1&lt;LEFT('General inputs'!$I$16,4)+'General inputs'!$H$38,SUM(G79,J79,M79,P79,S79,V79,Y79,AB79,AE79,AH79),"")</f>
        <v/>
      </c>
      <c r="F79" s="32"/>
      <c r="G79" s="76">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5">
      <c r="C80" s="26" t="str">
        <f>'MP Calculations'!D107</f>
        <v>2063-64</v>
      </c>
      <c r="D80" s="76" t="str">
        <f>IF(LEFT($C80,4)*1&lt;LEFT('General inputs'!$I$16,4)+'General inputs'!$H$38,SUM(G80,J80,M80,P80,S80,V80,Y80,AB80,AE80,AH80),"")</f>
        <v/>
      </c>
      <c r="F80" s="32"/>
      <c r="G80" s="76">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5">
      <c r="C81" s="26" t="str">
        <f>'MP Calculations'!D108</f>
        <v>2064-65</v>
      </c>
      <c r="D81" s="76" t="str">
        <f>IF(LEFT($C81,4)*1&lt;LEFT('General inputs'!$I$16,4)+'General inputs'!$H$38,SUM(G81,J81,M81,P81,S81,V81,Y81,AB81,AE81,AH81),"")</f>
        <v/>
      </c>
      <c r="F81" s="32"/>
      <c r="G81" s="76">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5">
      <c r="C82" s="26" t="str">
        <f>'MP Calculations'!D109</f>
        <v>2065-66</v>
      </c>
      <c r="D82" s="76" t="str">
        <f>IF(LEFT($C82,4)*1&lt;LEFT('General inputs'!$I$16,4)+'General inputs'!$H$38,SUM(G82,J82,M82,P82,S82,V82,Y82,AB82,AE82,AH82),"")</f>
        <v/>
      </c>
      <c r="F82" s="32"/>
      <c r="G82" s="76">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5">
      <c r="C83" s="26" t="str">
        <f>'MP Calculations'!D110</f>
        <v>2066-67</v>
      </c>
      <c r="D83" s="76" t="str">
        <f>IF(LEFT($C83,4)*1&lt;LEFT('General inputs'!$I$16,4)+'General inputs'!$H$38,SUM(G83,J83,M83,P83,S83,V83,Y83,AB83,AE83,AH83),"")</f>
        <v/>
      </c>
      <c r="F83" s="32"/>
      <c r="G83" s="76">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5">
      <c r="C84" s="26" t="str">
        <f>'MP Calculations'!D111</f>
        <v>2067-68</v>
      </c>
      <c r="D84" s="76" t="str">
        <f>IF(LEFT($C84,4)*1&lt;LEFT('General inputs'!$I$16,4)+'General inputs'!$H$38,SUM(G84,J84,M84,P84,S84,V84,Y84,AB84,AE84,AH84),"")</f>
        <v/>
      </c>
      <c r="F84" s="32"/>
      <c r="G84" s="76">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5">
      <c r="C85" s="26" t="str">
        <f>'MP Calculations'!D112</f>
        <v>2068-69</v>
      </c>
      <c r="D85" s="76" t="str">
        <f>IF(LEFT($C85,4)*1&lt;LEFT('General inputs'!$I$16,4)+'General inputs'!$H$38,SUM(G85,J85,M85,P85,S85,V85,Y85,AB85,AE85,AH85),"")</f>
        <v/>
      </c>
      <c r="F85" s="32"/>
      <c r="G85" s="76">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5">
      <c r="C86" s="26" t="str">
        <f>'MP Calculations'!D113</f>
        <v>2069-70</v>
      </c>
      <c r="D86" s="76" t="str">
        <f>IF(LEFT($C86,4)*1&lt;LEFT('General inputs'!$I$16,4)+'General inputs'!$H$38,SUM(G86,J86,M86,P86,S86,V86,Y86,AB86,AE86,AH86),"")</f>
        <v/>
      </c>
      <c r="F86" s="32"/>
      <c r="G86" s="76">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5">
      <c r="C87" s="26" t="str">
        <f>'MP Calculations'!D114</f>
        <v>2070-71</v>
      </c>
      <c r="D87" s="76" t="str">
        <f>IF(LEFT($C87,4)*1&lt;LEFT('General inputs'!$I$16,4)+'General inputs'!$H$38,SUM(G87,J87,M87,P87,S87,V87,Y87,AB87,AE87,AH87),"")</f>
        <v/>
      </c>
      <c r="F87" s="32"/>
      <c r="G87" s="76">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5">
      <c r="C88" s="26" t="str">
        <f>'MP Calculations'!D115</f>
        <v>2071-72</v>
      </c>
      <c r="D88" s="76" t="str">
        <f>IF(LEFT($C88,4)*1&lt;LEFT('General inputs'!$I$16,4)+'General inputs'!$H$38,SUM(G88,J88,M88,P88,S88,V88,Y88,AB88,AE88,AH88),"")</f>
        <v/>
      </c>
      <c r="F88" s="32"/>
      <c r="G88" s="76">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5">
      <c r="C89" s="26" t="str">
        <f>'MP Calculations'!D116</f>
        <v>2072-73</v>
      </c>
      <c r="D89" s="76" t="str">
        <f>IF(LEFT($C89,4)*1&lt;LEFT('General inputs'!$I$16,4)+'General inputs'!$H$38,SUM(G89,J89,M89,P89,S89,V89,Y89,AB89,AE89,AH89),"")</f>
        <v/>
      </c>
      <c r="F89" s="32"/>
      <c r="G89" s="76">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5">
      <c r="C90" s="26" t="str">
        <f>'MP Calculations'!D117</f>
        <v>2073-74</v>
      </c>
      <c r="D90" s="76" t="str">
        <f>IF(LEFT($C90,4)*1&lt;LEFT('General inputs'!$I$16,4)+'General inputs'!$H$38,SUM(G90,J90,M90,P90,S90,V90,Y90,AB90,AE90,AH90),"")</f>
        <v/>
      </c>
      <c r="F90" s="32"/>
      <c r="G90" s="76">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5">
      <c r="C91" s="26" t="str">
        <f>'MP Calculations'!D118</f>
        <v>2074-75</v>
      </c>
      <c r="D91" s="76" t="str">
        <f>IF(LEFT($C91,4)*1&lt;LEFT('General inputs'!$I$16,4)+'General inputs'!$H$38,SUM(G91,J91,M91,P91,S91,V91,Y91,AB91,AE91,AH91),"")</f>
        <v/>
      </c>
      <c r="F91" s="32"/>
      <c r="G91" s="76">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5">
      <c r="C92" s="26" t="str">
        <f>'MP Calculations'!D119</f>
        <v>2075-76</v>
      </c>
      <c r="D92" s="76" t="str">
        <f>IF(LEFT($C92,4)*1&lt;LEFT('General inputs'!$I$16,4)+'General inputs'!$H$38,SUM(G92,J92,M92,P92,S92,V92,Y92,AB92,AE92,AH92),"")</f>
        <v/>
      </c>
      <c r="F92" s="32"/>
      <c r="G92" s="76">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5">
      <c r="C93" s="26" t="str">
        <f>'MP Calculations'!D120</f>
        <v>2076-77</v>
      </c>
      <c r="D93" s="76" t="str">
        <f>IF(LEFT($C93,4)*1&lt;LEFT('General inputs'!$I$16,4)+'General inputs'!$H$38,SUM(G93,J93,M93,P93,S93,V93,Y93,AB93,AE93,AH93),"")</f>
        <v/>
      </c>
      <c r="F93" s="32"/>
      <c r="G93" s="76">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5">
      <c r="C94" s="26" t="str">
        <f>'MP Calculations'!D121</f>
        <v>2077-78</v>
      </c>
      <c r="D94" s="76" t="str">
        <f>IF(LEFT($C94,4)*1&lt;LEFT('General inputs'!$I$16,4)+'General inputs'!$H$38,SUM(G94,J94,M94,P94,S94,V94,Y94,AB94,AE94,AH94),"")</f>
        <v/>
      </c>
      <c r="F94" s="32"/>
      <c r="G94" s="76">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5">
      <c r="C95" s="26" t="str">
        <f>'MP Calculations'!D122</f>
        <v>2078-79</v>
      </c>
      <c r="D95" s="76" t="str">
        <f>IF(LEFT($C95,4)*1&lt;LEFT('General inputs'!$I$16,4)+'General inputs'!$H$38,SUM(G95,J95,M95,P95,S95,V95,Y95,AB95,AE95,AH95),"")</f>
        <v/>
      </c>
      <c r="F95" s="32"/>
      <c r="G95" s="76">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5">
      <c r="C96" s="26" t="str">
        <f>'MP Calculations'!D123</f>
        <v>2079-80</v>
      </c>
      <c r="D96" s="76" t="str">
        <f>IF(LEFT($C96,4)*1&lt;LEFT('General inputs'!$I$16,4)+'General inputs'!$H$38,SUM(G96,J96,M96,P96,S96,V96,Y96,AB96,AE96,AH96),"")</f>
        <v/>
      </c>
      <c r="F96" s="32"/>
      <c r="G96" s="76">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5">
      <c r="C97" s="26" t="str">
        <f>'MP Calculations'!D124</f>
        <v>2080-81</v>
      </c>
      <c r="D97" s="76" t="str">
        <f>IF(LEFT($C97,4)*1&lt;LEFT('General inputs'!$I$16,4)+'General inputs'!$H$38,SUM(G97,J97,M97,P97,S97,V97,Y97,AB97,AE97,AH97),"")</f>
        <v/>
      </c>
      <c r="F97" s="32"/>
      <c r="G97" s="76">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5">
      <c r="C98" s="26" t="str">
        <f>'MP Calculations'!D125</f>
        <v>2081-82</v>
      </c>
      <c r="D98" s="76" t="str">
        <f>IF(LEFT($C98,4)*1&lt;LEFT('General inputs'!$I$16,4)+'General inputs'!$H$38,SUM(G98,J98,M98,P98,S98,V98,Y98,AB98,AE98,AH98),"")</f>
        <v/>
      </c>
      <c r="F98" s="32"/>
      <c r="G98" s="76">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5">
      <c r="C99" s="26" t="str">
        <f>'MP Calculations'!D126</f>
        <v>2082-83</v>
      </c>
      <c r="D99" s="76" t="str">
        <f>IF(LEFT($C99,4)*1&lt;LEFT('General inputs'!$I$16,4)+'General inputs'!$H$38,SUM(G99,J99,M99,P99,S99,V99,Y99,AB99,AE99,AH99),"")</f>
        <v/>
      </c>
      <c r="F99" s="32"/>
      <c r="G99" s="76">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5">
      <c r="C100" s="26" t="str">
        <f>'MP Calculations'!D127</f>
        <v>2083-84</v>
      </c>
      <c r="D100" s="76" t="str">
        <f>IF(LEFT($C100,4)*1&lt;LEFT('General inputs'!$I$16,4)+'General inputs'!$H$38,SUM(G100,J100,M100,P100,S100,V100,Y100,AB100,AE100,AH100),"")</f>
        <v/>
      </c>
      <c r="F100" s="32"/>
      <c r="G100" s="76">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5">
      <c r="C101" s="26" t="str">
        <f>'MP Calculations'!D128</f>
        <v>2084-85</v>
      </c>
      <c r="D101" s="76" t="str">
        <f>IF(LEFT($C101,4)*1&lt;LEFT('General inputs'!$I$16,4)+'General inputs'!$H$38,SUM(G101,J101,M101,P101,S101,V101,Y101,AB101,AE101,AH101),"")</f>
        <v/>
      </c>
      <c r="F101" s="32"/>
      <c r="G101" s="76">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5">
      <c r="C102" s="26" t="str">
        <f>'MP Calculations'!D129</f>
        <v>2085-86</v>
      </c>
      <c r="D102" s="76" t="str">
        <f>IF(LEFT($C102,4)*1&lt;LEFT('General inputs'!$I$16,4)+'General inputs'!$H$38,SUM(G102,J102,M102,P102,S102,V102,Y102,AB102,AE102,AH102),"")</f>
        <v/>
      </c>
      <c r="F102" s="32"/>
      <c r="G102" s="76">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5">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32"/>
  <sheetViews>
    <sheetView showGridLines="0" zoomScaleNormal="100" workbookViewId="0"/>
  </sheetViews>
  <sheetFormatPr defaultRowHeight="11.5" x14ac:dyDescent="0.25"/>
  <cols>
    <col min="1" max="2" width="2.69921875" customWidth="1"/>
    <col min="3" max="3" width="5.69921875" customWidth="1"/>
    <col min="7" max="7" width="9.09765625" customWidth="1"/>
  </cols>
  <sheetData>
    <row r="3" spans="3:7" ht="20" x14ac:dyDescent="0.4">
      <c r="C3" s="100" t="s">
        <v>226</v>
      </c>
    </row>
    <row r="6" spans="3:7" x14ac:dyDescent="0.25">
      <c r="C6" t="s">
        <v>227</v>
      </c>
      <c r="G6" s="157" t="s">
        <v>63</v>
      </c>
    </row>
    <row r="8" spans="3:7" ht="13.5" x14ac:dyDescent="0.35">
      <c r="C8" t="s">
        <v>228</v>
      </c>
    </row>
    <row r="10" spans="3:7" x14ac:dyDescent="0.25">
      <c r="C10" t="s">
        <v>229</v>
      </c>
    </row>
    <row r="12" spans="3:7" ht="13.5" x14ac:dyDescent="0.35">
      <c r="C12" s="26" t="s">
        <v>230</v>
      </c>
      <c r="D12" s="151" t="s">
        <v>231</v>
      </c>
    </row>
    <row r="13" spans="3:7" ht="13.5" x14ac:dyDescent="0.35">
      <c r="C13" s="26" t="s">
        <v>232</v>
      </c>
      <c r="D13" s="151" t="s">
        <v>233</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6" t="s">
        <v>234</v>
      </c>
      <c r="D17" s="132"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$Q$67:$Q$97</v>
      </c>
      <c r="E17" s="133"/>
    </row>
    <row r="18" spans="1:31" ht="13.5" x14ac:dyDescent="0.35">
      <c r="C18" s="26" t="s">
        <v>235</v>
      </c>
      <c r="D18" s="132"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$T$67:$T$97</v>
      </c>
      <c r="E18" s="133"/>
    </row>
    <row r="19" spans="1:31" x14ac:dyDescent="0.25">
      <c r="C19" s="26"/>
    </row>
    <row r="20" spans="1:31" ht="13.5" x14ac:dyDescent="0.35">
      <c r="C20" t="s">
        <v>236</v>
      </c>
      <c r="G20" t="s">
        <v>237</v>
      </c>
      <c r="H20" s="134" t="str">
        <f>'General inputs'!I16</f>
        <v>2023-24</v>
      </c>
      <c r="J20" t="s">
        <v>238</v>
      </c>
      <c r="K20" s="135" t="str">
        <f>LEFT(H20,4)+'General inputs'!$H$38-1&amp;"-"&amp;RIGHT(H20,2)+'General inputs'!$H$38-1</f>
        <v>2053-54</v>
      </c>
    </row>
    <row r="21" spans="1:31" x14ac:dyDescent="0.25">
      <c r="C21" s="26"/>
    </row>
    <row r="22" spans="1:31" x14ac:dyDescent="0.25">
      <c r="C22" s="66" t="s">
        <v>239</v>
      </c>
    </row>
    <row r="23" spans="1:31" x14ac:dyDescent="0.25">
      <c r="C23" s="66"/>
      <c r="D23" s="66" t="s">
        <v>240</v>
      </c>
    </row>
    <row r="24" spans="1:31" x14ac:dyDescent="0.25">
      <c r="C24" s="66"/>
      <c r="D24" s="6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$'000, $2023-24 before being linked into the MP Calculations.</v>
      </c>
    </row>
    <row r="25" spans="1:31" x14ac:dyDescent="0.25">
      <c r="C25" s="66"/>
      <c r="D25" s="66" t="s">
        <v>241</v>
      </c>
    </row>
    <row r="26" spans="1:31" x14ac:dyDescent="0.25">
      <c r="C26" s="66"/>
      <c r="D26" s="159" t="s">
        <v>242</v>
      </c>
    </row>
    <row r="27" spans="1:31" x14ac:dyDescent="0.25">
      <c r="C27" s="66"/>
      <c r="D27" s="159" t="s">
        <v>243</v>
      </c>
    </row>
    <row r="28" spans="1:31" x14ac:dyDescent="0.25">
      <c r="C28" s="66"/>
      <c r="D28" s="66" t="s">
        <v>244</v>
      </c>
    </row>
    <row r="29" spans="1:31" x14ac:dyDescent="0.25">
      <c r="C29" s="66"/>
      <c r="D29" s="159" t="s">
        <v>245</v>
      </c>
    </row>
    <row r="30" spans="1:31" x14ac:dyDescent="0.25">
      <c r="C30" s="66"/>
      <c r="D30" s="159" t="s">
        <v>246</v>
      </c>
    </row>
    <row r="32" spans="1:31" x14ac:dyDescent="0.25">
      <c r="A32" s="63"/>
      <c r="B32" s="63"/>
      <c r="C32" s="63" t="s">
        <v>247</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sheetData>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00" t="s">
        <v>248</v>
      </c>
      <c r="M3" s="102"/>
    </row>
    <row r="6" spans="1:30" x14ac:dyDescent="0.25">
      <c r="C6" t="s">
        <v>227</v>
      </c>
      <c r="G6" s="157" t="s">
        <v>63</v>
      </c>
    </row>
    <row r="8" spans="1:30" x14ac:dyDescent="0.25">
      <c r="C8" t="s">
        <v>249</v>
      </c>
    </row>
    <row r="10" spans="1:30" x14ac:dyDescent="0.25">
      <c r="C10" t="s">
        <v>250</v>
      </c>
      <c r="J10" s="135" t="str">
        <f>ADDRESS(ROW('MP Calculations'!$F$22),COLUMN('MP Calculations'!$F$22))</f>
        <v>$F$22</v>
      </c>
      <c r="K10" t="str">
        <f ca="1">"on the "&amp;MID(CELL("filename",'MP Calculations'!$A$1),FIND("]",CELL("filename",'MP Calculations'!$A$1))+1,255)&amp;" worksheet."</f>
        <v>on the MP Calculations worksheet.</v>
      </c>
    </row>
    <row r="12" spans="1:30" x14ac:dyDescent="0.25">
      <c r="C12" s="67" t="s">
        <v>251</v>
      </c>
    </row>
    <row r="13" spans="1:30" x14ac:dyDescent="0.25">
      <c r="D13" s="152" t="s">
        <v>252</v>
      </c>
    </row>
    <row r="14" spans="1:30" x14ac:dyDescent="0.25">
      <c r="D14" s="6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$'000, $2023-24 before being linked into the MP Calculations.</v>
      </c>
    </row>
    <row r="16" spans="1:30" x14ac:dyDescent="0.25">
      <c r="A16" s="63"/>
      <c r="B16" s="63"/>
      <c r="C16" s="63" t="s">
        <v>247</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row>
    <row r="18" spans="4:4" x14ac:dyDescent="0.25">
      <c r="D18" s="66"/>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00" t="s">
        <v>253</v>
      </c>
      <c r="M3" s="102"/>
    </row>
    <row r="6" spans="1:30" x14ac:dyDescent="0.25">
      <c r="C6" t="s">
        <v>227</v>
      </c>
      <c r="G6" s="157" t="s">
        <v>29</v>
      </c>
    </row>
    <row r="8" spans="1:30" x14ac:dyDescent="0.25">
      <c r="C8" t="s">
        <v>254</v>
      </c>
    </row>
    <row r="10" spans="1:30" x14ac:dyDescent="0.25">
      <c r="C10" t="s">
        <v>250</v>
      </c>
      <c r="J10" s="135" t="str">
        <f>ADDRESS(ROW('MP Calculations'!$G$22),COLUMN('MP Calculations'!$G$22))</f>
        <v>$G$22</v>
      </c>
      <c r="K10" t="str">
        <f ca="1">"on the "&amp;MID(CELL("filename",'MP Calculations'!$A$1),FIND("]",CELL("filename",'MP Calculations'!$A$1))+1,255)&amp;" worksheet."</f>
        <v>on the MP Calculations worksheet.</v>
      </c>
    </row>
    <row r="12" spans="1:30" x14ac:dyDescent="0.25">
      <c r="C12" s="67" t="s">
        <v>251</v>
      </c>
    </row>
    <row r="13" spans="1:30" x14ac:dyDescent="0.25">
      <c r="D13" s="66" t="s">
        <v>255</v>
      </c>
    </row>
    <row r="14" spans="1:30" x14ac:dyDescent="0.25">
      <c r="D14" s="6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$'000, $2023-24 before being linked into the MP Calculations.</v>
      </c>
    </row>
    <row r="16" spans="1:30" x14ac:dyDescent="0.25">
      <c r="A16" s="63"/>
      <c r="B16" s="63"/>
      <c r="C16" s="63" t="s">
        <v>247</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row>
    <row r="18" spans="4:4" x14ac:dyDescent="0.25">
      <c r="D18" s="66"/>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1" t="s">
        <v>256</v>
      </c>
    </row>
    <row r="6" spans="3:7" x14ac:dyDescent="0.25">
      <c r="C6" t="s">
        <v>227</v>
      </c>
      <c r="G6" s="157" t="s">
        <v>63</v>
      </c>
    </row>
    <row r="8" spans="3:7" x14ac:dyDescent="0.25">
      <c r="C8" s="6" t="s">
        <v>257</v>
      </c>
      <c r="G8" s="102"/>
    </row>
    <row r="10" spans="3:7" x14ac:dyDescent="0.25">
      <c r="C10" t="s">
        <v>258</v>
      </c>
      <c r="D10" t="s">
        <v>259</v>
      </c>
    </row>
    <row r="12" spans="3:7" x14ac:dyDescent="0.25">
      <c r="C12" t="s">
        <v>260</v>
      </c>
      <c r="D12" t="s">
        <v>261</v>
      </c>
    </row>
    <row r="14" spans="3:7" x14ac:dyDescent="0.25">
      <c r="C14" t="s">
        <v>262</v>
      </c>
      <c r="D14" t="s">
        <v>263</v>
      </c>
    </row>
    <row r="16" spans="3:7" x14ac:dyDescent="0.25">
      <c r="C16" t="s">
        <v>264</v>
      </c>
      <c r="D16" t="s">
        <v>265</v>
      </c>
    </row>
    <row r="18" spans="3:4" x14ac:dyDescent="0.25">
      <c r="C18" t="s">
        <v>266</v>
      </c>
      <c r="D18" t="s">
        <v>267</v>
      </c>
    </row>
    <row r="20" spans="3:4" x14ac:dyDescent="0.25">
      <c r="C20" t="s">
        <v>268</v>
      </c>
      <c r="D20" t="s">
        <v>269</v>
      </c>
    </row>
    <row r="22" spans="3:4" x14ac:dyDescent="0.25">
      <c r="D22" t="s">
        <v>87</v>
      </c>
    </row>
    <row r="24" spans="3:4" x14ac:dyDescent="0.25">
      <c r="C24" s="6" t="s">
        <v>270</v>
      </c>
    </row>
    <row r="26" spans="3:4" x14ac:dyDescent="0.25">
      <c r="C26" t="s">
        <v>271</v>
      </c>
    </row>
    <row r="28" spans="3:4" x14ac:dyDescent="0.25">
      <c r="C28" t="s">
        <v>272</v>
      </c>
      <c r="D28" t="s">
        <v>273</v>
      </c>
    </row>
    <row r="30" spans="3:4" x14ac:dyDescent="0.25">
      <c r="C30" t="s">
        <v>274</v>
      </c>
      <c r="D30" t="s">
        <v>275</v>
      </c>
    </row>
    <row r="32" spans="3:4" x14ac:dyDescent="0.25">
      <c r="C32" t="s">
        <v>276</v>
      </c>
      <c r="D32" t="s">
        <v>277</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6903D4366EA24B9C48F11BED2F8874" ma:contentTypeVersion="13" ma:contentTypeDescription="Create a new document." ma:contentTypeScope="" ma:versionID="a300296d397f77dabc21a8547b551831">
  <xsd:schema xmlns:xsd="http://www.w3.org/2001/XMLSchema" xmlns:xs="http://www.w3.org/2001/XMLSchema" xmlns:p="http://schemas.microsoft.com/office/2006/metadata/properties" xmlns:ns2="3696f3c6-7370-44a0-bbb1-e1464c2101b9" xmlns:ns3="9c9fa291-7f26-47cd-b552-92f2981598b5" targetNamespace="http://schemas.microsoft.com/office/2006/metadata/properties" ma:root="true" ma:fieldsID="cc1f5ffb17d06ca8176a98731b8a6f54" ns2:_="" ns3:_="">
    <xsd:import namespace="3696f3c6-7370-44a0-bbb1-e1464c2101b9"/>
    <xsd:import namespace="9c9fa291-7f26-47cd-b552-92f2981598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6f3c6-7370-44a0-bbb1-e1464c2101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9fa291-7f26-47cd-b552-92f2981598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cf7190a-5976-403a-94bc-5a24fc7c196a}" ma:internalName="TaxCatchAll" ma:showField="CatchAllData" ma:web="9c9fa291-7f26-47cd-b552-92f2981598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c9fa291-7f26-47cd-b552-92f2981598b5">
      <UserInfo>
        <DisplayName/>
        <AccountId xsi:nil="true"/>
        <AccountType/>
      </UserInfo>
    </SharedWithUsers>
    <TaxCatchAll xmlns="9c9fa291-7f26-47cd-b552-92f2981598b5" xsi:nil="true"/>
    <lcf76f155ced4ddcb4097134ff3c332f xmlns="3696f3c6-7370-44a0-bbb1-e1464c2101b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511BC504-F403-4CD2-AB1E-C1F54BB2B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96f3c6-7370-44a0-bbb1-e1464c2101b9"/>
    <ds:schemaRef ds:uri="9c9fa291-7f26-47cd-b552-92f298159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86B-109C-4C2E-9EB9-58A7DA8EFFF0}">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9c9fa291-7f26-47cd-b552-92f2981598b5"/>
    <ds:schemaRef ds:uri="3696f3c6-7370-44a0-bbb1-e1464c2101b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2024-10-04T06:30:05Z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0x010100526903D4366EA24B9C48F11BED2F8874</vt:lpwstr>
  </property>
  <property fmtid="{D5CDD505-2E9C-101B-9397-08002B2CF9AE}" pid="3" name="MediaServiceImageTags">
    <vt:lpwstr/>
  </property>
</Properties>
</file>