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nswgov-my.sharepoint.com/personal/maria_tortura_ipart_nsw_gov_au/Documents/Desktop/"/>
    </mc:Choice>
  </mc:AlternateContent>
  <xr:revisionPtr revIDLastSave="0" documentId="8_{EAF5CA2C-ABFA-46EB-A025-A6735295CFF4}" xr6:coauthVersionLast="47" xr6:coauthVersionMax="47" xr10:uidLastSave="{00000000-0000-0000-0000-000000000000}"/>
  <bookViews>
    <workbookView xWindow="-110" yWindow="-110" windowWidth="19420" windowHeight="10420" tabRatio="722" activeTab="3" xr2:uid="{00000000-000D-0000-FFFF-FFFF00000000}"/>
  </bookViews>
  <sheets>
    <sheet name="Cover" sheetId="12" r:id="rId1"/>
    <sheet name="Journal of changes" sheetId="27" state="hidden" r:id="rId2"/>
    <sheet name="Summary of result" sheetId="25" r:id="rId3"/>
    <sheet name="MP Calculations" sheetId="20" r:id="rId4"/>
    <sheet name="General inputs" sheetId="15" r:id="rId5"/>
    <sheet name="Pre-1996 assets" sheetId="14" r:id="rId6"/>
    <sheet name="Post-1996 commissioned assets" sheetId="16" r:id="rId7"/>
    <sheet name="Uncommissioned assets" sheetId="17" r:id="rId8"/>
    <sheet name="ET inputs" sheetId="19" r:id="rId9"/>
    <sheet name="Reduction amount" sheetId="22" r:id="rId10"/>
    <sheet name="Headwork assets" sheetId="23" state="hidden" r:id="rId11"/>
    <sheet name="Scheme cost allocation" sheetId="26" r:id="rId12"/>
    <sheet name="Asset exclusions" sheetId="24" r:id="rId13"/>
  </sheets>
  <definedNames>
    <definedName name="_xlnm._FilterDatabase" localSheetId="6" hidden="1">'Post-1996 commissioned assets'!$A$21:$R$3063</definedName>
    <definedName name="_xlnm._FilterDatabase" localSheetId="5" hidden="1">'Pre-1996 assets'!$A$21:$R$790</definedName>
    <definedName name="_xlnm.Print_Area" localSheetId="0">Cover!$B$1:$E$100</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9" l="1"/>
  <c r="D13" i="19"/>
  <c r="D14" i="19"/>
  <c r="D15" i="19"/>
  <c r="D16" i="19"/>
  <c r="D17" i="19"/>
  <c r="D18" i="19"/>
  <c r="D19" i="19"/>
  <c r="D20" i="19"/>
  <c r="D21" i="19"/>
  <c r="D22" i="19"/>
  <c r="D23" i="19"/>
  <c r="D24" i="19"/>
  <c r="D25" i="19"/>
  <c r="D26" i="19"/>
  <c r="D27" i="19"/>
  <c r="D28" i="19"/>
  <c r="D29" i="19"/>
  <c r="D30" i="19"/>
  <c r="D31" i="19"/>
  <c r="D32" i="19"/>
  <c r="D33" i="19"/>
  <c r="D34" i="19"/>
  <c r="D35" i="19"/>
  <c r="D36" i="19"/>
  <c r="D37" i="19"/>
  <c r="D38" i="19"/>
  <c r="D39" i="19"/>
  <c r="D40" i="19"/>
  <c r="D41" i="19"/>
  <c r="D42" i="19"/>
  <c r="D43" i="19"/>
  <c r="D44" i="19"/>
  <c r="D45" i="19"/>
  <c r="D46" i="19"/>
  <c r="D47" i="19"/>
  <c r="D48" i="19"/>
  <c r="D49" i="19"/>
  <c r="D50" i="19"/>
  <c r="D51" i="19"/>
  <c r="D52" i="19"/>
  <c r="D53" i="19"/>
  <c r="D54" i="19"/>
  <c r="D55" i="19"/>
  <c r="AP14" i="19"/>
  <c r="X55" i="22"/>
  <c r="X56" i="22"/>
  <c r="X57" i="22"/>
  <c r="X58" i="22"/>
  <c r="X59" i="22"/>
  <c r="X60" i="22"/>
  <c r="X61" i="22"/>
  <c r="X62" i="22"/>
  <c r="X63" i="22"/>
  <c r="X64" i="22"/>
  <c r="X65" i="22"/>
  <c r="X66" i="22"/>
  <c r="X67" i="22"/>
  <c r="V55" i="22"/>
  <c r="V56" i="22"/>
  <c r="V57" i="22"/>
  <c r="V58" i="22"/>
  <c r="V59" i="22"/>
  <c r="V60" i="22"/>
  <c r="V61" i="22"/>
  <c r="V62" i="22"/>
  <c r="V63" i="22"/>
  <c r="V64" i="22"/>
  <c r="V65" i="22"/>
  <c r="V66" i="22"/>
  <c r="V67" i="22"/>
  <c r="S55" i="22"/>
  <c r="S56" i="22"/>
  <c r="S57" i="22"/>
  <c r="S58" i="22"/>
  <c r="S59" i="22"/>
  <c r="S60" i="22"/>
  <c r="S61" i="22"/>
  <c r="S62" i="22"/>
  <c r="S63" i="22"/>
  <c r="S64" i="22"/>
  <c r="S65" i="22"/>
  <c r="S66" i="22"/>
  <c r="S67" i="22"/>
  <c r="Q55" i="22"/>
  <c r="Q56" i="22"/>
  <c r="Q57" i="22"/>
  <c r="Q58" i="22"/>
  <c r="Q59" i="22"/>
  <c r="Q60" i="22"/>
  <c r="Q61" i="22"/>
  <c r="Q62" i="22"/>
  <c r="Q63" i="22"/>
  <c r="Q64" i="22"/>
  <c r="Q65" i="22"/>
  <c r="Q66" i="22"/>
  <c r="Q67" i="22"/>
  <c r="L55" i="22"/>
  <c r="L56" i="22"/>
  <c r="L57" i="22"/>
  <c r="L58" i="22"/>
  <c r="L59" i="22"/>
  <c r="L60" i="22"/>
  <c r="L61" i="22"/>
  <c r="L62" i="22"/>
  <c r="L63" i="22"/>
  <c r="L64" i="22"/>
  <c r="L65" i="22"/>
  <c r="L66" i="22"/>
  <c r="L67" i="22"/>
  <c r="K55" i="22"/>
  <c r="K56" i="22"/>
  <c r="K57" i="22"/>
  <c r="K58" i="22"/>
  <c r="K59" i="22"/>
  <c r="K60" i="22"/>
  <c r="K61" i="22"/>
  <c r="K62" i="22"/>
  <c r="K63" i="22"/>
  <c r="K64" i="22"/>
  <c r="K65" i="22"/>
  <c r="K66" i="22"/>
  <c r="K67" i="22"/>
  <c r="J55" i="22"/>
  <c r="J56" i="22"/>
  <c r="J57" i="22"/>
  <c r="J58" i="22"/>
  <c r="J59" i="22"/>
  <c r="J60" i="22"/>
  <c r="J61" i="22"/>
  <c r="J62" i="22"/>
  <c r="J63" i="22"/>
  <c r="J64" i="22"/>
  <c r="J65" i="22"/>
  <c r="J66" i="22"/>
  <c r="J67" i="22"/>
  <c r="F6" i="19"/>
  <c r="P22" i="17"/>
  <c r="I19" i="17"/>
  <c r="L19" i="17"/>
  <c r="E22" i="17"/>
  <c r="F22" i="17"/>
  <c r="O22" i="17"/>
  <c r="D69" i="19"/>
  <c r="D70" i="19"/>
  <c r="D71" i="19"/>
  <c r="D72" i="19"/>
  <c r="D73" i="19"/>
  <c r="D74" i="19"/>
  <c r="D75" i="19"/>
  <c r="D76" i="19"/>
  <c r="D77" i="19"/>
  <c r="D78" i="19"/>
  <c r="D79" i="19"/>
  <c r="D80" i="19"/>
  <c r="D81" i="19"/>
  <c r="D82" i="19"/>
  <c r="D83" i="19"/>
  <c r="D84" i="19"/>
  <c r="D85" i="19"/>
  <c r="D86" i="19"/>
  <c r="D87" i="19"/>
  <c r="D88" i="19"/>
  <c r="D89" i="19"/>
  <c r="D90" i="19"/>
  <c r="D91" i="19"/>
  <c r="D92" i="19"/>
  <c r="D93" i="19"/>
  <c r="D94" i="19"/>
  <c r="D95" i="19"/>
  <c r="D96" i="19"/>
  <c r="D97" i="19"/>
  <c r="D98" i="19"/>
  <c r="D99" i="19"/>
  <c r="D100" i="19"/>
  <c r="D101" i="19"/>
  <c r="D102" i="19"/>
  <c r="F52" i="16"/>
  <c r="F51" i="16"/>
  <c r="F50" i="16"/>
  <c r="F49" i="16"/>
  <c r="F48" i="16"/>
  <c r="F47" i="16"/>
  <c r="F46" i="16"/>
  <c r="F45" i="16"/>
  <c r="F44" i="16"/>
  <c r="F43" i="16"/>
  <c r="F42" i="16"/>
  <c r="F41" i="16"/>
  <c r="O52" i="16"/>
  <c r="O51" i="16"/>
  <c r="O50" i="16"/>
  <c r="O49" i="16"/>
  <c r="O47" i="16"/>
  <c r="O45" i="16"/>
  <c r="O44" i="16"/>
  <c r="O43" i="16"/>
  <c r="O42" i="16"/>
  <c r="F151" i="14"/>
  <c r="F150" i="14"/>
  <c r="F149" i="14"/>
  <c r="F148" i="14"/>
  <c r="F147" i="14"/>
  <c r="F146" i="14"/>
  <c r="F145" i="14"/>
  <c r="F144" i="14"/>
  <c r="F143" i="14"/>
  <c r="F142" i="14"/>
  <c r="F141" i="14"/>
  <c r="F140" i="14"/>
  <c r="F139" i="14"/>
  <c r="F138" i="14"/>
  <c r="F137" i="14"/>
  <c r="F136" i="14"/>
  <c r="F135" i="14"/>
  <c r="F134" i="14"/>
  <c r="F133" i="14"/>
  <c r="F132" i="14"/>
  <c r="F131" i="14"/>
  <c r="F130" i="14"/>
  <c r="F129" i="14"/>
  <c r="F128" i="14"/>
  <c r="F127" i="14"/>
  <c r="F126" i="14"/>
  <c r="F125" i="14"/>
  <c r="F124" i="14"/>
  <c r="F123" i="14"/>
  <c r="F122" i="14"/>
  <c r="F121" i="14"/>
  <c r="F120" i="14"/>
  <c r="F119" i="14"/>
  <c r="F118" i="14"/>
  <c r="F117" i="14"/>
  <c r="F116" i="14"/>
  <c r="F115" i="14"/>
  <c r="F114" i="14"/>
  <c r="F113" i="14"/>
  <c r="F112" i="14"/>
  <c r="F111" i="14"/>
  <c r="F110" i="14"/>
  <c r="F109" i="14"/>
  <c r="F108" i="14"/>
  <c r="F107" i="14"/>
  <c r="F106" i="14"/>
  <c r="F105" i="14"/>
  <c r="F104" i="14"/>
  <c r="F103" i="14"/>
  <c r="F102" i="14"/>
  <c r="F101" i="14"/>
  <c r="F100" i="14"/>
  <c r="F99" i="14"/>
  <c r="F98" i="14"/>
  <c r="F97" i="14"/>
  <c r="F96" i="14"/>
  <c r="F95" i="14"/>
  <c r="F94" i="14"/>
  <c r="F93" i="14"/>
  <c r="F92" i="14"/>
  <c r="F91" i="14"/>
  <c r="F90" i="14"/>
  <c r="F89" i="14"/>
  <c r="F88" i="14"/>
  <c r="F87" i="14"/>
  <c r="F86" i="14"/>
  <c r="F85" i="14"/>
  <c r="F84" i="14"/>
  <c r="F83" i="14"/>
  <c r="F82" i="14"/>
  <c r="F81" i="14"/>
  <c r="F80" i="14"/>
  <c r="F79" i="14"/>
  <c r="F78" i="14"/>
  <c r="F77" i="14"/>
  <c r="F76" i="14"/>
  <c r="F75" i="14"/>
  <c r="F74" i="14"/>
  <c r="F73" i="14"/>
  <c r="F72" i="14"/>
  <c r="F71" i="14"/>
  <c r="F70" i="14"/>
  <c r="F69" i="14"/>
  <c r="F68" i="14"/>
  <c r="F67" i="14"/>
  <c r="F66" i="14"/>
  <c r="F65" i="14"/>
  <c r="F64" i="14"/>
  <c r="F63" i="14"/>
  <c r="F62" i="14"/>
  <c r="F61" i="14"/>
  <c r="F60" i="14"/>
  <c r="F59" i="14"/>
  <c r="F58" i="14"/>
  <c r="F57" i="14"/>
  <c r="O151" i="14"/>
  <c r="O150" i="14"/>
  <c r="O149" i="14"/>
  <c r="O148" i="14"/>
  <c r="O147" i="14"/>
  <c r="O146" i="14"/>
  <c r="O145" i="14"/>
  <c r="O143" i="14"/>
  <c r="O142" i="14"/>
  <c r="O141" i="14"/>
  <c r="O140" i="14"/>
  <c r="O139" i="14"/>
  <c r="O138" i="14"/>
  <c r="O136" i="14"/>
  <c r="O135" i="14"/>
  <c r="O134" i="14"/>
  <c r="O133" i="14"/>
  <c r="O132" i="14"/>
  <c r="O131" i="14"/>
  <c r="O130" i="14"/>
  <c r="O129" i="14"/>
  <c r="O128" i="14"/>
  <c r="O127" i="14"/>
  <c r="O126" i="14"/>
  <c r="O125" i="14"/>
  <c r="O124" i="14"/>
  <c r="O123" i="14"/>
  <c r="O122" i="14"/>
  <c r="O121" i="14"/>
  <c r="O120" i="14"/>
  <c r="O119" i="14"/>
  <c r="O118" i="14"/>
  <c r="O117" i="14"/>
  <c r="O116" i="14"/>
  <c r="O115" i="14"/>
  <c r="O114" i="14"/>
  <c r="O113" i="14"/>
  <c r="O112" i="14"/>
  <c r="O111" i="14"/>
  <c r="O110" i="14"/>
  <c r="O109" i="14"/>
  <c r="O108" i="14"/>
  <c r="O107" i="14"/>
  <c r="O106" i="14"/>
  <c r="O105" i="14"/>
  <c r="O104" i="14"/>
  <c r="O103" i="14"/>
  <c r="O102" i="14"/>
  <c r="O101" i="14"/>
  <c r="O100" i="14"/>
  <c r="O99" i="14"/>
  <c r="O98" i="14"/>
  <c r="O97" i="14"/>
  <c r="O96" i="14"/>
  <c r="O95" i="14"/>
  <c r="O94" i="14"/>
  <c r="O93" i="14"/>
  <c r="O92" i="14"/>
  <c r="O91" i="14"/>
  <c r="O90" i="14"/>
  <c r="O89" i="14"/>
  <c r="O88" i="14"/>
  <c r="O87" i="14"/>
  <c r="O86" i="14"/>
  <c r="O85" i="14"/>
  <c r="O84" i="14"/>
  <c r="O83" i="14"/>
  <c r="O82" i="14"/>
  <c r="O81" i="14"/>
  <c r="O80" i="14"/>
  <c r="O79" i="14"/>
  <c r="O78" i="14"/>
  <c r="O77" i="14"/>
  <c r="O76" i="14"/>
  <c r="O75" i="14"/>
  <c r="O74" i="14"/>
  <c r="O73" i="14"/>
  <c r="O72" i="14"/>
  <c r="O71" i="14"/>
  <c r="O70" i="14"/>
  <c r="O69" i="14"/>
  <c r="O68" i="14"/>
  <c r="O67" i="14"/>
  <c r="O66" i="14"/>
  <c r="O65" i="14"/>
  <c r="O64" i="14"/>
  <c r="O63" i="14"/>
  <c r="O62" i="14"/>
  <c r="O61" i="14"/>
  <c r="O60" i="14"/>
  <c r="O59" i="14"/>
  <c r="O58" i="14"/>
  <c r="O57" i="14"/>
  <c r="AO11" i="19"/>
  <c r="L129" i="20"/>
  <c r="M129" i="20"/>
  <c r="L128" i="20"/>
  <c r="M128" i="20"/>
  <c r="L127" i="20"/>
  <c r="M127" i="20"/>
  <c r="L126" i="20"/>
  <c r="M126" i="20"/>
  <c r="L125" i="20"/>
  <c r="M125" i="20"/>
  <c r="L124" i="20"/>
  <c r="M124" i="20"/>
  <c r="L123" i="20"/>
  <c r="M123" i="20"/>
  <c r="L122" i="20"/>
  <c r="M122" i="20"/>
  <c r="L121" i="20"/>
  <c r="M121" i="20"/>
  <c r="L120" i="20"/>
  <c r="M120" i="20"/>
  <c r="L119" i="20"/>
  <c r="M119" i="20"/>
  <c r="L118" i="20"/>
  <c r="M118" i="20"/>
  <c r="L117" i="20"/>
  <c r="M117" i="20"/>
  <c r="L116" i="20"/>
  <c r="M116" i="20"/>
  <c r="L115" i="20"/>
  <c r="M115" i="20"/>
  <c r="L114" i="20"/>
  <c r="M114" i="20"/>
  <c r="L113" i="20"/>
  <c r="M113" i="20"/>
  <c r="L112" i="20"/>
  <c r="M112" i="20"/>
  <c r="L111" i="20"/>
  <c r="M111" i="20"/>
  <c r="L110" i="20"/>
  <c r="M110" i="20"/>
  <c r="L109" i="20"/>
  <c r="M109" i="20"/>
  <c r="L108" i="20"/>
  <c r="M108" i="20"/>
  <c r="L107" i="20"/>
  <c r="M107" i="20"/>
  <c r="L106" i="20"/>
  <c r="M106" i="20"/>
  <c r="L105" i="20"/>
  <c r="M105" i="20"/>
  <c r="L104" i="20"/>
  <c r="M104" i="20"/>
  <c r="L103" i="20"/>
  <c r="M103" i="20"/>
  <c r="L102" i="20"/>
  <c r="M102" i="20"/>
  <c r="L101" i="20"/>
  <c r="M101" i="20"/>
  <c r="L100" i="20"/>
  <c r="M100" i="20"/>
  <c r="L99" i="20"/>
  <c r="M99" i="20"/>
  <c r="L98" i="20"/>
  <c r="M98" i="20"/>
  <c r="L97" i="20"/>
  <c r="M97" i="20"/>
  <c r="L96" i="20"/>
  <c r="M96" i="20"/>
  <c r="L95" i="20"/>
  <c r="M95" i="20"/>
  <c r="L94" i="20"/>
  <c r="M94" i="20"/>
  <c r="L93" i="20"/>
  <c r="M93" i="20"/>
  <c r="L92" i="20"/>
  <c r="M92" i="20"/>
  <c r="L91" i="20"/>
  <c r="M91" i="20"/>
  <c r="L90" i="20"/>
  <c r="M90" i="20"/>
  <c r="L89" i="20"/>
  <c r="M89" i="20"/>
  <c r="L88" i="20"/>
  <c r="M88" i="20"/>
  <c r="L87" i="20"/>
  <c r="M87" i="20"/>
  <c r="L86" i="20"/>
  <c r="M86" i="20"/>
  <c r="L85" i="20"/>
  <c r="M85" i="20"/>
  <c r="L84" i="20"/>
  <c r="M84" i="20"/>
  <c r="L83" i="20"/>
  <c r="M83" i="20"/>
  <c r="L82" i="20"/>
  <c r="M82" i="20"/>
  <c r="L81" i="20"/>
  <c r="M81" i="20"/>
  <c r="L80" i="20"/>
  <c r="M80" i="20"/>
  <c r="L79" i="20"/>
  <c r="M79" i="20"/>
  <c r="L78" i="20"/>
  <c r="M78" i="20"/>
  <c r="L77" i="20"/>
  <c r="M77" i="20"/>
  <c r="L76" i="20"/>
  <c r="M76" i="20"/>
  <c r="L75" i="20"/>
  <c r="M75" i="20"/>
  <c r="L74" i="20"/>
  <c r="M74" i="20"/>
  <c r="L73" i="20"/>
  <c r="L72" i="20"/>
  <c r="M72" i="20"/>
  <c r="L71" i="20"/>
  <c r="M71" i="20"/>
  <c r="L70" i="20"/>
  <c r="M70" i="20"/>
  <c r="L69" i="20"/>
  <c r="M69" i="20"/>
  <c r="L68" i="20"/>
  <c r="M68" i="20"/>
  <c r="L67" i="20"/>
  <c r="M67" i="20"/>
  <c r="L66" i="20"/>
  <c r="M66" i="20"/>
  <c r="L65" i="20"/>
  <c r="M65" i="20"/>
  <c r="N129" i="20"/>
  <c r="N128" i="20"/>
  <c r="N127" i="20"/>
  <c r="N126" i="20"/>
  <c r="N125" i="20"/>
  <c r="N124" i="20"/>
  <c r="N123" i="20"/>
  <c r="N122" i="20"/>
  <c r="N121" i="20"/>
  <c r="N120" i="20"/>
  <c r="N119" i="20"/>
  <c r="N118" i="20"/>
  <c r="N117" i="20"/>
  <c r="N116" i="20"/>
  <c r="N115" i="20"/>
  <c r="N114" i="20"/>
  <c r="N113" i="20"/>
  <c r="N112" i="20"/>
  <c r="N111" i="20"/>
  <c r="N110" i="20"/>
  <c r="N109" i="20"/>
  <c r="N108" i="20"/>
  <c r="N107" i="20"/>
  <c r="N106" i="20"/>
  <c r="N105" i="20"/>
  <c r="N104" i="20"/>
  <c r="N103" i="20"/>
  <c r="N102" i="20"/>
  <c r="N101" i="20"/>
  <c r="N100" i="20"/>
  <c r="N99" i="20"/>
  <c r="N98" i="20"/>
  <c r="N97" i="20"/>
  <c r="N96" i="20"/>
  <c r="N95" i="20"/>
  <c r="N94" i="20"/>
  <c r="N93" i="20"/>
  <c r="N92" i="20"/>
  <c r="N91" i="20"/>
  <c r="N90" i="20"/>
  <c r="N89" i="20"/>
  <c r="N88" i="20"/>
  <c r="N87" i="20"/>
  <c r="N86" i="20"/>
  <c r="N85" i="20"/>
  <c r="N84" i="20"/>
  <c r="N83" i="20"/>
  <c r="N82" i="20"/>
  <c r="N81" i="20"/>
  <c r="N80" i="20"/>
  <c r="N79" i="20"/>
  <c r="N78" i="20"/>
  <c r="N77" i="20"/>
  <c r="N76" i="20"/>
  <c r="N75" i="20"/>
  <c r="N74" i="20"/>
  <c r="N73" i="20"/>
  <c r="N72" i="20"/>
  <c r="N71" i="20"/>
  <c r="N69" i="20"/>
  <c r="N68" i="20"/>
  <c r="N67" i="20"/>
  <c r="N66" i="20"/>
  <c r="N65" i="20"/>
  <c r="N64" i="20"/>
  <c r="N63" i="20"/>
  <c r="N62" i="20"/>
  <c r="N61" i="20"/>
  <c r="N60" i="20"/>
  <c r="N59" i="20"/>
  <c r="N58" i="20"/>
  <c r="N57" i="20"/>
  <c r="N56" i="20"/>
  <c r="N55" i="20"/>
  <c r="N54" i="20"/>
  <c r="N53" i="20"/>
  <c r="N52" i="20"/>
  <c r="N51" i="20"/>
  <c r="N50" i="20"/>
  <c r="N49" i="20"/>
  <c r="N48" i="20"/>
  <c r="N47" i="20"/>
  <c r="N46" i="20"/>
  <c r="N45" i="20"/>
  <c r="N44" i="20"/>
  <c r="N43" i="20"/>
  <c r="N42" i="20"/>
  <c r="N41" i="20"/>
  <c r="N40" i="20"/>
  <c r="N39" i="20"/>
  <c r="O40" i="16"/>
  <c r="O39" i="16"/>
  <c r="O38" i="16"/>
  <c r="E40" i="16"/>
  <c r="F40" i="16"/>
  <c r="E39" i="16"/>
  <c r="F39" i="16"/>
  <c r="E38" i="16"/>
  <c r="F38" i="16"/>
  <c r="O35" i="16"/>
  <c r="O36" i="16"/>
  <c r="E35" i="16"/>
  <c r="F35" i="16"/>
  <c r="E36" i="16"/>
  <c r="F36" i="16"/>
  <c r="E34" i="16"/>
  <c r="O34" i="16"/>
  <c r="O32" i="16"/>
  <c r="O31" i="16"/>
  <c r="O30" i="16"/>
  <c r="O29" i="16"/>
  <c r="O28" i="16"/>
  <c r="O27" i="16"/>
  <c r="O26" i="16"/>
  <c r="O25" i="16"/>
  <c r="O24" i="16"/>
  <c r="O23" i="16"/>
  <c r="E32" i="16"/>
  <c r="F32" i="16"/>
  <c r="E31" i="16"/>
  <c r="F31" i="16"/>
  <c r="E30" i="16"/>
  <c r="F30" i="16"/>
  <c r="E29" i="16"/>
  <c r="F29" i="16"/>
  <c r="E28" i="16"/>
  <c r="F28" i="16"/>
  <c r="E27" i="16"/>
  <c r="F27" i="16"/>
  <c r="E26" i="16"/>
  <c r="F26" i="16"/>
  <c r="E25" i="16"/>
  <c r="F25" i="16"/>
  <c r="E24" i="16"/>
  <c r="F24" i="16"/>
  <c r="E23" i="16"/>
  <c r="F23" i="16"/>
  <c r="O54" i="14"/>
  <c r="O55" i="14"/>
  <c r="E54" i="14"/>
  <c r="F54" i="14"/>
  <c r="E55" i="14"/>
  <c r="F55" i="14"/>
  <c r="O42" i="14"/>
  <c r="O43" i="14"/>
  <c r="O44" i="14"/>
  <c r="O45" i="14"/>
  <c r="O46" i="14"/>
  <c r="O47" i="14"/>
  <c r="O48" i="14"/>
  <c r="O49" i="14"/>
  <c r="O50" i="14"/>
  <c r="O51" i="14"/>
  <c r="O52" i="14"/>
  <c r="O53" i="14"/>
  <c r="E42" i="14"/>
  <c r="F42" i="14"/>
  <c r="E43" i="14"/>
  <c r="F43" i="14"/>
  <c r="E44" i="14"/>
  <c r="F44" i="14"/>
  <c r="E45" i="14"/>
  <c r="F45" i="14"/>
  <c r="E46" i="14"/>
  <c r="F46" i="14"/>
  <c r="E47" i="14"/>
  <c r="F47" i="14"/>
  <c r="E48" i="14"/>
  <c r="F48" i="14"/>
  <c r="E49" i="14"/>
  <c r="F49" i="14"/>
  <c r="E50" i="14"/>
  <c r="F50" i="14"/>
  <c r="E51" i="14"/>
  <c r="F51" i="14"/>
  <c r="E52" i="14"/>
  <c r="F52" i="14"/>
  <c r="E53" i="14"/>
  <c r="F53" i="14"/>
  <c r="O41" i="14"/>
  <c r="O40" i="14"/>
  <c r="O39" i="14"/>
  <c r="O38" i="14"/>
  <c r="O37" i="14"/>
  <c r="O36" i="14"/>
  <c r="O35" i="14"/>
  <c r="O34" i="14"/>
  <c r="O33" i="14"/>
  <c r="O32" i="14"/>
  <c r="O31" i="14"/>
  <c r="O30" i="14"/>
  <c r="O29" i="14"/>
  <c r="O28" i="14"/>
  <c r="O27" i="14"/>
  <c r="O26" i="14"/>
  <c r="O25" i="14"/>
  <c r="O24" i="14"/>
  <c r="O23" i="14"/>
  <c r="O22" i="14"/>
  <c r="E41" i="14"/>
  <c r="F41" i="14"/>
  <c r="E40" i="14"/>
  <c r="F40" i="14"/>
  <c r="F39" i="14"/>
  <c r="E39" i="14"/>
  <c r="E38" i="14"/>
  <c r="F38" i="14"/>
  <c r="E37" i="14"/>
  <c r="F37" i="14"/>
  <c r="E36" i="14"/>
  <c r="F36" i="14"/>
  <c r="F35" i="14"/>
  <c r="E35" i="14"/>
  <c r="E34" i="14"/>
  <c r="F34" i="14"/>
  <c r="E33" i="14"/>
  <c r="F33" i="14"/>
  <c r="E32" i="14"/>
  <c r="F32" i="14"/>
  <c r="F31" i="14"/>
  <c r="E31" i="14"/>
  <c r="E30" i="14"/>
  <c r="F30" i="14"/>
  <c r="E29" i="14"/>
  <c r="F29" i="14"/>
  <c r="E28" i="14"/>
  <c r="F28" i="14"/>
  <c r="F27" i="14"/>
  <c r="E27" i="14"/>
  <c r="E26" i="14"/>
  <c r="F26" i="14"/>
  <c r="E25" i="14"/>
  <c r="F25" i="14"/>
  <c r="E24" i="14"/>
  <c r="F24" i="14"/>
  <c r="F23" i="14"/>
  <c r="E23" i="14"/>
  <c r="F22" i="14"/>
  <c r="E22" i="14"/>
  <c r="F34" i="16"/>
  <c r="E22" i="16"/>
  <c r="F22" i="16"/>
  <c r="O22" i="16"/>
  <c r="L58" i="20"/>
  <c r="M58" i="20"/>
  <c r="L49" i="20"/>
  <c r="M49" i="20"/>
  <c r="L43" i="20"/>
  <c r="M43" i="20"/>
  <c r="L61" i="20"/>
  <c r="M61" i="20"/>
  <c r="L51" i="20"/>
  <c r="M51" i="20"/>
  <c r="L56" i="20"/>
  <c r="M56" i="20"/>
  <c r="L48" i="20"/>
  <c r="M48" i="20"/>
  <c r="L47" i="20"/>
  <c r="M47" i="20"/>
  <c r="L54" i="20"/>
  <c r="M54" i="20"/>
  <c r="L52" i="20"/>
  <c r="M52" i="20"/>
  <c r="L60" i="20"/>
  <c r="M60" i="20"/>
  <c r="L64" i="20"/>
  <c r="M64" i="20"/>
  <c r="L55" i="20"/>
  <c r="M55" i="20"/>
  <c r="L63" i="20"/>
  <c r="M63" i="20"/>
  <c r="L40" i="20"/>
  <c r="M40" i="20"/>
  <c r="L62" i="20"/>
  <c r="M62" i="20"/>
  <c r="L53" i="20"/>
  <c r="M53" i="20"/>
  <c r="B39" i="22"/>
  <c r="B40" i="22"/>
  <c r="B41" i="22"/>
  <c r="B42" i="22"/>
  <c r="B43" i="22"/>
  <c r="B44" i="22"/>
  <c r="B45" i="22"/>
  <c r="B46" i="22"/>
  <c r="B47" i="22"/>
  <c r="B48" i="22"/>
  <c r="B49" i="22"/>
  <c r="B50" i="22"/>
  <c r="B51" i="22"/>
  <c r="B52" i="22"/>
  <c r="B53" i="22"/>
  <c r="B54" i="22"/>
  <c r="B55" i="22"/>
  <c r="C66" i="20"/>
  <c r="C38" i="22"/>
  <c r="D17" i="22"/>
  <c r="C40" i="22"/>
  <c r="P40" i="22"/>
  <c r="P38" i="22"/>
  <c r="B56" i="22"/>
  <c r="B57" i="22"/>
  <c r="B58" i="22"/>
  <c r="B59" i="22"/>
  <c r="C55" i="22"/>
  <c r="P55" i="22"/>
  <c r="C51" i="22"/>
  <c r="P51" i="22"/>
  <c r="C47" i="22"/>
  <c r="P47" i="22"/>
  <c r="C43" i="22"/>
  <c r="P43" i="22"/>
  <c r="C54" i="22"/>
  <c r="P54" i="22"/>
  <c r="C50" i="22"/>
  <c r="P50" i="22"/>
  <c r="C46" i="22"/>
  <c r="P46" i="22"/>
  <c r="C42" i="22"/>
  <c r="P42" i="22"/>
  <c r="C53" i="22"/>
  <c r="P53" i="22"/>
  <c r="C49" i="22"/>
  <c r="P49" i="22"/>
  <c r="C45" i="22"/>
  <c r="P45" i="22"/>
  <c r="C41" i="22"/>
  <c r="P41" i="22"/>
  <c r="C39" i="22"/>
  <c r="P39" i="22"/>
  <c r="C52" i="22"/>
  <c r="P52" i="22"/>
  <c r="C48" i="22"/>
  <c r="P48" i="22"/>
  <c r="C44" i="22"/>
  <c r="P44" i="22"/>
  <c r="K10" i="26"/>
  <c r="K10" i="23"/>
  <c r="C15" i="22"/>
  <c r="C56" i="22"/>
  <c r="P56" i="22"/>
  <c r="C58" i="22"/>
  <c r="P58" i="22"/>
  <c r="C57" i="22"/>
  <c r="P57" i="22"/>
  <c r="B60" i="22"/>
  <c r="C59" i="22"/>
  <c r="P59" i="22"/>
  <c r="B15" i="20"/>
  <c r="B14" i="20"/>
  <c r="C18" i="12"/>
  <c r="D60" i="12"/>
  <c r="C66" i="12"/>
  <c r="J10" i="26"/>
  <c r="D14" i="26"/>
  <c r="B61" i="22"/>
  <c r="C60" i="22"/>
  <c r="P60" i="22"/>
  <c r="B62" i="22"/>
  <c r="C61" i="22"/>
  <c r="P61" i="22"/>
  <c r="B63" i="22"/>
  <c r="C62" i="22"/>
  <c r="P62" i="22"/>
  <c r="C9" i="20"/>
  <c r="C20" i="12"/>
  <c r="C54" i="12"/>
  <c r="C42" i="12"/>
  <c r="D8" i="25"/>
  <c r="B64" i="22"/>
  <c r="C63" i="22"/>
  <c r="P63" i="22"/>
  <c r="C7" i="17"/>
  <c r="C6" i="17"/>
  <c r="C7" i="16"/>
  <c r="C6" i="16"/>
  <c r="C6" i="14"/>
  <c r="B65" i="22"/>
  <c r="C64" i="22"/>
  <c r="P64" i="22"/>
  <c r="L12" i="15"/>
  <c r="B66" i="22"/>
  <c r="C65" i="22"/>
  <c r="P65" i="22"/>
  <c r="C7" i="14"/>
  <c r="B67" i="22"/>
  <c r="C67" i="22"/>
  <c r="P67" i="22"/>
  <c r="C66" i="22"/>
  <c r="P66" i="22"/>
  <c r="J10" i="23"/>
  <c r="D39" i="20"/>
  <c r="H39" i="20"/>
  <c r="L5" i="15"/>
  <c r="I18" i="15"/>
  <c r="H30" i="15"/>
  <c r="G6" i="19"/>
  <c r="D24" i="22"/>
  <c r="AL15" i="19"/>
  <c r="D38" i="12"/>
  <c r="C40" i="12"/>
  <c r="D81" i="12"/>
  <c r="D73" i="12"/>
  <c r="D72" i="12"/>
  <c r="D48" i="12"/>
  <c r="AG11" i="19"/>
  <c r="AD11" i="19"/>
  <c r="AA11" i="19"/>
  <c r="X11" i="19"/>
  <c r="U11" i="19"/>
  <c r="R11" i="19"/>
  <c r="D14" i="23"/>
  <c r="L18" i="15"/>
  <c r="J20" i="22"/>
  <c r="D32" i="12"/>
  <c r="D31" i="12"/>
  <c r="D30" i="12"/>
  <c r="D28" i="12"/>
  <c r="D29" i="12"/>
  <c r="K8" i="25"/>
  <c r="D17" i="25"/>
  <c r="AJ19" i="19"/>
  <c r="O11" i="19"/>
  <c r="O39" i="20"/>
  <c r="L36" i="15"/>
  <c r="AI13" i="19"/>
  <c r="AI14" i="19"/>
  <c r="AI15" i="19"/>
  <c r="AI16" i="19"/>
  <c r="AI17" i="19"/>
  <c r="AI18" i="19"/>
  <c r="J11" i="20"/>
  <c r="J10" i="20"/>
  <c r="J9" i="20"/>
  <c r="C17" i="20"/>
  <c r="A10" i="20"/>
  <c r="C10" i="20"/>
  <c r="C26" i="20"/>
  <c r="A11" i="20"/>
  <c r="C11" i="20"/>
  <c r="C35" i="20"/>
  <c r="E15" i="17"/>
  <c r="E16" i="16"/>
  <c r="E15" i="16"/>
  <c r="E16" i="14"/>
  <c r="E15" i="14"/>
  <c r="C12" i="19"/>
  <c r="D40" i="20"/>
  <c r="O40" i="20"/>
  <c r="H40" i="20"/>
  <c r="C13" i="19"/>
  <c r="D41" i="20"/>
  <c r="O41" i="20"/>
  <c r="H41" i="20"/>
  <c r="C14" i="19"/>
  <c r="D42" i="20"/>
  <c r="O42" i="20"/>
  <c r="H42" i="20"/>
  <c r="C15" i="19"/>
  <c r="D43" i="20"/>
  <c r="O43" i="20"/>
  <c r="H43" i="20"/>
  <c r="C16" i="19"/>
  <c r="D44" i="20"/>
  <c r="O44" i="20"/>
  <c r="H44" i="20"/>
  <c r="C17" i="19"/>
  <c r="D45" i="20"/>
  <c r="O45" i="20"/>
  <c r="H45" i="20"/>
  <c r="D46" i="20"/>
  <c r="C18" i="19"/>
  <c r="O46" i="20"/>
  <c r="H46" i="20"/>
  <c r="D47" i="20"/>
  <c r="C19" i="19"/>
  <c r="O47" i="20"/>
  <c r="H47" i="20"/>
  <c r="D48" i="20"/>
  <c r="C20" i="19"/>
  <c r="O48" i="20"/>
  <c r="H48" i="20"/>
  <c r="D49" i="20"/>
  <c r="C21" i="19"/>
  <c r="O49" i="20"/>
  <c r="H49" i="20"/>
  <c r="D50" i="20"/>
  <c r="C22" i="19"/>
  <c r="O50" i="20"/>
  <c r="H50" i="20"/>
  <c r="C23" i="19"/>
  <c r="D51" i="20"/>
  <c r="O51" i="20"/>
  <c r="H51" i="20"/>
  <c r="D52" i="20"/>
  <c r="C24" i="19"/>
  <c r="O52" i="20"/>
  <c r="H52" i="20"/>
  <c r="D53" i="20"/>
  <c r="C25" i="19"/>
  <c r="O53" i="20"/>
  <c r="H53" i="20"/>
  <c r="D54" i="20"/>
  <c r="C26" i="19"/>
  <c r="O54" i="20"/>
  <c r="H54" i="20"/>
  <c r="C27" i="19"/>
  <c r="D55" i="20"/>
  <c r="O55" i="20"/>
  <c r="H55" i="20"/>
  <c r="C28" i="19"/>
  <c r="D56" i="20"/>
  <c r="O56" i="20"/>
  <c r="H56" i="20"/>
  <c r="D57" i="20"/>
  <c r="C29" i="19"/>
  <c r="O57" i="20"/>
  <c r="H57" i="20"/>
  <c r="C30" i="19"/>
  <c r="D58" i="20"/>
  <c r="O58" i="20"/>
  <c r="H58" i="20"/>
  <c r="D59" i="20"/>
  <c r="C31" i="19"/>
  <c r="O59" i="20"/>
  <c r="H59" i="20"/>
  <c r="C32" i="19"/>
  <c r="D60" i="20"/>
  <c r="H60" i="20"/>
  <c r="C33" i="19"/>
  <c r="D61" i="20"/>
  <c r="H61" i="20"/>
  <c r="C34" i="19"/>
  <c r="D62" i="20"/>
  <c r="D63" i="20"/>
  <c r="C35" i="19"/>
  <c r="D64" i="20"/>
  <c r="C36" i="19"/>
  <c r="C37" i="19"/>
  <c r="D65" i="20"/>
  <c r="D66" i="20"/>
  <c r="C38" i="19"/>
  <c r="D67" i="20"/>
  <c r="C39" i="19"/>
  <c r="D68" i="20"/>
  <c r="C40" i="19"/>
  <c r="D69" i="20"/>
  <c r="C41" i="19"/>
  <c r="D70" i="20"/>
  <c r="C42" i="19"/>
  <c r="C43" i="19"/>
  <c r="D71" i="20"/>
  <c r="D72" i="20"/>
  <c r="C44" i="19"/>
  <c r="C45" i="19"/>
  <c r="D73" i="20"/>
  <c r="M73" i="20"/>
  <c r="D74" i="20"/>
  <c r="C46" i="19"/>
  <c r="D75" i="20"/>
  <c r="C47" i="19"/>
  <c r="D76" i="20"/>
  <c r="C48" i="19"/>
  <c r="D77" i="20"/>
  <c r="C49" i="19"/>
  <c r="D78" i="20"/>
  <c r="C50" i="19"/>
  <c r="C51" i="19"/>
  <c r="D79" i="20"/>
  <c r="D80" i="20"/>
  <c r="C52" i="19"/>
  <c r="D81" i="20"/>
  <c r="C53" i="19"/>
  <c r="D82" i="20"/>
  <c r="C54" i="19"/>
  <c r="D83" i="20"/>
  <c r="C55" i="19"/>
  <c r="D84" i="20"/>
  <c r="C56" i="19"/>
  <c r="D85" i="20"/>
  <c r="C57" i="19"/>
  <c r="D86" i="20"/>
  <c r="C58" i="19"/>
  <c r="D87" i="20"/>
  <c r="C59" i="19"/>
  <c r="D88" i="20"/>
  <c r="C60" i="19"/>
  <c r="C61" i="19"/>
  <c r="D89" i="20"/>
  <c r="D90" i="20"/>
  <c r="C62" i="19"/>
  <c r="D91" i="20"/>
  <c r="C63" i="19"/>
  <c r="D92" i="20"/>
  <c r="C64" i="19"/>
  <c r="D93" i="20"/>
  <c r="C65" i="19"/>
  <c r="C66" i="19"/>
  <c r="D94" i="20"/>
  <c r="D95" i="20"/>
  <c r="C67" i="19"/>
  <c r="C68" i="19"/>
  <c r="D96" i="20"/>
  <c r="H96" i="20"/>
  <c r="D97" i="20"/>
  <c r="C69" i="19"/>
  <c r="E96" i="20"/>
  <c r="H97" i="20"/>
  <c r="D98" i="20"/>
  <c r="C70" i="19"/>
  <c r="E97" i="20"/>
  <c r="H98" i="20"/>
  <c r="F98" i="20"/>
  <c r="E98" i="20"/>
  <c r="R98" i="20"/>
  <c r="U98" i="20"/>
  <c r="G98" i="20"/>
  <c r="D99" i="20"/>
  <c r="C71" i="19"/>
  <c r="H99" i="20"/>
  <c r="R99" i="20"/>
  <c r="U99" i="20"/>
  <c r="G99" i="20"/>
  <c r="F99" i="20"/>
  <c r="E99" i="20"/>
  <c r="C72" i="19"/>
  <c r="D100" i="20"/>
  <c r="H100" i="20"/>
  <c r="F100" i="20"/>
  <c r="R100" i="20"/>
  <c r="G100" i="20"/>
  <c r="E100" i="20"/>
  <c r="U100" i="20"/>
  <c r="C73" i="19"/>
  <c r="D101" i="20"/>
  <c r="H101" i="20"/>
  <c r="R101" i="20"/>
  <c r="G101" i="20"/>
  <c r="U101" i="20"/>
  <c r="E101" i="20"/>
  <c r="F101" i="20"/>
  <c r="C74" i="19"/>
  <c r="D102" i="20"/>
  <c r="H102" i="20"/>
  <c r="F102" i="20"/>
  <c r="R102" i="20"/>
  <c r="E102" i="20"/>
  <c r="U102" i="20"/>
  <c r="G102" i="20"/>
  <c r="C75" i="19"/>
  <c r="D103" i="20"/>
  <c r="H103" i="20"/>
  <c r="U103" i="20"/>
  <c r="G103" i="20"/>
  <c r="R103" i="20"/>
  <c r="E103" i="20"/>
  <c r="F103" i="20"/>
  <c r="C76" i="19"/>
  <c r="D104" i="20"/>
  <c r="H104" i="20"/>
  <c r="F104" i="20"/>
  <c r="U104" i="20"/>
  <c r="E104" i="20"/>
  <c r="R104" i="20"/>
  <c r="G104" i="20"/>
  <c r="C77" i="19"/>
  <c r="D105" i="20"/>
  <c r="H105" i="20"/>
  <c r="U105" i="20"/>
  <c r="G105" i="20"/>
  <c r="R105" i="20"/>
  <c r="F105" i="20"/>
  <c r="E105" i="20"/>
  <c r="C78" i="19"/>
  <c r="D106" i="20"/>
  <c r="H106" i="20"/>
  <c r="F106" i="20"/>
  <c r="G106" i="20"/>
  <c r="E106" i="20"/>
  <c r="R106" i="20"/>
  <c r="U106" i="20"/>
  <c r="C79" i="19"/>
  <c r="D107" i="20"/>
  <c r="H107" i="20"/>
  <c r="R107" i="20"/>
  <c r="G107" i="20"/>
  <c r="E107" i="20"/>
  <c r="U107" i="20"/>
  <c r="F107" i="20"/>
  <c r="C80" i="19"/>
  <c r="D108" i="20"/>
  <c r="H108" i="20"/>
  <c r="F108" i="20"/>
  <c r="R108" i="20"/>
  <c r="E108" i="20"/>
  <c r="G108" i="20"/>
  <c r="U108" i="20"/>
  <c r="C81" i="19"/>
  <c r="D109" i="20"/>
  <c r="H109" i="20"/>
  <c r="E109" i="20"/>
  <c r="G109" i="20"/>
  <c r="U109" i="20"/>
  <c r="F109" i="20"/>
  <c r="R109" i="20"/>
  <c r="C82" i="19"/>
  <c r="D110" i="20"/>
  <c r="H110" i="20"/>
  <c r="F110" i="20"/>
  <c r="E110" i="20"/>
  <c r="U110" i="20"/>
  <c r="G110" i="20"/>
  <c r="R110" i="20"/>
  <c r="C83" i="19"/>
  <c r="D111" i="20"/>
  <c r="H111" i="20"/>
  <c r="U111" i="20"/>
  <c r="G111" i="20"/>
  <c r="E111" i="20"/>
  <c r="R111" i="20"/>
  <c r="F111" i="20"/>
  <c r="C84" i="19"/>
  <c r="D112" i="20"/>
  <c r="H112" i="20"/>
  <c r="F112" i="20"/>
  <c r="U112" i="20"/>
  <c r="E112" i="20"/>
  <c r="R112" i="20"/>
  <c r="G112" i="20"/>
  <c r="C85" i="19"/>
  <c r="D113" i="20"/>
  <c r="H113" i="20"/>
  <c r="R113" i="20"/>
  <c r="E113" i="20"/>
  <c r="G113" i="20"/>
  <c r="U113" i="20"/>
  <c r="F113" i="20"/>
  <c r="C86" i="19"/>
  <c r="D114" i="20"/>
  <c r="H114" i="20"/>
  <c r="F114" i="20"/>
  <c r="U114" i="20"/>
  <c r="G114" i="20"/>
  <c r="E114" i="20"/>
  <c r="R114" i="20"/>
  <c r="C87" i="19"/>
  <c r="D115" i="20"/>
  <c r="H115" i="20"/>
  <c r="R115" i="20"/>
  <c r="G115" i="20"/>
  <c r="E115" i="20"/>
  <c r="F115" i="20"/>
  <c r="U115" i="20"/>
  <c r="C88" i="19"/>
  <c r="D116" i="20"/>
  <c r="H116" i="20"/>
  <c r="F116" i="20"/>
  <c r="R116" i="20"/>
  <c r="E116" i="20"/>
  <c r="G116" i="20"/>
  <c r="U116" i="20"/>
  <c r="C89" i="19"/>
  <c r="D117" i="20"/>
  <c r="H117" i="20"/>
  <c r="G117" i="20"/>
  <c r="U117" i="20"/>
  <c r="R117" i="20"/>
  <c r="F117" i="20"/>
  <c r="E117" i="20"/>
  <c r="C90" i="19"/>
  <c r="D118" i="20"/>
  <c r="H118" i="20"/>
  <c r="F118" i="20"/>
  <c r="E118" i="20"/>
  <c r="U118" i="20"/>
  <c r="R118" i="20"/>
  <c r="G118" i="20"/>
  <c r="C91" i="19"/>
  <c r="D119" i="20"/>
  <c r="H119" i="20"/>
  <c r="U119" i="20"/>
  <c r="R119" i="20"/>
  <c r="G119" i="20"/>
  <c r="E119" i="20"/>
  <c r="F119" i="20"/>
  <c r="C92" i="19"/>
  <c r="D120" i="20"/>
  <c r="H120" i="20"/>
  <c r="F120" i="20"/>
  <c r="U120" i="20"/>
  <c r="E120" i="20"/>
  <c r="G120" i="20"/>
  <c r="R120" i="20"/>
  <c r="C93" i="19"/>
  <c r="D121" i="20"/>
  <c r="H121" i="20"/>
  <c r="U121" i="20"/>
  <c r="G121" i="20"/>
  <c r="R121" i="20"/>
  <c r="E121" i="20"/>
  <c r="F121" i="20"/>
  <c r="C94" i="19"/>
  <c r="D122" i="20"/>
  <c r="H122" i="20"/>
  <c r="F122" i="20"/>
  <c r="E122" i="20"/>
  <c r="R122" i="20"/>
  <c r="U122" i="20"/>
  <c r="G122" i="20"/>
  <c r="C95" i="19"/>
  <c r="D123" i="20"/>
  <c r="H123" i="20"/>
  <c r="R123" i="20"/>
  <c r="U123" i="20"/>
  <c r="G123" i="20"/>
  <c r="E123" i="20"/>
  <c r="F123" i="20"/>
  <c r="C96" i="19"/>
  <c r="D124" i="20"/>
  <c r="H124" i="20"/>
  <c r="F124" i="20"/>
  <c r="R124" i="20"/>
  <c r="G124" i="20"/>
  <c r="E124" i="20"/>
  <c r="U124" i="20"/>
  <c r="C97" i="19"/>
  <c r="D125" i="20"/>
  <c r="H125" i="20"/>
  <c r="U125" i="20"/>
  <c r="G125" i="20"/>
  <c r="E125" i="20"/>
  <c r="R125" i="20"/>
  <c r="F125" i="20"/>
  <c r="C98" i="19"/>
  <c r="D126" i="20"/>
  <c r="H126" i="20"/>
  <c r="F126" i="20"/>
  <c r="R126" i="20"/>
  <c r="E126" i="20"/>
  <c r="U126" i="20"/>
  <c r="G126" i="20"/>
  <c r="C99" i="19"/>
  <c r="D127" i="20"/>
  <c r="H127" i="20"/>
  <c r="U127" i="20"/>
  <c r="G127" i="20"/>
  <c r="E127" i="20"/>
  <c r="F127" i="20"/>
  <c r="R127" i="20"/>
  <c r="C100" i="19"/>
  <c r="D128" i="20"/>
  <c r="H128" i="20"/>
  <c r="F128" i="20"/>
  <c r="U128" i="20"/>
  <c r="E128" i="20"/>
  <c r="R128" i="20"/>
  <c r="G128" i="20"/>
  <c r="C101" i="19"/>
  <c r="D129" i="20"/>
  <c r="H129" i="20"/>
  <c r="D18" i="22"/>
  <c r="B33" i="20"/>
  <c r="R129" i="20"/>
  <c r="G129" i="20"/>
  <c r="E129" i="20"/>
  <c r="F129" i="20"/>
  <c r="U129" i="20"/>
  <c r="C102" i="19"/>
  <c r="R39" i="20"/>
  <c r="U39" i="20"/>
  <c r="U40" i="20"/>
  <c r="R40" i="20"/>
  <c r="R41" i="20"/>
  <c r="U41" i="20"/>
  <c r="N70" i="20"/>
  <c r="R42" i="20"/>
  <c r="U42" i="20"/>
  <c r="R43" i="20"/>
  <c r="U43" i="20"/>
  <c r="U44" i="20"/>
  <c r="R44" i="20"/>
  <c r="R45" i="20"/>
  <c r="U45" i="20"/>
  <c r="R46" i="20"/>
  <c r="U46" i="20"/>
  <c r="R47" i="20"/>
  <c r="U47" i="20"/>
  <c r="U48" i="20"/>
  <c r="R48" i="20"/>
  <c r="R49" i="20"/>
  <c r="U49" i="20"/>
  <c r="R50" i="20"/>
  <c r="U50" i="20"/>
  <c r="L57" i="20"/>
  <c r="M57" i="20"/>
  <c r="R51" i="20"/>
  <c r="U51" i="20"/>
  <c r="U52" i="20"/>
  <c r="R52" i="20"/>
  <c r="R53" i="20"/>
  <c r="U53" i="20"/>
  <c r="U54" i="20"/>
  <c r="R54" i="20"/>
  <c r="R55" i="20"/>
  <c r="U55" i="20"/>
  <c r="U56" i="20"/>
  <c r="R56" i="20"/>
  <c r="R57" i="20"/>
  <c r="U57" i="20"/>
  <c r="R58" i="20"/>
  <c r="U58" i="20"/>
  <c r="R59" i="20"/>
  <c r="U59" i="20"/>
  <c r="U60" i="20"/>
  <c r="U61" i="20"/>
  <c r="R60" i="20"/>
  <c r="R61" i="20"/>
  <c r="U96" i="20"/>
  <c r="R96" i="20"/>
  <c r="G96" i="20"/>
  <c r="F96" i="20"/>
  <c r="R97" i="20"/>
  <c r="U97" i="20"/>
  <c r="F97" i="20"/>
  <c r="G97" i="20"/>
  <c r="H62" i="20"/>
  <c r="R62" i="20"/>
  <c r="U62" i="20"/>
  <c r="H63" i="20"/>
  <c r="R63" i="20"/>
  <c r="U63" i="20"/>
  <c r="O61" i="20"/>
  <c r="H64" i="20"/>
  <c r="R64" i="20"/>
  <c r="U64" i="20"/>
  <c r="O60" i="20"/>
  <c r="H65" i="20"/>
  <c r="R65" i="20"/>
  <c r="U65" i="20"/>
  <c r="C65" i="20"/>
  <c r="C64" i="20"/>
  <c r="C63" i="20"/>
  <c r="O64" i="20"/>
  <c r="C67" i="20"/>
  <c r="C62" i="20"/>
  <c r="O63" i="20"/>
  <c r="C68" i="20"/>
  <c r="O62" i="20"/>
  <c r="C61" i="20"/>
  <c r="C69" i="20"/>
  <c r="O68" i="20"/>
  <c r="C60" i="20"/>
  <c r="C70" i="20"/>
  <c r="C59" i="20"/>
  <c r="C71" i="20"/>
  <c r="O70" i="20"/>
  <c r="C58" i="20"/>
  <c r="C72" i="20"/>
  <c r="C57" i="20"/>
  <c r="O72" i="20"/>
  <c r="C73" i="20"/>
  <c r="C56" i="20"/>
  <c r="C74" i="20"/>
  <c r="O73" i="20"/>
  <c r="C55" i="20"/>
  <c r="C75" i="20"/>
  <c r="C54" i="20"/>
  <c r="O75" i="20"/>
  <c r="C76" i="20"/>
  <c r="C53" i="20"/>
  <c r="O76" i="20"/>
  <c r="C77" i="20"/>
  <c r="C52" i="20"/>
  <c r="C78" i="20"/>
  <c r="O77" i="20"/>
  <c r="C51" i="20"/>
  <c r="C79" i="20"/>
  <c r="O78" i="20"/>
  <c r="C50" i="20"/>
  <c r="C80" i="20"/>
  <c r="C49" i="20"/>
  <c r="O80" i="20"/>
  <c r="C81" i="20"/>
  <c r="C48" i="20"/>
  <c r="O81" i="20"/>
  <c r="C82" i="20"/>
  <c r="C47" i="20"/>
  <c r="C83" i="20"/>
  <c r="O82" i="20"/>
  <c r="C46" i="20"/>
  <c r="O83" i="20"/>
  <c r="C84" i="20"/>
  <c r="C45" i="20"/>
  <c r="C85" i="20"/>
  <c r="O84" i="20"/>
  <c r="C44" i="20"/>
  <c r="C86" i="20"/>
  <c r="O85" i="20"/>
  <c r="C43" i="20"/>
  <c r="O86" i="20"/>
  <c r="C87" i="20"/>
  <c r="C42" i="20"/>
  <c r="C88" i="20"/>
  <c r="O87" i="20"/>
  <c r="C41" i="20"/>
  <c r="C89" i="20"/>
  <c r="O88" i="20"/>
  <c r="C40" i="20"/>
  <c r="C90" i="20"/>
  <c r="C39" i="20"/>
  <c r="O90" i="20"/>
  <c r="C91" i="20"/>
  <c r="C92" i="20"/>
  <c r="O91" i="20"/>
  <c r="C93" i="20"/>
  <c r="O92" i="20"/>
  <c r="C94" i="20"/>
  <c r="O93" i="20"/>
  <c r="O94" i="20"/>
  <c r="C95" i="20"/>
  <c r="O95" i="20"/>
  <c r="C96" i="20"/>
  <c r="C97" i="20"/>
  <c r="O96" i="20"/>
  <c r="C98" i="20"/>
  <c r="O97" i="20"/>
  <c r="O98" i="20"/>
  <c r="C99" i="20"/>
  <c r="C100" i="20"/>
  <c r="O99" i="20"/>
  <c r="C101" i="20"/>
  <c r="O100" i="20"/>
  <c r="O101" i="20"/>
  <c r="C102" i="20"/>
  <c r="C103" i="20"/>
  <c r="O102" i="20"/>
  <c r="C104" i="20"/>
  <c r="O103" i="20"/>
  <c r="C105" i="20"/>
  <c r="O104" i="20"/>
  <c r="O105" i="20"/>
  <c r="C106" i="20"/>
  <c r="C107" i="20"/>
  <c r="G27" i="25"/>
  <c r="O106" i="20"/>
  <c r="C108" i="20"/>
  <c r="O107" i="20"/>
  <c r="C109" i="20"/>
  <c r="O108" i="20"/>
  <c r="C110" i="20"/>
  <c r="O109" i="20"/>
  <c r="O74" i="20"/>
  <c r="C111" i="20"/>
  <c r="O110" i="20"/>
  <c r="C112" i="20"/>
  <c r="O111" i="20"/>
  <c r="O71" i="20"/>
  <c r="O112" i="20"/>
  <c r="C113" i="20"/>
  <c r="C114" i="20"/>
  <c r="O113" i="20"/>
  <c r="O114" i="20"/>
  <c r="C115" i="20"/>
  <c r="C116" i="20"/>
  <c r="O115" i="20"/>
  <c r="C117" i="20"/>
  <c r="O116" i="20"/>
  <c r="C118" i="20"/>
  <c r="O117" i="20"/>
  <c r="C119" i="20"/>
  <c r="O118" i="20"/>
  <c r="C120" i="20"/>
  <c r="O119" i="20"/>
  <c r="C121" i="20"/>
  <c r="O120" i="20"/>
  <c r="C122" i="20"/>
  <c r="O121" i="20"/>
  <c r="O122" i="20"/>
  <c r="C123" i="20"/>
  <c r="O123" i="20"/>
  <c r="C124" i="20"/>
  <c r="C125" i="20"/>
  <c r="O124" i="20"/>
  <c r="C126" i="20"/>
  <c r="O125" i="20"/>
  <c r="C127" i="20"/>
  <c r="O126" i="20"/>
  <c r="O67" i="20"/>
  <c r="C128" i="20"/>
  <c r="O127" i="20"/>
  <c r="L18" i="17"/>
  <c r="O66" i="20"/>
  <c r="L16" i="17"/>
  <c r="O65" i="20"/>
  <c r="O69" i="20"/>
  <c r="O79" i="20"/>
  <c r="O89" i="20"/>
  <c r="L17" i="17"/>
  <c r="O128" i="20"/>
  <c r="C129" i="20"/>
  <c r="O129" i="20"/>
  <c r="O29" i="20"/>
  <c r="K20" i="20"/>
  <c r="G39" i="22"/>
  <c r="G9" i="19"/>
  <c r="AB76" i="19"/>
  <c r="AB100" i="19"/>
  <c r="AH74" i="19"/>
  <c r="Y93" i="19"/>
  <c r="AE90" i="19"/>
  <c r="AB92" i="19"/>
  <c r="Y79" i="19"/>
  <c r="P72" i="19"/>
  <c r="AB87" i="19"/>
  <c r="Y74" i="19"/>
  <c r="S79" i="19"/>
  <c r="Y91" i="19"/>
  <c r="V90" i="19"/>
  <c r="AB91" i="19"/>
  <c r="AE81" i="19"/>
  <c r="V87" i="19"/>
  <c r="P88" i="19"/>
  <c r="AH76" i="19"/>
  <c r="AB69" i="19"/>
  <c r="V85" i="19"/>
  <c r="AH86" i="19"/>
  <c r="P91" i="19"/>
  <c r="Y75" i="19"/>
  <c r="V95" i="19"/>
  <c r="P89" i="19"/>
  <c r="P84" i="19"/>
  <c r="V86" i="19"/>
  <c r="AH91" i="19"/>
  <c r="AB85" i="19"/>
  <c r="P100" i="19"/>
  <c r="Y80" i="19"/>
  <c r="P101" i="19"/>
  <c r="S102" i="19"/>
  <c r="AB79" i="19"/>
  <c r="Y82" i="19"/>
  <c r="V75" i="19"/>
  <c r="AE100" i="19"/>
  <c r="V74" i="19"/>
  <c r="AB83" i="19"/>
  <c r="AH85" i="19"/>
  <c r="V79" i="19"/>
  <c r="P85" i="19"/>
  <c r="Y78" i="19"/>
  <c r="AB73" i="19"/>
  <c r="S101" i="19"/>
  <c r="AB95" i="19"/>
  <c r="V81" i="19"/>
  <c r="S75" i="19"/>
  <c r="AE86" i="19"/>
  <c r="AH95" i="19"/>
  <c r="V97" i="19"/>
  <c r="AH75" i="19"/>
  <c r="P78" i="19"/>
  <c r="S86" i="19"/>
  <c r="Y89" i="19"/>
  <c r="Y98" i="19"/>
  <c r="AB102" i="19"/>
  <c r="AE92" i="19"/>
  <c r="S94" i="19"/>
  <c r="AB75" i="19"/>
  <c r="AH77" i="19"/>
  <c r="V71" i="19"/>
  <c r="Y83" i="19"/>
  <c r="AH83" i="19"/>
  <c r="AB89" i="19"/>
  <c r="Y96" i="19"/>
  <c r="AE83" i="19"/>
  <c r="Y95" i="19"/>
  <c r="AE91" i="19"/>
  <c r="Y70" i="19"/>
  <c r="AE69" i="19"/>
  <c r="AE73" i="19"/>
  <c r="S97" i="19"/>
  <c r="AE101" i="19"/>
  <c r="S98" i="19"/>
  <c r="AB94" i="19"/>
  <c r="AH96" i="19"/>
  <c r="S78" i="19"/>
  <c r="P77" i="19"/>
  <c r="AH69" i="19"/>
  <c r="AB98" i="19"/>
  <c r="AE88" i="19"/>
  <c r="AH99" i="19"/>
  <c r="V73" i="19"/>
  <c r="AB77" i="19"/>
  <c r="S70" i="19"/>
  <c r="AE95" i="19"/>
  <c r="AH73" i="19"/>
  <c r="AB99" i="19"/>
  <c r="P74" i="19"/>
  <c r="AB97" i="19"/>
  <c r="AE79" i="19"/>
  <c r="AE98" i="19"/>
  <c r="AE102" i="19"/>
  <c r="P94" i="19"/>
  <c r="Y87" i="19"/>
  <c r="AE94" i="19"/>
  <c r="Y102" i="19"/>
  <c r="AE70" i="19"/>
  <c r="S81" i="19"/>
  <c r="AE93" i="19"/>
  <c r="AB101" i="19"/>
  <c r="AB86" i="19"/>
  <c r="AH88" i="19"/>
  <c r="S89" i="19"/>
  <c r="Y81" i="19"/>
  <c r="AE74" i="19"/>
  <c r="AB90" i="19"/>
  <c r="AE80" i="19"/>
  <c r="AE87" i="19"/>
  <c r="V94" i="19"/>
  <c r="AB80" i="19"/>
  <c r="AH94" i="19"/>
  <c r="Y73" i="19"/>
  <c r="S95" i="19"/>
  <c r="AE89" i="19"/>
  <c r="AH84" i="19"/>
  <c r="AH70" i="19"/>
  <c r="S71" i="19"/>
  <c r="P92" i="19"/>
  <c r="V93" i="19"/>
  <c r="AB72" i="19"/>
  <c r="Y85" i="19"/>
  <c r="V69" i="19"/>
  <c r="AB70" i="19"/>
  <c r="V76" i="19"/>
  <c r="AE85" i="19"/>
  <c r="S100" i="19"/>
  <c r="AB78" i="19"/>
  <c r="AH80" i="19"/>
  <c r="V80" i="19"/>
  <c r="Y97" i="19"/>
  <c r="Y90" i="19"/>
  <c r="P81" i="19"/>
  <c r="AH100" i="19"/>
  <c r="Y101" i="19"/>
  <c r="S90" i="19"/>
  <c r="Y84" i="19"/>
  <c r="Y77" i="19"/>
  <c r="P86" i="19"/>
  <c r="P97" i="19"/>
  <c r="S91" i="19"/>
  <c r="AB88" i="19"/>
  <c r="P76" i="19"/>
  <c r="AE78" i="19"/>
  <c r="Y69" i="19"/>
  <c r="S73" i="19"/>
  <c r="AE77" i="19"/>
  <c r="S84" i="19"/>
  <c r="P71" i="19"/>
  <c r="AH72" i="19"/>
  <c r="V72" i="19"/>
  <c r="AE97" i="19"/>
  <c r="S92" i="19"/>
  <c r="P75" i="19"/>
  <c r="AH92" i="19"/>
  <c r="P93" i="19"/>
  <c r="AB81" i="19"/>
  <c r="E53" i="22"/>
  <c r="E38" i="22"/>
  <c r="G53" i="22"/>
  <c r="G52" i="22"/>
  <c r="S60" i="19"/>
  <c r="S61" i="19"/>
  <c r="S62" i="19"/>
  <c r="S63" i="19"/>
  <c r="S64" i="19"/>
  <c r="S65" i="19"/>
  <c r="S66" i="19"/>
  <c r="S67" i="19"/>
  <c r="S68" i="19"/>
  <c r="S12" i="19"/>
  <c r="S13" i="19"/>
  <c r="S14" i="19"/>
  <c r="S15" i="19"/>
  <c r="S16" i="19"/>
  <c r="S17" i="19"/>
  <c r="S18" i="19"/>
  <c r="S19" i="19"/>
  <c r="S20" i="19"/>
  <c r="S21" i="19"/>
  <c r="S22" i="19"/>
  <c r="S23" i="19"/>
  <c r="S24" i="19"/>
  <c r="S25" i="19"/>
  <c r="S26" i="19"/>
  <c r="S27" i="19"/>
  <c r="S28" i="19"/>
  <c r="S29" i="19"/>
  <c r="S30" i="19"/>
  <c r="S31" i="19"/>
  <c r="S32" i="19"/>
  <c r="S33" i="19"/>
  <c r="S34" i="19"/>
  <c r="S35" i="19"/>
  <c r="S36" i="19"/>
  <c r="S37" i="19"/>
  <c r="S38" i="19"/>
  <c r="S39" i="19"/>
  <c r="S40" i="19"/>
  <c r="S41" i="19"/>
  <c r="S42" i="19"/>
  <c r="S43" i="19"/>
  <c r="S44" i="19"/>
  <c r="S45" i="19"/>
  <c r="S46" i="19"/>
  <c r="S47" i="19"/>
  <c r="S48" i="19"/>
  <c r="S49" i="19"/>
  <c r="S50" i="19"/>
  <c r="S51" i="19"/>
  <c r="S52" i="19"/>
  <c r="S53" i="19"/>
  <c r="S54" i="19"/>
  <c r="S55" i="19"/>
  <c r="S56" i="19"/>
  <c r="S57" i="19"/>
  <c r="S58" i="19"/>
  <c r="S59" i="19"/>
  <c r="V60" i="19"/>
  <c r="V61" i="19"/>
  <c r="V62" i="19"/>
  <c r="V63" i="19"/>
  <c r="V64" i="19"/>
  <c r="V65" i="19"/>
  <c r="V66" i="19"/>
  <c r="V67" i="19"/>
  <c r="V68" i="19"/>
  <c r="V12" i="19"/>
  <c r="V13" i="19"/>
  <c r="V14" i="19"/>
  <c r="V15" i="19"/>
  <c r="V16" i="19"/>
  <c r="V17" i="19"/>
  <c r="V18" i="19"/>
  <c r="V19" i="19"/>
  <c r="V20" i="19"/>
  <c r="V21" i="19"/>
  <c r="V22" i="19"/>
  <c r="V23" i="19"/>
  <c r="V24" i="19"/>
  <c r="V25" i="19"/>
  <c r="V26" i="19"/>
  <c r="V27" i="19"/>
  <c r="V28" i="19"/>
  <c r="V29" i="19"/>
  <c r="V30" i="19"/>
  <c r="V31" i="19"/>
  <c r="V32" i="19"/>
  <c r="V33" i="19"/>
  <c r="V34" i="19"/>
  <c r="V35" i="19"/>
  <c r="V36" i="19"/>
  <c r="V37" i="19"/>
  <c r="V38" i="19"/>
  <c r="V39" i="19"/>
  <c r="V40" i="19"/>
  <c r="V41" i="19"/>
  <c r="V42" i="19"/>
  <c r="V43" i="19"/>
  <c r="V44" i="19"/>
  <c r="V45" i="19"/>
  <c r="V46" i="19"/>
  <c r="V47" i="19"/>
  <c r="V48" i="19"/>
  <c r="V49" i="19"/>
  <c r="V50" i="19"/>
  <c r="V51" i="19"/>
  <c r="V52" i="19"/>
  <c r="V53" i="19"/>
  <c r="V54" i="19"/>
  <c r="V55" i="19"/>
  <c r="V56" i="19"/>
  <c r="V57" i="19"/>
  <c r="V58" i="19"/>
  <c r="V59" i="19"/>
  <c r="Y60" i="19"/>
  <c r="Y61" i="19"/>
  <c r="Y62" i="19"/>
  <c r="Y63" i="19"/>
  <c r="Y64" i="19"/>
  <c r="Y65" i="19"/>
  <c r="Y66" i="19"/>
  <c r="Y67" i="19"/>
  <c r="Y68" i="19"/>
  <c r="Y12" i="19"/>
  <c r="Y13" i="19"/>
  <c r="Y14" i="19"/>
  <c r="Y15" i="19"/>
  <c r="Y16" i="19"/>
  <c r="Y17" i="19"/>
  <c r="Y18" i="19"/>
  <c r="Y19" i="19"/>
  <c r="Y20" i="19"/>
  <c r="Y21" i="19"/>
  <c r="Y22" i="19"/>
  <c r="Y23" i="19"/>
  <c r="Y24" i="19"/>
  <c r="Y25" i="19"/>
  <c r="Y26" i="19"/>
  <c r="Y27" i="19"/>
  <c r="Y28" i="19"/>
  <c r="Y29" i="19"/>
  <c r="Y30" i="19"/>
  <c r="Y31" i="19"/>
  <c r="Y32" i="19"/>
  <c r="Y33" i="19"/>
  <c r="Y34" i="19"/>
  <c r="Y35" i="19"/>
  <c r="Y36" i="19"/>
  <c r="Y37" i="19"/>
  <c r="Y38" i="19"/>
  <c r="Y39" i="19"/>
  <c r="Y40" i="19"/>
  <c r="Y41" i="19"/>
  <c r="Y42" i="19"/>
  <c r="Y43" i="19"/>
  <c r="Y44" i="19"/>
  <c r="Y45" i="19"/>
  <c r="Y46" i="19"/>
  <c r="Y47" i="19"/>
  <c r="Y48" i="19"/>
  <c r="Y49" i="19"/>
  <c r="Y50" i="19"/>
  <c r="Y51" i="19"/>
  <c r="Y52" i="19"/>
  <c r="Y53" i="19"/>
  <c r="Y54" i="19"/>
  <c r="Y55" i="19"/>
  <c r="Y56" i="19"/>
  <c r="Y57" i="19"/>
  <c r="Y58" i="19"/>
  <c r="Y59" i="19"/>
  <c r="AB60" i="19"/>
  <c r="AB61" i="19"/>
  <c r="AB62" i="19"/>
  <c r="AB63" i="19"/>
  <c r="AB64" i="19"/>
  <c r="AB65" i="19"/>
  <c r="AB66" i="19"/>
  <c r="AB67" i="19"/>
  <c r="AB68" i="19"/>
  <c r="AB12" i="19"/>
  <c r="AB13" i="19"/>
  <c r="AB14" i="19"/>
  <c r="AB15" i="19"/>
  <c r="AB16" i="19"/>
  <c r="AB17" i="19"/>
  <c r="AB18" i="19"/>
  <c r="AB19" i="19"/>
  <c r="AB20" i="19"/>
  <c r="AB21" i="19"/>
  <c r="AB22" i="19"/>
  <c r="AB23" i="19"/>
  <c r="AB24" i="19"/>
  <c r="AB25" i="19"/>
  <c r="AB26" i="19"/>
  <c r="AB27" i="19"/>
  <c r="AB28" i="19"/>
  <c r="AB29" i="19"/>
  <c r="AB30" i="19"/>
  <c r="AB31" i="19"/>
  <c r="AB32" i="19"/>
  <c r="AB33" i="19"/>
  <c r="AB34" i="19"/>
  <c r="AB35" i="19"/>
  <c r="AB36" i="19"/>
  <c r="AB37" i="19"/>
  <c r="AB38" i="19"/>
  <c r="AB39" i="19"/>
  <c r="AB40" i="19"/>
  <c r="AB41" i="19"/>
  <c r="AB42" i="19"/>
  <c r="AB43" i="19"/>
  <c r="AB44" i="19"/>
  <c r="AB45" i="19"/>
  <c r="AB46" i="19"/>
  <c r="AB47" i="19"/>
  <c r="AB48" i="19"/>
  <c r="AB49" i="19"/>
  <c r="AB50" i="19"/>
  <c r="AB51" i="19"/>
  <c r="AB52" i="19"/>
  <c r="AB53" i="19"/>
  <c r="AB54" i="19"/>
  <c r="AB55" i="19"/>
  <c r="AB56" i="19"/>
  <c r="AB57" i="19"/>
  <c r="AB58" i="19"/>
  <c r="AB59" i="19"/>
  <c r="AE60" i="19"/>
  <c r="AE61" i="19"/>
  <c r="AE62" i="19"/>
  <c r="AE63" i="19"/>
  <c r="AE64" i="19"/>
  <c r="AE65" i="19"/>
  <c r="AE66" i="19"/>
  <c r="AE67" i="19"/>
  <c r="AE68" i="19"/>
  <c r="AE12" i="19"/>
  <c r="AE13" i="19"/>
  <c r="AE14" i="19"/>
  <c r="AE15" i="19"/>
  <c r="AE16" i="19"/>
  <c r="AE17" i="19"/>
  <c r="AE18" i="19"/>
  <c r="AE19" i="19"/>
  <c r="AE20" i="19"/>
  <c r="AE21" i="19"/>
  <c r="AE22" i="19"/>
  <c r="AE23" i="19"/>
  <c r="AE24" i="19"/>
  <c r="AE25" i="19"/>
  <c r="AE26" i="19"/>
  <c r="AE27" i="19"/>
  <c r="AE28" i="19"/>
  <c r="AE29" i="19"/>
  <c r="AE30" i="19"/>
  <c r="AE31" i="19"/>
  <c r="AE32" i="19"/>
  <c r="AE33" i="19"/>
  <c r="AE34" i="19"/>
  <c r="AE35" i="19"/>
  <c r="AE36" i="19"/>
  <c r="AE37" i="19"/>
  <c r="AE38" i="19"/>
  <c r="AE39" i="19"/>
  <c r="AE40" i="19"/>
  <c r="AE41" i="19"/>
  <c r="AE42" i="19"/>
  <c r="AE43" i="19"/>
  <c r="AE44" i="19"/>
  <c r="AE45" i="19"/>
  <c r="AE46" i="19"/>
  <c r="AE47" i="19"/>
  <c r="AE48" i="19"/>
  <c r="AE49" i="19"/>
  <c r="AE50" i="19"/>
  <c r="AE51" i="19"/>
  <c r="AE52" i="19"/>
  <c r="AE53" i="19"/>
  <c r="AE54" i="19"/>
  <c r="AE55" i="19"/>
  <c r="AE56" i="19"/>
  <c r="AE57" i="19"/>
  <c r="AE58" i="19"/>
  <c r="AE59" i="19"/>
  <c r="AH60" i="19"/>
  <c r="AH61" i="19"/>
  <c r="AH62" i="19"/>
  <c r="AH63" i="19"/>
  <c r="AH64" i="19"/>
  <c r="AH65" i="19"/>
  <c r="AH66" i="19"/>
  <c r="AH67" i="19"/>
  <c r="AH68" i="19"/>
  <c r="AH12" i="19"/>
  <c r="AH13" i="19"/>
  <c r="AH14" i="19"/>
  <c r="AH15" i="19"/>
  <c r="AH16" i="19"/>
  <c r="AH17" i="19"/>
  <c r="AH18" i="19"/>
  <c r="AH19" i="19"/>
  <c r="AH20" i="19"/>
  <c r="AH21" i="19"/>
  <c r="AH22" i="19"/>
  <c r="AH23" i="19"/>
  <c r="AH24" i="19"/>
  <c r="AH25" i="19"/>
  <c r="AH26" i="19"/>
  <c r="AH27" i="19"/>
  <c r="AH28" i="19"/>
  <c r="AH29" i="19"/>
  <c r="AH30" i="19"/>
  <c r="AH31" i="19"/>
  <c r="AH32" i="19"/>
  <c r="AH33" i="19"/>
  <c r="AH34" i="19"/>
  <c r="AH35" i="19"/>
  <c r="AH36" i="19"/>
  <c r="AH37" i="19"/>
  <c r="AH38" i="19"/>
  <c r="AH39" i="19"/>
  <c r="AH40" i="19"/>
  <c r="AH41" i="19"/>
  <c r="AH42" i="19"/>
  <c r="AH43" i="19"/>
  <c r="AH44" i="19"/>
  <c r="AH45" i="19"/>
  <c r="AH46" i="19"/>
  <c r="AH47" i="19"/>
  <c r="AH48" i="19"/>
  <c r="AH49" i="19"/>
  <c r="AH50" i="19"/>
  <c r="AH51" i="19"/>
  <c r="AH52" i="19"/>
  <c r="AH53" i="19"/>
  <c r="AH54" i="19"/>
  <c r="AH55" i="19"/>
  <c r="AH56" i="19"/>
  <c r="AH57" i="19"/>
  <c r="AH58" i="19"/>
  <c r="AH59" i="19"/>
  <c r="P60" i="19"/>
  <c r="P64" i="19"/>
  <c r="P68" i="19"/>
  <c r="P15" i="19"/>
  <c r="P19" i="19"/>
  <c r="P23" i="19"/>
  <c r="P27" i="19"/>
  <c r="P31" i="19"/>
  <c r="P35" i="19"/>
  <c r="P39" i="19"/>
  <c r="P43" i="19"/>
  <c r="P47" i="19"/>
  <c r="P51" i="19"/>
  <c r="P55" i="19"/>
  <c r="P59" i="19"/>
  <c r="AH87" i="19"/>
  <c r="AE82" i="19"/>
  <c r="Y88" i="19"/>
  <c r="V89" i="19"/>
  <c r="P69" i="19"/>
  <c r="S99" i="19"/>
  <c r="V70" i="19"/>
  <c r="AH79" i="19"/>
  <c r="V77" i="19"/>
  <c r="S80" i="19"/>
  <c r="P83" i="19"/>
  <c r="P95" i="19"/>
  <c r="V100" i="19"/>
  <c r="P99" i="19"/>
  <c r="AH97" i="19"/>
  <c r="S93" i="19"/>
  <c r="V99" i="19"/>
  <c r="S69" i="19"/>
  <c r="AE84" i="19"/>
  <c r="Y100" i="19"/>
  <c r="S72" i="19"/>
  <c r="P61" i="19"/>
  <c r="P65" i="19"/>
  <c r="P12" i="19"/>
  <c r="P16" i="19"/>
  <c r="P20" i="19"/>
  <c r="P24" i="19"/>
  <c r="P28" i="19"/>
  <c r="P32" i="19"/>
  <c r="P36" i="19"/>
  <c r="P40" i="19"/>
  <c r="P44" i="19"/>
  <c r="P48" i="19"/>
  <c r="P52" i="19"/>
  <c r="P56" i="19"/>
  <c r="AB96" i="19"/>
  <c r="AE99" i="19"/>
  <c r="AH71" i="19"/>
  <c r="S85" i="19"/>
  <c r="AB71" i="19"/>
  <c r="AE71" i="19"/>
  <c r="V101" i="19"/>
  <c r="AH98" i="19"/>
  <c r="V102" i="19"/>
  <c r="AH82" i="19"/>
  <c r="AB93" i="19"/>
  <c r="P87" i="19"/>
  <c r="V92" i="19"/>
  <c r="P98" i="19"/>
  <c r="AH89" i="19"/>
  <c r="V98" i="19"/>
  <c r="V91" i="19"/>
  <c r="P96" i="19"/>
  <c r="AE76" i="19"/>
  <c r="S82" i="19"/>
  <c r="V96" i="19"/>
  <c r="P90" i="19"/>
  <c r="AH101" i="19"/>
  <c r="S76" i="19"/>
  <c r="AB82" i="19"/>
  <c r="Y99" i="19"/>
  <c r="Y76" i="19"/>
  <c r="P102" i="19"/>
  <c r="S83" i="19"/>
  <c r="Y94" i="19"/>
  <c r="AE72" i="19"/>
  <c r="Y72" i="19"/>
  <c r="AH90" i="19"/>
  <c r="Y86" i="19"/>
  <c r="AB84" i="19"/>
  <c r="AH78" i="19"/>
  <c r="S88" i="19"/>
  <c r="AE75" i="19"/>
  <c r="S96" i="19"/>
  <c r="AH102" i="19"/>
  <c r="V78" i="19"/>
  <c r="P79" i="19"/>
  <c r="V84" i="19"/>
  <c r="P82" i="19"/>
  <c r="AH81" i="19"/>
  <c r="V82" i="19"/>
  <c r="V83" i="19"/>
  <c r="P80" i="19"/>
  <c r="Y71" i="19"/>
  <c r="S77" i="19"/>
  <c r="V88" i="19"/>
  <c r="P70" i="19"/>
  <c r="AH93" i="19"/>
  <c r="S87" i="19"/>
  <c r="AB74" i="19"/>
  <c r="AE96" i="19"/>
  <c r="Y92" i="19"/>
  <c r="P73" i="19"/>
  <c r="S74" i="19"/>
  <c r="P62" i="19"/>
  <c r="P66" i="19"/>
  <c r="P13" i="19"/>
  <c r="P17" i="19"/>
  <c r="P21" i="19"/>
  <c r="P25" i="19"/>
  <c r="P29" i="19"/>
  <c r="P33" i="19"/>
  <c r="P37" i="19"/>
  <c r="P41" i="19"/>
  <c r="P45" i="19"/>
  <c r="P49" i="19"/>
  <c r="P53" i="19"/>
  <c r="P57" i="19"/>
  <c r="P63" i="19"/>
  <c r="P67" i="19"/>
  <c r="P14" i="19"/>
  <c r="P18" i="19"/>
  <c r="P22" i="19"/>
  <c r="P26" i="19"/>
  <c r="P30" i="19"/>
  <c r="P34" i="19"/>
  <c r="P38" i="19"/>
  <c r="P42" i="19"/>
  <c r="P46" i="19"/>
  <c r="P50" i="19"/>
  <c r="P54" i="19"/>
  <c r="P58" i="19"/>
  <c r="E39" i="22"/>
  <c r="E42" i="22"/>
  <c r="E58" i="22"/>
  <c r="E44" i="22"/>
  <c r="E60" i="22"/>
  <c r="E45" i="22"/>
  <c r="E61" i="22"/>
  <c r="E46" i="22"/>
  <c r="E62" i="22"/>
  <c r="E50" i="22"/>
  <c r="E66" i="22"/>
  <c r="E52" i="22"/>
  <c r="AP18" i="19"/>
  <c r="G66" i="22"/>
  <c r="G50" i="22"/>
  <c r="G62" i="22"/>
  <c r="G46" i="22"/>
  <c r="G61" i="22"/>
  <c r="G45" i="22"/>
  <c r="G60" i="22"/>
  <c r="G44" i="22"/>
  <c r="G58" i="22"/>
  <c r="G42" i="22"/>
  <c r="G54" i="22"/>
  <c r="G38" i="22"/>
  <c r="G67" i="22"/>
  <c r="G59" i="22"/>
  <c r="G51" i="22"/>
  <c r="G43" i="22"/>
  <c r="G65" i="22"/>
  <c r="G57" i="22"/>
  <c r="G49" i="22"/>
  <c r="G41" i="22"/>
  <c r="G64" i="22"/>
  <c r="G56" i="22"/>
  <c r="G48" i="22"/>
  <c r="G40" i="22"/>
  <c r="G63" i="22"/>
  <c r="G55" i="22"/>
  <c r="G47" i="22"/>
  <c r="E67" i="22"/>
  <c r="E59" i="22"/>
  <c r="E51" i="22"/>
  <c r="E43" i="22"/>
  <c r="E65" i="22"/>
  <c r="E57" i="22"/>
  <c r="E49" i="22"/>
  <c r="E41" i="22"/>
  <c r="E64" i="22"/>
  <c r="E56" i="22"/>
  <c r="E48" i="22"/>
  <c r="E40" i="22"/>
  <c r="E63" i="22"/>
  <c r="E55" i="22"/>
  <c r="E47" i="22"/>
  <c r="E54" i="22"/>
  <c r="D65" i="19"/>
  <c r="E92" i="20"/>
  <c r="D66" i="19"/>
  <c r="E93" i="20"/>
  <c r="D60" i="19"/>
  <c r="D62" i="19"/>
  <c r="D61" i="19"/>
  <c r="D63" i="19"/>
  <c r="D67" i="19"/>
  <c r="D68" i="19"/>
  <c r="D64" i="19"/>
  <c r="E94" i="20"/>
  <c r="E90" i="20"/>
  <c r="F92" i="20"/>
  <c r="G92" i="20"/>
  <c r="H92" i="20"/>
  <c r="G93" i="20"/>
  <c r="F93" i="20"/>
  <c r="H93" i="20"/>
  <c r="E89" i="20"/>
  <c r="E87" i="20"/>
  <c r="E88" i="20"/>
  <c r="E95" i="20"/>
  <c r="E91" i="20"/>
  <c r="F87" i="20"/>
  <c r="H87" i="20"/>
  <c r="G87" i="20"/>
  <c r="H94" i="20"/>
  <c r="G94" i="20"/>
  <c r="F94" i="20"/>
  <c r="G91" i="20"/>
  <c r="H91" i="20"/>
  <c r="F91" i="20"/>
  <c r="G88" i="20"/>
  <c r="F88" i="20"/>
  <c r="H88" i="20"/>
  <c r="G89" i="20"/>
  <c r="H89" i="20"/>
  <c r="F89" i="20"/>
  <c r="G90" i="20"/>
  <c r="H90" i="20"/>
  <c r="F90" i="20"/>
  <c r="F95" i="20"/>
  <c r="G95" i="20"/>
  <c r="H95" i="20"/>
  <c r="D59" i="19"/>
  <c r="D58" i="19"/>
  <c r="D57" i="19"/>
  <c r="D38" i="22"/>
  <c r="F45" i="22"/>
  <c r="M41" i="22"/>
  <c r="Q69" i="20"/>
  <c r="R69" i="20"/>
  <c r="E70" i="20"/>
  <c r="E78" i="20"/>
  <c r="E86" i="20"/>
  <c r="E73" i="20"/>
  <c r="E81" i="20"/>
  <c r="E68" i="20"/>
  <c r="E76" i="20"/>
  <c r="E84" i="20"/>
  <c r="E69" i="20"/>
  <c r="E77" i="20"/>
  <c r="E85" i="20"/>
  <c r="D56" i="19"/>
  <c r="M53" i="22"/>
  <c r="Q81" i="20"/>
  <c r="R81" i="20"/>
  <c r="M45" i="22"/>
  <c r="Q73" i="20"/>
  <c r="R73" i="20"/>
  <c r="D64" i="22"/>
  <c r="M56" i="22"/>
  <c r="Q84" i="20"/>
  <c r="R84" i="20"/>
  <c r="M48" i="22"/>
  <c r="Q76" i="20"/>
  <c r="R76" i="20"/>
  <c r="M40" i="22"/>
  <c r="Q68" i="20"/>
  <c r="R68" i="20"/>
  <c r="M55" i="22"/>
  <c r="Q83" i="20"/>
  <c r="R83" i="20"/>
  <c r="M47" i="22"/>
  <c r="Q75" i="20"/>
  <c r="R75" i="20"/>
  <c r="M39" i="22"/>
  <c r="Q67" i="20"/>
  <c r="R67" i="20"/>
  <c r="M54" i="22"/>
  <c r="Q82" i="20"/>
  <c r="R82" i="20"/>
  <c r="M46" i="22"/>
  <c r="Q74" i="20"/>
  <c r="R74" i="20"/>
  <c r="M38" i="22"/>
  <c r="Q66" i="20"/>
  <c r="R66" i="20"/>
  <c r="M52" i="22"/>
  <c r="Q80" i="20"/>
  <c r="R80" i="20"/>
  <c r="M44" i="22"/>
  <c r="Q72" i="20"/>
  <c r="R72" i="20"/>
  <c r="M51" i="22"/>
  <c r="Q79" i="20"/>
  <c r="R79" i="20"/>
  <c r="M43" i="22"/>
  <c r="Q71" i="20"/>
  <c r="R71" i="20"/>
  <c r="M50" i="22"/>
  <c r="Q78" i="20"/>
  <c r="R78" i="20"/>
  <c r="M42" i="22"/>
  <c r="Q70" i="20"/>
  <c r="R70" i="20"/>
  <c r="M57" i="22"/>
  <c r="Q85" i="20"/>
  <c r="R85" i="20"/>
  <c r="M49" i="22"/>
  <c r="Q77" i="20"/>
  <c r="R77" i="20"/>
  <c r="F64" i="22"/>
  <c r="D55" i="22"/>
  <c r="D52" i="22"/>
  <c r="D62" i="22"/>
  <c r="D56" i="22"/>
  <c r="F60" i="22"/>
  <c r="F57" i="22"/>
  <c r="D45" i="22"/>
  <c r="H45" i="22"/>
  <c r="T73" i="20"/>
  <c r="U73" i="20"/>
  <c r="F52" i="22"/>
  <c r="F66" i="22"/>
  <c r="F59" i="22"/>
  <c r="F54" i="22"/>
  <c r="D44" i="22"/>
  <c r="F49" i="22"/>
  <c r="F61" i="22"/>
  <c r="D48" i="22"/>
  <c r="F42" i="22"/>
  <c r="F65" i="22"/>
  <c r="F62" i="22"/>
  <c r="F43" i="22"/>
  <c r="D40" i="22"/>
  <c r="F67" i="22"/>
  <c r="D60" i="22"/>
  <c r="F56" i="22"/>
  <c r="F53" i="22"/>
  <c r="D50" i="22"/>
  <c r="F46" i="22"/>
  <c r="F58" i="22"/>
  <c r="D54" i="22"/>
  <c r="H54" i="22"/>
  <c r="T82" i="20"/>
  <c r="U82" i="20"/>
  <c r="D46" i="22"/>
  <c r="H46" i="22"/>
  <c r="T74" i="20"/>
  <c r="U74" i="20"/>
  <c r="D42" i="22"/>
  <c r="H42" i="22"/>
  <c r="T70" i="20"/>
  <c r="U70" i="20"/>
  <c r="D66" i="22"/>
  <c r="H66" i="22"/>
  <c r="T94" i="20"/>
  <c r="U94" i="20"/>
  <c r="D63" i="22"/>
  <c r="D58" i="22"/>
  <c r="D47" i="22"/>
  <c r="D43" i="22"/>
  <c r="F40" i="22"/>
  <c r="F38" i="22"/>
  <c r="H38" i="22"/>
  <c r="T66" i="20"/>
  <c r="U66" i="20"/>
  <c r="F50" i="22"/>
  <c r="F48" i="22"/>
  <c r="F44" i="22"/>
  <c r="F41" i="22"/>
  <c r="F39" i="22"/>
  <c r="F51" i="22"/>
  <c r="D65" i="22"/>
  <c r="H65" i="22"/>
  <c r="T93" i="20"/>
  <c r="U93" i="20"/>
  <c r="D57" i="22"/>
  <c r="D49" i="22"/>
  <c r="D67" i="22"/>
  <c r="H67" i="22"/>
  <c r="T95" i="20"/>
  <c r="U95" i="20"/>
  <c r="F63" i="22"/>
  <c r="D61" i="22"/>
  <c r="D59" i="22"/>
  <c r="F55" i="22"/>
  <c r="D53" i="22"/>
  <c r="H53" i="22"/>
  <c r="T81" i="20"/>
  <c r="U81" i="20"/>
  <c r="D51" i="22"/>
  <c r="H51" i="22"/>
  <c r="T79" i="20"/>
  <c r="U79" i="20"/>
  <c r="F47" i="22"/>
  <c r="D41" i="22"/>
  <c r="H41" i="22"/>
  <c r="T69" i="20"/>
  <c r="U69" i="20"/>
  <c r="D39" i="22"/>
  <c r="H57" i="22"/>
  <c r="T85" i="20"/>
  <c r="U85" i="20"/>
  <c r="H40" i="22"/>
  <c r="T68" i="20"/>
  <c r="U68" i="20"/>
  <c r="H60" i="22"/>
  <c r="T88" i="20"/>
  <c r="U88" i="20"/>
  <c r="H39" i="22"/>
  <c r="T67" i="20"/>
  <c r="U67" i="20"/>
  <c r="M58" i="22"/>
  <c r="Q86" i="20"/>
  <c r="R86" i="20"/>
  <c r="H52" i="22"/>
  <c r="T80" i="20"/>
  <c r="U80" i="20"/>
  <c r="E39" i="20"/>
  <c r="AP19" i="19"/>
  <c r="E72" i="20"/>
  <c r="E59" i="20"/>
  <c r="F84" i="20"/>
  <c r="G84" i="20"/>
  <c r="H84" i="20"/>
  <c r="E49" i="20"/>
  <c r="E48" i="20"/>
  <c r="E83" i="20"/>
  <c r="E61" i="20"/>
  <c r="G69" i="20"/>
  <c r="H69" i="20"/>
  <c r="F69" i="20"/>
  <c r="E51" i="20"/>
  <c r="E41" i="20"/>
  <c r="E40" i="20"/>
  <c r="H58" i="22"/>
  <c r="T86" i="20"/>
  <c r="U86" i="20"/>
  <c r="E75" i="20"/>
  <c r="E53" i="20"/>
  <c r="E60" i="20"/>
  <c r="E43" i="20"/>
  <c r="H76" i="20"/>
  <c r="F76" i="20"/>
  <c r="G76" i="20"/>
  <c r="G86" i="20"/>
  <c r="F86" i="20"/>
  <c r="H86" i="20"/>
  <c r="H50" i="22"/>
  <c r="T78" i="20"/>
  <c r="U78" i="20"/>
  <c r="H64" i="22"/>
  <c r="T92" i="20"/>
  <c r="U92" i="20"/>
  <c r="E67" i="20"/>
  <c r="E45" i="20"/>
  <c r="E52" i="20"/>
  <c r="E79" i="20"/>
  <c r="G81" i="20"/>
  <c r="H81" i="20"/>
  <c r="F81" i="20"/>
  <c r="H47" i="22"/>
  <c r="T75" i="20"/>
  <c r="U75" i="20"/>
  <c r="H59" i="22"/>
  <c r="T87" i="20"/>
  <c r="U87" i="20"/>
  <c r="H63" i="22"/>
  <c r="T91" i="20"/>
  <c r="U91" i="20"/>
  <c r="H44" i="22"/>
  <c r="T72" i="20"/>
  <c r="U72" i="20"/>
  <c r="H56" i="22"/>
  <c r="T84" i="20"/>
  <c r="U84" i="20"/>
  <c r="E62" i="20"/>
  <c r="E44" i="20"/>
  <c r="E71" i="20"/>
  <c r="G68" i="20"/>
  <c r="F68" i="20"/>
  <c r="H68" i="20"/>
  <c r="G78" i="20"/>
  <c r="H78" i="20"/>
  <c r="F78" i="20"/>
  <c r="H49" i="22"/>
  <c r="T77" i="20"/>
  <c r="U77" i="20"/>
  <c r="H61" i="22"/>
  <c r="T89" i="20"/>
  <c r="U89" i="20"/>
  <c r="H43" i="22"/>
  <c r="T71" i="20"/>
  <c r="U71" i="20"/>
  <c r="H62" i="22"/>
  <c r="T90" i="20"/>
  <c r="U90" i="20"/>
  <c r="E63" i="20"/>
  <c r="E54" i="20"/>
  <c r="F85" i="20"/>
  <c r="H85" i="20"/>
  <c r="G85" i="20"/>
  <c r="E82" i="20"/>
  <c r="E58" i="20"/>
  <c r="G73" i="20"/>
  <c r="H73" i="20"/>
  <c r="F73" i="20"/>
  <c r="E55" i="20"/>
  <c r="E46" i="20"/>
  <c r="E74" i="20"/>
  <c r="E50" i="20"/>
  <c r="E65" i="20"/>
  <c r="E64" i="20"/>
  <c r="H48" i="22"/>
  <c r="T76" i="20"/>
  <c r="U76" i="20"/>
  <c r="H55" i="22"/>
  <c r="T83" i="20"/>
  <c r="U83" i="20"/>
  <c r="E47" i="20"/>
  <c r="E80" i="20"/>
  <c r="F77" i="20"/>
  <c r="H77" i="20"/>
  <c r="G77" i="20"/>
  <c r="E66" i="20"/>
  <c r="E42" i="20"/>
  <c r="E57" i="20"/>
  <c r="E56" i="20"/>
  <c r="F70" i="20"/>
  <c r="H70" i="20"/>
  <c r="G70" i="20"/>
  <c r="M59" i="22"/>
  <c r="Q87" i="20"/>
  <c r="R87" i="20"/>
  <c r="U29" i="20"/>
  <c r="G26" i="25"/>
  <c r="F46" i="20"/>
  <c r="G46" i="20"/>
  <c r="F58" i="20"/>
  <c r="G58" i="20"/>
  <c r="F63" i="20"/>
  <c r="G63" i="20"/>
  <c r="H67" i="20"/>
  <c r="G67" i="20"/>
  <c r="F67" i="20"/>
  <c r="G51" i="20"/>
  <c r="F51" i="20"/>
  <c r="G83" i="20"/>
  <c r="H83" i="20"/>
  <c r="F83" i="20"/>
  <c r="F59" i="20"/>
  <c r="G59" i="20"/>
  <c r="F56" i="20"/>
  <c r="G56" i="20"/>
  <c r="G64" i="20"/>
  <c r="F64" i="20"/>
  <c r="G57" i="20"/>
  <c r="F57" i="20"/>
  <c r="G82" i="20"/>
  <c r="F82" i="20"/>
  <c r="H82" i="20"/>
  <c r="G62" i="20"/>
  <c r="F62" i="20"/>
  <c r="F48" i="20"/>
  <c r="G48" i="20"/>
  <c r="G55" i="20"/>
  <c r="F55" i="20"/>
  <c r="F79" i="20"/>
  <c r="H79" i="20"/>
  <c r="G79" i="20"/>
  <c r="G75" i="20"/>
  <c r="F75" i="20"/>
  <c r="H75" i="20"/>
  <c r="H72" i="20"/>
  <c r="G72" i="20"/>
  <c r="F72" i="20"/>
  <c r="G42" i="20"/>
  <c r="F42" i="20"/>
  <c r="H80" i="20"/>
  <c r="F80" i="20"/>
  <c r="G80" i="20"/>
  <c r="G65" i="20"/>
  <c r="F65" i="20"/>
  <c r="F47" i="20"/>
  <c r="G47" i="20"/>
  <c r="G50" i="20"/>
  <c r="F50" i="20"/>
  <c r="F52" i="20"/>
  <c r="G52" i="20"/>
  <c r="G43" i="20"/>
  <c r="F43" i="20"/>
  <c r="G40" i="20"/>
  <c r="F40" i="20"/>
  <c r="F49" i="20"/>
  <c r="G49" i="20"/>
  <c r="AP20" i="19"/>
  <c r="J22" i="14"/>
  <c r="AP21" i="19"/>
  <c r="J22" i="16"/>
  <c r="G71" i="20"/>
  <c r="F71" i="20"/>
  <c r="H71" i="20"/>
  <c r="F60" i="20"/>
  <c r="G60" i="20"/>
  <c r="H66" i="20"/>
  <c r="G66" i="20"/>
  <c r="F66" i="20"/>
  <c r="H74" i="20"/>
  <c r="F74" i="20"/>
  <c r="G74" i="20"/>
  <c r="G54" i="20"/>
  <c r="F54" i="20"/>
  <c r="G61" i="20"/>
  <c r="F61" i="20"/>
  <c r="F39" i="20"/>
  <c r="E29" i="20"/>
  <c r="G39" i="20"/>
  <c r="F44" i="20"/>
  <c r="G44" i="20"/>
  <c r="G45" i="20"/>
  <c r="F45" i="20"/>
  <c r="F53" i="20"/>
  <c r="G53" i="20"/>
  <c r="G41" i="20"/>
  <c r="F41" i="20"/>
  <c r="H29" i="20"/>
  <c r="L21" i="20"/>
  <c r="G24" i="25"/>
  <c r="M60" i="22"/>
  <c r="Q88" i="20"/>
  <c r="R88" i="20"/>
  <c r="F29" i="20"/>
  <c r="H21" i="20"/>
  <c r="G22" i="25"/>
  <c r="P22" i="16"/>
  <c r="J23" i="16"/>
  <c r="J23" i="14"/>
  <c r="P22" i="14"/>
  <c r="G29" i="20"/>
  <c r="M61" i="22"/>
  <c r="Q89" i="20"/>
  <c r="R89" i="20"/>
  <c r="K21" i="20"/>
  <c r="K22" i="20"/>
  <c r="J21" i="20"/>
  <c r="G23" i="25"/>
  <c r="J24" i="14"/>
  <c r="P23" i="14"/>
  <c r="J24" i="16"/>
  <c r="P23" i="16"/>
  <c r="M62" i="22"/>
  <c r="Q90" i="20"/>
  <c r="R90" i="20"/>
  <c r="J25" i="16"/>
  <c r="P24" i="16"/>
  <c r="L46" i="20"/>
  <c r="M46" i="20"/>
  <c r="J25" i="14"/>
  <c r="P24" i="14"/>
  <c r="M63" i="22"/>
  <c r="Q91" i="20"/>
  <c r="R91" i="20"/>
  <c r="P25" i="14"/>
  <c r="J26" i="14"/>
  <c r="P25" i="16"/>
  <c r="J26" i="16"/>
  <c r="M64" i="22"/>
  <c r="Q92" i="20"/>
  <c r="R92" i="20"/>
  <c r="P26" i="16"/>
  <c r="J27" i="16"/>
  <c r="P26" i="14"/>
  <c r="J27" i="14"/>
  <c r="M65" i="22"/>
  <c r="Q93" i="20"/>
  <c r="R93" i="20"/>
  <c r="J28" i="14"/>
  <c r="P27" i="14"/>
  <c r="J28" i="16"/>
  <c r="P27" i="16"/>
  <c r="M67" i="22"/>
  <c r="Q95" i="20"/>
  <c r="R95" i="20"/>
  <c r="M66" i="22"/>
  <c r="Q94" i="20"/>
  <c r="R94" i="20"/>
  <c r="J29" i="16"/>
  <c r="P28" i="16"/>
  <c r="P28" i="14"/>
  <c r="J29" i="14"/>
  <c r="R29" i="20"/>
  <c r="G25" i="25"/>
  <c r="J30" i="14"/>
  <c r="P29" i="14"/>
  <c r="J30" i="16"/>
  <c r="P29" i="16"/>
  <c r="L20" i="20"/>
  <c r="L22" i="20"/>
  <c r="J31" i="16"/>
  <c r="P30" i="16"/>
  <c r="P30" i="14"/>
  <c r="J31" i="14"/>
  <c r="J32" i="14"/>
  <c r="P31" i="14"/>
  <c r="J32" i="16"/>
  <c r="P31" i="16"/>
  <c r="P32" i="16"/>
  <c r="J34" i="16"/>
  <c r="J33" i="14"/>
  <c r="P32" i="14"/>
  <c r="P33" i="14"/>
  <c r="J34" i="14"/>
  <c r="P34" i="16"/>
  <c r="J35" i="16"/>
  <c r="P34" i="14"/>
  <c r="J35" i="14"/>
  <c r="J36" i="16"/>
  <c r="P35" i="16"/>
  <c r="P36" i="16"/>
  <c r="J38" i="16"/>
  <c r="I18" i="16"/>
  <c r="P35" i="14"/>
  <c r="J36" i="14"/>
  <c r="P36" i="14"/>
  <c r="J37" i="14"/>
  <c r="J39" i="16"/>
  <c r="P38" i="16"/>
  <c r="P39" i="16"/>
  <c r="J40" i="16"/>
  <c r="J38" i="14"/>
  <c r="P37" i="14"/>
  <c r="J39" i="14"/>
  <c r="P38" i="14"/>
  <c r="P40" i="16"/>
  <c r="J41" i="16"/>
  <c r="J42" i="16"/>
  <c r="J43" i="16"/>
  <c r="P42" i="16"/>
  <c r="J40" i="14"/>
  <c r="P39" i="14"/>
  <c r="J41" i="14"/>
  <c r="P40" i="14"/>
  <c r="J44" i="16"/>
  <c r="P43" i="16"/>
  <c r="P44" i="16"/>
  <c r="L59" i="20"/>
  <c r="M59" i="20"/>
  <c r="J45" i="16"/>
  <c r="J42" i="14"/>
  <c r="P41" i="14"/>
  <c r="J43" i="14"/>
  <c r="P42" i="14"/>
  <c r="P45" i="16"/>
  <c r="L50" i="20"/>
  <c r="M50" i="20"/>
  <c r="J46" i="16"/>
  <c r="J47" i="16"/>
  <c r="J48" i="16"/>
  <c r="J49" i="16"/>
  <c r="P47" i="16"/>
  <c r="J44" i="14"/>
  <c r="P43" i="14"/>
  <c r="J45" i="14"/>
  <c r="P44" i="14"/>
  <c r="L41" i="20"/>
  <c r="M41" i="20"/>
  <c r="I17" i="16"/>
  <c r="J50" i="16"/>
  <c r="P49" i="16"/>
  <c r="L39" i="20"/>
  <c r="M39" i="20"/>
  <c r="J51" i="16"/>
  <c r="P50" i="16"/>
  <c r="L42" i="20"/>
  <c r="M42" i="20"/>
  <c r="J46" i="14"/>
  <c r="P45" i="14"/>
  <c r="J47" i="14"/>
  <c r="P46" i="14"/>
  <c r="J52" i="16"/>
  <c r="P52" i="16"/>
  <c r="P51" i="16"/>
  <c r="I16" i="16"/>
  <c r="L44" i="20"/>
  <c r="M44" i="20"/>
  <c r="L45" i="20"/>
  <c r="M45" i="20"/>
  <c r="I19" i="16"/>
  <c r="J48" i="14"/>
  <c r="P47" i="14"/>
  <c r="P48" i="14"/>
  <c r="J49" i="14"/>
  <c r="L19" i="16"/>
  <c r="M29" i="20"/>
  <c r="J20" i="20"/>
  <c r="G21" i="25"/>
  <c r="J22" i="20"/>
  <c r="P49" i="14"/>
  <c r="J50" i="14"/>
  <c r="P50" i="14"/>
  <c r="J51" i="14"/>
  <c r="J52" i="14"/>
  <c r="P51" i="14"/>
  <c r="J53" i="14"/>
  <c r="P52" i="14"/>
  <c r="J54" i="14"/>
  <c r="P53" i="14"/>
  <c r="P54" i="14"/>
  <c r="J55" i="14"/>
  <c r="J56" i="14"/>
  <c r="J57" i="14"/>
  <c r="P55" i="14"/>
  <c r="J58" i="14"/>
  <c r="P57" i="14"/>
  <c r="J59" i="14"/>
  <c r="P58" i="14"/>
  <c r="P59" i="14"/>
  <c r="J60" i="14"/>
  <c r="P60" i="14"/>
  <c r="J61" i="14"/>
  <c r="P61" i="14"/>
  <c r="J62" i="14"/>
  <c r="P62" i="14"/>
  <c r="J63" i="14"/>
  <c r="P63" i="14"/>
  <c r="J64" i="14"/>
  <c r="J65" i="14"/>
  <c r="P64" i="14"/>
  <c r="P65" i="14"/>
  <c r="J66" i="14"/>
  <c r="J67" i="14"/>
  <c r="P66" i="14"/>
  <c r="J68" i="14"/>
  <c r="P67" i="14"/>
  <c r="P68" i="14"/>
  <c r="J69" i="14"/>
  <c r="P69" i="14"/>
  <c r="J70" i="14"/>
  <c r="P70" i="14"/>
  <c r="J71" i="14"/>
  <c r="P71" i="14"/>
  <c r="J72" i="14"/>
  <c r="J73" i="14"/>
  <c r="P72" i="14"/>
  <c r="P73" i="14"/>
  <c r="J74" i="14"/>
  <c r="P74" i="14"/>
  <c r="J75" i="14"/>
  <c r="J76" i="14"/>
  <c r="P75" i="14"/>
  <c r="J77" i="14"/>
  <c r="P76" i="14"/>
  <c r="J78" i="14"/>
  <c r="P77" i="14"/>
  <c r="P78" i="14"/>
  <c r="J79" i="14"/>
  <c r="J80" i="14"/>
  <c r="P79" i="14"/>
  <c r="J81" i="14"/>
  <c r="P80" i="14"/>
  <c r="J82" i="14"/>
  <c r="P81" i="14"/>
  <c r="J83" i="14"/>
  <c r="P82" i="14"/>
  <c r="J84" i="14"/>
  <c r="P83" i="14"/>
  <c r="J85" i="14"/>
  <c r="P84" i="14"/>
  <c r="J86" i="14"/>
  <c r="P85" i="14"/>
  <c r="J87" i="14"/>
  <c r="P86" i="14"/>
  <c r="J88" i="14"/>
  <c r="P87" i="14"/>
  <c r="P88" i="14"/>
  <c r="J89" i="14"/>
  <c r="J90" i="14"/>
  <c r="P89" i="14"/>
  <c r="P90" i="14"/>
  <c r="J91" i="14"/>
  <c r="J92" i="14"/>
  <c r="P91" i="14"/>
  <c r="J93" i="14"/>
  <c r="P92" i="14"/>
  <c r="J94" i="14"/>
  <c r="P93" i="14"/>
  <c r="J95" i="14"/>
  <c r="P94" i="14"/>
  <c r="P95" i="14"/>
  <c r="J96" i="14"/>
  <c r="J97" i="14"/>
  <c r="P96" i="14"/>
  <c r="J98" i="14"/>
  <c r="P97" i="14"/>
  <c r="J99" i="14"/>
  <c r="P98" i="14"/>
  <c r="P99" i="14"/>
  <c r="J100" i="14"/>
  <c r="P100" i="14"/>
  <c r="J101" i="14"/>
  <c r="P101" i="14"/>
  <c r="J102" i="14"/>
  <c r="P102" i="14"/>
  <c r="J103" i="14"/>
  <c r="J104" i="14"/>
  <c r="P103" i="14"/>
  <c r="J105" i="14"/>
  <c r="P104" i="14"/>
  <c r="J106" i="14"/>
  <c r="P105" i="14"/>
  <c r="P106" i="14"/>
  <c r="J107" i="14"/>
  <c r="J108" i="14"/>
  <c r="P107" i="14"/>
  <c r="J109" i="14"/>
  <c r="P108" i="14"/>
  <c r="J110" i="14"/>
  <c r="P109" i="14"/>
  <c r="J111" i="14"/>
  <c r="P110" i="14"/>
  <c r="J112" i="14"/>
  <c r="P111" i="14"/>
  <c r="P112" i="14"/>
  <c r="J113" i="14"/>
  <c r="J114" i="14"/>
  <c r="P113" i="14"/>
  <c r="P114" i="14"/>
  <c r="J115" i="14"/>
  <c r="J116" i="14"/>
  <c r="P115" i="14"/>
  <c r="P116" i="14"/>
  <c r="J117" i="14"/>
  <c r="J118" i="14"/>
  <c r="P117" i="14"/>
  <c r="P118" i="14"/>
  <c r="J119" i="14"/>
  <c r="J120" i="14"/>
  <c r="P119" i="14"/>
  <c r="P120" i="14"/>
  <c r="J121" i="14"/>
  <c r="J122" i="14"/>
  <c r="P121" i="14"/>
  <c r="P122" i="14"/>
  <c r="J123" i="14"/>
  <c r="P123" i="14"/>
  <c r="J124" i="14"/>
  <c r="P124" i="14"/>
  <c r="J125" i="14"/>
  <c r="J126" i="14"/>
  <c r="P125" i="14"/>
  <c r="J127" i="14"/>
  <c r="P126" i="14"/>
  <c r="P127" i="14"/>
  <c r="J128" i="14"/>
  <c r="P128" i="14"/>
  <c r="J129" i="14"/>
  <c r="P129" i="14"/>
  <c r="J130" i="14"/>
  <c r="P130" i="14"/>
  <c r="J131" i="14"/>
  <c r="J132" i="14"/>
  <c r="P131" i="14"/>
  <c r="P132" i="14"/>
  <c r="J133" i="14"/>
  <c r="J134" i="14"/>
  <c r="P133" i="14"/>
  <c r="P134" i="14"/>
  <c r="J135" i="14"/>
  <c r="P135" i="14"/>
  <c r="J136" i="14"/>
  <c r="P136" i="14"/>
  <c r="J137" i="14"/>
  <c r="J138" i="14"/>
  <c r="J139" i="14"/>
  <c r="P138" i="14"/>
  <c r="J140" i="14"/>
  <c r="P139" i="14"/>
  <c r="J141" i="14"/>
  <c r="P140" i="14"/>
  <c r="P141" i="14"/>
  <c r="J142" i="14"/>
  <c r="J143" i="14"/>
  <c r="P142" i="14"/>
  <c r="P143" i="14"/>
  <c r="J144" i="14"/>
  <c r="J145" i="14"/>
  <c r="J146" i="14"/>
  <c r="P145" i="14"/>
  <c r="J147" i="14"/>
  <c r="P146" i="14"/>
  <c r="J148" i="14"/>
  <c r="P147" i="14"/>
  <c r="J149" i="14"/>
  <c r="P148" i="14"/>
  <c r="P149" i="14"/>
  <c r="J150" i="14"/>
  <c r="P150" i="14"/>
  <c r="J151" i="14"/>
  <c r="P151" i="14"/>
  <c r="I18" i="14"/>
  <c r="L18" i="16"/>
  <c r="P791" i="14"/>
  <c r="J39" i="20"/>
  <c r="K39" i="20"/>
  <c r="K29" i="20"/>
  <c r="H20" i="20"/>
  <c r="I16" i="14"/>
  <c r="L16" i="16"/>
  <c r="I17" i="14"/>
  <c r="L17" i="16"/>
  <c r="H22" i="20"/>
  <c r="C22" i="20"/>
  <c r="G19" i="25"/>
  <c r="J8" i="25"/>
  <c r="J10" i="25"/>
  <c r="G20"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F19" authorId="0" shapeId="0" xr:uid="{00000000-0006-0000-0300-000001000000}">
      <text>
        <r>
          <rPr>
            <b/>
            <sz val="9"/>
            <color indexed="81"/>
            <rFont val="Tahoma"/>
            <family val="2"/>
          </rPr>
          <t>IPART:</t>
        </r>
        <r>
          <rPr>
            <sz val="9"/>
            <color indexed="81"/>
            <rFont val="Tahoma"/>
            <family val="2"/>
          </rPr>
          <t xml:space="preserve">
Either enter the Headworks/ET value calculated for the relevant service and system, or link to your agency's workings on the Headwork assets worksheet.</t>
        </r>
      </text>
    </comment>
    <comment ref="G19" authorId="0" shapeId="0" xr:uid="{00000000-0006-0000-0300-000002000000}">
      <text>
        <r>
          <rPr>
            <b/>
            <sz val="9"/>
            <color indexed="81"/>
            <rFont val="Tahoma"/>
            <family val="2"/>
          </rPr>
          <t>IPART:</t>
        </r>
        <r>
          <rPr>
            <sz val="9"/>
            <color indexed="81"/>
            <rFont val="Tahoma"/>
            <family val="2"/>
          </rPr>
          <t xml:space="preserve">
Either enter the Scheme cost allocation/ET value calculated for the relevant service and system, or link to your agency's workings on the Scheme cost allocations worksheet.</t>
        </r>
      </text>
    </comment>
    <comment ref="F22" authorId="0" shapeId="0" xr:uid="{00000000-0006-0000-0300-000003000000}">
      <text>
        <r>
          <rPr>
            <b/>
            <sz val="9"/>
            <color indexed="81"/>
            <rFont val="Tahoma"/>
            <family val="2"/>
          </rPr>
          <t>IPART:</t>
        </r>
        <r>
          <rPr>
            <sz val="9"/>
            <color indexed="81"/>
            <rFont val="Tahoma"/>
            <family val="2"/>
          </rPr>
          <t xml:space="preserve">
The headwork cost per ET has been separated from the main equation given that it will apply to all DSP's in the system for which it is calculated.  This separation reduces the need to capture data, and calculate headworks for each DSP. The relevant assets would be captured in the K1/L1 and K2/L2 sections of the maximum price equation.</t>
        </r>
      </text>
    </comment>
    <comment ref="Q38" authorId="0" shapeId="0" xr:uid="{00000000-0006-0000-0300-000004000000}">
      <text>
        <r>
          <rPr>
            <b/>
            <sz val="9"/>
            <color indexed="81"/>
            <rFont val="Tahoma"/>
            <family val="2"/>
          </rPr>
          <t>IPART:</t>
        </r>
        <r>
          <rPr>
            <sz val="9"/>
            <color indexed="81"/>
            <rFont val="Tahoma"/>
            <family val="2"/>
          </rPr>
          <t xml:space="preserve">
Either enter the R</t>
        </r>
        <r>
          <rPr>
            <vertAlign val="subscript"/>
            <sz val="9"/>
            <color indexed="81"/>
            <rFont val="Tahoma"/>
            <family val="2"/>
          </rPr>
          <t>i</t>
        </r>
        <r>
          <rPr>
            <sz val="9"/>
            <color indexed="81"/>
            <rFont val="Tahoma"/>
            <family val="2"/>
          </rPr>
          <t xml:space="preserve"> values or link to your agency's workings on the 'Reduction amount' worksheet.</t>
        </r>
      </text>
    </comment>
    <comment ref="T38" authorId="0" shapeId="0" xr:uid="{00000000-0006-0000-0300-000005000000}">
      <text>
        <r>
          <rPr>
            <b/>
            <sz val="9"/>
            <color indexed="81"/>
            <rFont val="Tahoma"/>
            <family val="2"/>
          </rPr>
          <t>IPART:</t>
        </r>
        <r>
          <rPr>
            <sz val="9"/>
            <color indexed="81"/>
            <rFont val="Tahoma"/>
            <family val="2"/>
          </rPr>
          <t xml:space="preserve">
Either enter the C</t>
        </r>
        <r>
          <rPr>
            <vertAlign val="subscript"/>
            <sz val="9"/>
            <color indexed="81"/>
            <rFont val="Tahoma"/>
            <family val="2"/>
          </rPr>
          <t>i</t>
        </r>
        <r>
          <rPr>
            <sz val="9"/>
            <color indexed="81"/>
            <rFont val="Tahoma"/>
            <family val="2"/>
          </rPr>
          <t xml:space="preserve"> values or link to your agency's workings on the 'Reduction amount'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H23" authorId="0" shapeId="0" xr:uid="{00000000-0006-0000-0400-000001000000}">
      <text>
        <r>
          <rPr>
            <b/>
            <sz val="9"/>
            <color indexed="81"/>
            <rFont val="Tahoma"/>
            <family val="2"/>
          </rPr>
          <t>IPART:</t>
        </r>
        <r>
          <rPr>
            <sz val="9"/>
            <color indexed="81"/>
            <rFont val="Tahoma"/>
            <family val="2"/>
          </rPr>
          <t xml:space="preserve">
These dates have been set in the 2018 Maximum Price Determination, and should not be changed.</t>
        </r>
      </text>
    </comment>
    <comment ref="H30" authorId="0" shapeId="0" xr:uid="{00000000-0006-0000-0400-000002000000}">
      <text>
        <r>
          <rPr>
            <b/>
            <sz val="9"/>
            <color indexed="81"/>
            <rFont val="Tahoma"/>
            <family val="2"/>
          </rPr>
          <t>IPART:</t>
        </r>
        <r>
          <rPr>
            <sz val="9"/>
            <color indexed="81"/>
            <rFont val="Tahoma"/>
            <family val="2"/>
          </rPr>
          <t xml:space="preserve">
The discount rate for pre-1996 assets and ETs has been set in the 2018 Maximum Price Determination, and should not be changed.</t>
        </r>
      </text>
    </comment>
    <comment ref="H32" authorId="0" shapeId="0" xr:uid="{00000000-0006-0000-0400-000003000000}">
      <text>
        <r>
          <rPr>
            <b/>
            <sz val="9"/>
            <color indexed="81"/>
            <rFont val="Tahoma"/>
            <family val="2"/>
          </rPr>
          <t>IPART:</t>
        </r>
        <r>
          <rPr>
            <sz val="9"/>
            <color indexed="81"/>
            <rFont val="Tahoma"/>
            <family val="2"/>
          </rPr>
          <t xml:space="preserve">
The discount rates for post-1996 commissioned and uncommissioned assets and ETs should be the real pre-tax WACC used in the agencies prevailing water and sewerage price determination.</t>
        </r>
      </text>
    </comment>
    <comment ref="H36" authorId="0" shapeId="0" xr:uid="{00000000-0006-0000-0400-000004000000}">
      <text>
        <r>
          <rPr>
            <b/>
            <sz val="9"/>
            <color indexed="81"/>
            <rFont val="Tahoma"/>
            <family val="2"/>
          </rPr>
          <t>IPART:</t>
        </r>
        <r>
          <rPr>
            <sz val="9"/>
            <color indexed="81"/>
            <rFont val="Tahoma"/>
            <family val="2"/>
          </rPr>
          <t xml:space="preserve">
This is the average residential consumption from the prevailing price review.</t>
        </r>
      </text>
    </comment>
    <comment ref="H38" authorId="0" shapeId="0" xr:uid="{00000000-0006-0000-0400-000005000000}">
      <text>
        <r>
          <rPr>
            <b/>
            <sz val="9"/>
            <color indexed="81"/>
            <rFont val="Tahoma"/>
            <family val="2"/>
          </rPr>
          <t>IPART:</t>
        </r>
        <r>
          <rPr>
            <sz val="9"/>
            <color indexed="81"/>
            <rFont val="Tahoma"/>
            <family val="2"/>
          </rPr>
          <t xml:space="preserve">
The forecast period for ETs and the net operating result has been set in the 2018 Maximum Price Determination, and should not be changed.</t>
        </r>
      </text>
    </comment>
    <comment ref="I40" authorId="0" shapeId="0" xr:uid="{00000000-0006-0000-0400-000006000000}">
      <text>
        <r>
          <rPr>
            <b/>
            <sz val="9"/>
            <color indexed="81"/>
            <rFont val="Tahoma"/>
            <family val="2"/>
          </rPr>
          <t>IPART:</t>
        </r>
        <r>
          <rPr>
            <sz val="9"/>
            <color indexed="81"/>
            <rFont val="Tahoma"/>
            <family val="2"/>
          </rPr>
          <t xml:space="preserve">
All prices and costs should be entered into the template in $ of this financial year.</t>
        </r>
      </text>
    </comment>
    <comment ref="H42" authorId="0" shapeId="0" xr:uid="{00000000-0006-0000-0400-000007000000}">
      <text>
        <r>
          <rPr>
            <b/>
            <sz val="9"/>
            <color indexed="81"/>
            <rFont val="Tahoma"/>
            <family val="2"/>
          </rPr>
          <t>IPART:</t>
        </r>
        <r>
          <rPr>
            <sz val="9"/>
            <color indexed="81"/>
            <rFont val="Tahoma"/>
            <family val="2"/>
          </rPr>
          <t xml:space="preserve">
All prices and costs entered into the IPART designated input ranges in this template must be on this basis.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5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5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5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6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6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6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7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7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7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AG8" authorId="0" shapeId="0" xr:uid="{00000000-0006-0000-0800-000001000000}">
      <text>
        <r>
          <rPr>
            <b/>
            <sz val="9"/>
            <color indexed="81"/>
            <rFont val="Tahoma"/>
            <family val="2"/>
          </rPr>
          <t>IPART:</t>
        </r>
        <r>
          <rPr>
            <sz val="9"/>
            <color indexed="81"/>
            <rFont val="Tahoma"/>
            <family val="2"/>
          </rPr>
          <t xml:space="preserve">
An agency can enter data for up to 8 different non-residential customer types.</t>
        </r>
      </text>
    </comment>
    <comment ref="C12" authorId="0" shapeId="0" xr:uid="{00000000-0006-0000-0800-000002000000}">
      <text>
        <r>
          <rPr>
            <b/>
            <sz val="9"/>
            <color indexed="81"/>
            <rFont val="Tahoma"/>
            <family val="2"/>
          </rPr>
          <t>IPART:</t>
        </r>
        <r>
          <rPr>
            <sz val="9"/>
            <color indexed="81"/>
            <rFont val="Tahoma"/>
            <family val="2"/>
          </rPr>
          <t xml:space="preserve">
For 1995-96, only enter new ETs from
1 January 1996 to 30 June 1996 for all property types for which ETs can be entered on this worksheet.</t>
        </r>
      </text>
    </comment>
  </commentList>
</comments>
</file>

<file path=xl/sharedStrings.xml><?xml version="1.0" encoding="utf-8"?>
<sst xmlns="http://schemas.openxmlformats.org/spreadsheetml/2006/main" count="911" uniqueCount="422">
  <si>
    <t>MAXIMUM PRICE TEMPLATE (for connecting to a water supply, sewerage, or drainage system)</t>
  </si>
  <si>
    <t>MODELLER:</t>
  </si>
  <si>
    <t>Greg McLennan</t>
  </si>
  <si>
    <t>email</t>
  </si>
  <si>
    <t>greg_mclennan@ipart.nsw.gov.au</t>
  </si>
  <si>
    <t>WHAT IS THE PURPOSE OF MODEL?</t>
  </si>
  <si>
    <t>This workbook is a template that agencies can use to calculate the maximum price for connecting to a water supply, sewerage, or drainage system (referred to as maximum price from here).  The use of this template is voluntary.</t>
  </si>
  <si>
    <t>Agencies can also use the template to calculate the maximum price for connecting a New Development to a Recycled Water System (where that Recycled Water System is a Least Cost Servicing Solution) or to calculate the Ordinary Developer Charge component of the maximum price for connecting a New Development to a Recycled Water System (where that Recycled Water System is not a Least Cost Servicing Solution).</t>
  </si>
  <si>
    <t>HOW DOES THE TEMPLATE WORK?</t>
  </si>
  <si>
    <t>What's in the Template?</t>
  </si>
  <si>
    <t>Calculation of the asset component of the maximum price (excluding headworks and scheme cost allocation).</t>
  </si>
  <si>
    <t>The key worksheets requiring inputs to calculate the asset related components are:</t>
  </si>
  <si>
    <t>&gt;</t>
  </si>
  <si>
    <t>Reduction amount</t>
  </si>
  <si>
    <t>A separate worksheet has been provided to calculate the reduction amount:</t>
  </si>
  <si>
    <t>Headworks</t>
  </si>
  <si>
    <t>A separate worksheet has been provided to capture headworks assets:</t>
  </si>
  <si>
    <t>The purpose of this worksheet is to record, at a high level, the underlying data that are used to calculate the Headworks cost per ET.</t>
  </si>
  <si>
    <t>As headwork costs per ET apply to all DSP areas within a system, presenting the headwork calculations separately will provide additional transparency, and ensure consistency between DSP areas in relation to headworks.</t>
  </si>
  <si>
    <t>Scheme cost allocation</t>
  </si>
  <si>
    <t>A separate worksheet has been provided to capture scheme cost allocation:</t>
  </si>
  <si>
    <t>The purpose of this worksheet is to record, at a high level, the underlying data that are used to calculate the Scheme cost allocation per ET.</t>
  </si>
  <si>
    <t>Maximum price calculations and summary of outputs</t>
  </si>
  <si>
    <t>The maximum price is calculated and the results are summarised in:</t>
  </si>
  <si>
    <t>The separate components for the maximum price equation are presented in both the worksheets.</t>
  </si>
  <si>
    <t>Asset inclusions and exclusions</t>
  </si>
  <si>
    <t>The final worksheet provides information from the Determination about asset inclusions and exclusions.</t>
  </si>
  <si>
    <t>Details on the maximum price methodology can be found on IPART's website at:</t>
  </si>
  <si>
    <t>IPART - Developer charges and backlog sewerage charges for metropolitan water agencies 2017</t>
  </si>
  <si>
    <t>IPART - Maximum prices for connecting to a recycled water system - July 2019</t>
  </si>
  <si>
    <t>The above two determinations must be read in conjunction to one another.</t>
  </si>
  <si>
    <t>COLOUR CODE  &lt;Required for all models/spreadsheets. See 'Examples' for the full list of potential colour codes&gt;</t>
  </si>
  <si>
    <t>This model uses standard IPART colour coding:</t>
  </si>
  <si>
    <t>Blue cells indicate inputs</t>
  </si>
  <si>
    <t>Light blue cells indicate inputs with default values</t>
  </si>
  <si>
    <r>
      <t xml:space="preserve">default values are shown in </t>
    </r>
    <r>
      <rPr>
        <i/>
        <sz val="9"/>
        <rFont val="Arial"/>
        <family val="2"/>
      </rPr>
      <t>italics</t>
    </r>
    <r>
      <rPr>
        <sz val="9"/>
        <rFont val="Arial"/>
        <family val="2"/>
      </rPr>
      <t xml:space="preserve"> next to or below the light blue cells</t>
    </r>
  </si>
  <si>
    <t>Light grey - inputs not required, cells should be left unchanged.</t>
  </si>
  <si>
    <t>Blue font indicates IPART hard-coded values used that should not be changed</t>
  </si>
  <si>
    <t>Key outputs</t>
  </si>
  <si>
    <t>Pink font indicates calculation checks</t>
  </si>
  <si>
    <t>Red indicates assumptions made in calculations</t>
  </si>
  <si>
    <t>red double line means formula changes across a row or down a column</t>
  </si>
  <si>
    <t>JOURNAL OF CHANGES</t>
  </si>
  <si>
    <t>Reason for change</t>
  </si>
  <si>
    <t>Description of change</t>
  </si>
  <si>
    <t>Place change made</t>
  </si>
  <si>
    <t>Template Version</t>
  </si>
  <si>
    <t>Date change made</t>
  </si>
  <si>
    <t>Align template with Determination</t>
  </si>
  <si>
    <t>Limit ET profile used in calculating reduction amount per ET to 30 forecast years only. Previously extended to 1995-96.</t>
  </si>
  <si>
    <t>Column H, MP Calculations worksheet</t>
  </si>
  <si>
    <t>V1.01</t>
  </si>
  <si>
    <t>Removed the time limit for uncommissioned assets.  Previous time limit was to year 30.</t>
  </si>
  <si>
    <t>Columns N &amp; O, MP Calculations worksheet</t>
  </si>
  <si>
    <t>Expansion to account for the Maximum prices for connecting to a recycled water system Determination July 2019.</t>
  </si>
  <si>
    <t xml:space="preserve">Include an additional input "Scheme costs allocation per ET" to allow for cost offsets for non-least cost recycled water schemes to be incorporated.  </t>
  </si>
  <si>
    <t xml:space="preserve"> G22, MP Calculations worksheet
Scheme cost allocation worksheet</t>
  </si>
  <si>
    <t>Summary of maximum price for a new development</t>
  </si>
  <si>
    <t>Where the New Development is connecting to a Recycled Water System, the variables may be modified by Schedule 1 or Schedule 2 of the Recycled Water Developer Charges Determination.</t>
  </si>
  <si>
    <t>of which:</t>
  </si>
  <si>
    <t>is the headworks charge</t>
  </si>
  <si>
    <t>Maximum price formula:</t>
  </si>
  <si>
    <t>MP</t>
  </si>
  <si>
    <t>=</t>
  </si>
  <si>
    <t>maximum price per equivalent tenement to be services by the connection.</t>
  </si>
  <si>
    <r>
      <t>K</t>
    </r>
    <r>
      <rPr>
        <vertAlign val="subscript"/>
        <sz val="9"/>
        <rFont val="Arial"/>
        <family val="2"/>
      </rPr>
      <t>1</t>
    </r>
  </si>
  <si>
    <t>the Capital Charge for the Pre-1996 Assets that will serve the relevant DSP Area, calculated in accordance with clause 2.3(a) of Schedule 5 of the Determination and set out in the DSP.</t>
  </si>
  <si>
    <r>
      <t>K</t>
    </r>
    <r>
      <rPr>
        <vertAlign val="subscript"/>
        <sz val="9"/>
        <rFont val="Arial"/>
        <family val="2"/>
      </rPr>
      <t>2</t>
    </r>
  </si>
  <si>
    <t>the Capital Charge for the Post-1996 Assets that will serve the relevant DSP Area, calculated in accordance with clause 2.3(b) and 2.3(c) of Schedule 5 of the Determination and set out in the DSP.</t>
  </si>
  <si>
    <r>
      <t>PV(L</t>
    </r>
    <r>
      <rPr>
        <vertAlign val="subscript"/>
        <sz val="9"/>
        <rFont val="Arial"/>
        <family val="2"/>
      </rPr>
      <t>1</t>
    </r>
    <r>
      <rPr>
        <sz val="9"/>
        <rFont val="Arial"/>
        <family val="2"/>
      </rPr>
      <t>)</t>
    </r>
  </si>
  <si>
    <t>the Present Value of the Agency’s estimate of the number of Equivalent Tenements in the relevant DSP for Pre-1996 Assets, calculated in accordance with clause 3.2(a) of Schedule 5 of the Determination and set out in the relevant DSP.</t>
  </si>
  <si>
    <r>
      <t>PV(L</t>
    </r>
    <r>
      <rPr>
        <vertAlign val="subscript"/>
        <sz val="9"/>
        <rFont val="Arial"/>
        <family val="2"/>
      </rPr>
      <t>2</t>
    </r>
    <r>
      <rPr>
        <sz val="9"/>
        <rFont val="Arial"/>
        <family val="2"/>
      </rPr>
      <t>)</t>
    </r>
  </si>
  <si>
    <t>the Present Value of the Agency’s estimate of the number of Equivalent Tenements for Post-1996 Assets, calculated in accordance with clause 3.2(b) of Schedule 5 of the Determination and set out in the relevant DSP.</t>
  </si>
  <si>
    <r>
      <t>PV(L</t>
    </r>
    <r>
      <rPr>
        <vertAlign val="subscript"/>
        <sz val="9"/>
        <rFont val="Arial"/>
        <family val="2"/>
      </rPr>
      <t>3</t>
    </r>
    <r>
      <rPr>
        <sz val="9"/>
        <rFont val="Arial"/>
        <family val="2"/>
      </rPr>
      <t>)</t>
    </r>
  </si>
  <si>
    <t>the Present Value of the Agency’s estimate of the number of Equivalent Tenements for the Reduction Amount, calculated in accordance with clause 3.2(c) of Schedule 5 of the Determination and set out in the relevant DSP.</t>
  </si>
  <si>
    <r>
      <t>R</t>
    </r>
    <r>
      <rPr>
        <vertAlign val="subscript"/>
        <sz val="9"/>
        <rFont val="Arial"/>
        <family val="2"/>
      </rPr>
      <t>i</t>
    </r>
  </si>
  <si>
    <r>
      <t xml:space="preserve">the Agency’s estimate of the future periodic revenues to be received from new customers in the relevant DSP Area in each financial year </t>
    </r>
    <r>
      <rPr>
        <i/>
        <sz val="9"/>
        <rFont val="Arial"/>
        <family val="2"/>
      </rPr>
      <t>i</t>
    </r>
    <r>
      <rPr>
        <sz val="9"/>
        <rFont val="Arial"/>
        <family val="2"/>
      </rPr>
      <t>, estimated in accordance with clause 4 of Schedule 5 of the Determination and set out in the relevant DSP.</t>
    </r>
  </si>
  <si>
    <r>
      <t>C</t>
    </r>
    <r>
      <rPr>
        <vertAlign val="subscript"/>
        <sz val="9"/>
        <rFont val="Arial"/>
        <family val="2"/>
      </rPr>
      <t>i</t>
    </r>
  </si>
  <si>
    <r>
      <t xml:space="preserve">the Agency’s estimate of the future operating, maintenance and administration costs of servicing all new customers in the DSP Area in each financial year </t>
    </r>
    <r>
      <rPr>
        <i/>
        <sz val="9"/>
        <rFont val="Arial"/>
        <family val="2"/>
      </rPr>
      <t>i</t>
    </r>
    <r>
      <rPr>
        <sz val="9"/>
        <rFont val="Arial"/>
        <family val="2"/>
      </rPr>
      <t xml:space="preserve"> (excluding, for the avoidance of doubt, any Capital Costs), estimated in accordance with clause 5 of Schedule 5 of the Determination and set out in the relevant DSP.</t>
    </r>
  </si>
  <si>
    <t>n</t>
  </si>
  <si>
    <t>is the financial year which is 30 years from the financial year in which the relevant DSP was registered with IPART under clause 2(e) of Schedule 4 of the Determination.</t>
  </si>
  <si>
    <t xml:space="preserve"> </t>
  </si>
  <si>
    <t>CALCULATION OF MAXIMUM PRICE</t>
  </si>
  <si>
    <t>Index</t>
  </si>
  <si>
    <t>Row</t>
  </si>
  <si>
    <t>Maximum price</t>
  </si>
  <si>
    <t>Headworks costs per ET</t>
  </si>
  <si>
    <t>Scheme cost allocation per ET</t>
  </si>
  <si>
    <t>Pre-1996 assets</t>
  </si>
  <si>
    <t>Post-1996 commissioned assets</t>
  </si>
  <si>
    <t>Post-1996 uncommissioned assets</t>
  </si>
  <si>
    <t>Reduction for expected revenue and operation costs</t>
  </si>
  <si>
    <t>Costs to be recovered via DSP</t>
  </si>
  <si>
    <t>ETs</t>
  </si>
  <si>
    <t>Value per ET</t>
  </si>
  <si>
    <t>Sum of new ETs (not discounted)</t>
  </si>
  <si>
    <t>Sum of PV of new ETs (discounted at pre-1996 asset discount rate)</t>
  </si>
  <si>
    <t>Sum of PV of new ETs (discounted at post-1996 asset discount rate)</t>
  </si>
  <si>
    <t>Sum of PV of new ETs (discounted at expected revenue and costs discount rate)</t>
  </si>
  <si>
    <t>Sum of PV of Pre-1996 commissioned assets (discounted at pre-1996 asset discount rate)</t>
  </si>
  <si>
    <t>Sum of PV of Post-1996 commissioned assets (discounted at post-1996 asset discount rate)</t>
  </si>
  <si>
    <t>Sum of PV of Post-1996 uncommissioned assets (discounted at post-1996 asset discount rate)</t>
  </si>
  <si>
    <t>Sum of PV of revenue for new customers (discounted at expected future revenue and costs discount rate)</t>
  </si>
  <si>
    <t>Sum of PV of costs for new ETs (discounted at expected future revenue and costs discount rate)</t>
  </si>
  <si>
    <t>CPI</t>
  </si>
  <si>
    <t>June 2020-21</t>
  </si>
  <si>
    <t>Actual</t>
  </si>
  <si>
    <t>June 2021-22</t>
  </si>
  <si>
    <t>June 2022-23</t>
  </si>
  <si>
    <t>ET values</t>
  </si>
  <si>
    <t>Asset values</t>
  </si>
  <si>
    <t>Revenue values</t>
  </si>
  <si>
    <t>Cost values</t>
  </si>
  <si>
    <t>Year</t>
  </si>
  <si>
    <t>New ETs per year for this DSP area</t>
  </si>
  <si>
    <t>Present value of new ETs per year (discounted at pre-1996 asset discount rate)</t>
  </si>
  <si>
    <t>Present value of new ETs per year (discounted at post-1996 asset discount rate)</t>
  </si>
  <si>
    <t>Present value of new ETs per year (discounted at expected revenue and costs discount rate)</t>
  </si>
  <si>
    <t>Value of pre-1996 assets to be collected through this DSP (undiscounted)</t>
  </si>
  <si>
    <t>Present value of pre-1996 assets (discounted at pre-1996 asset discount rate)</t>
  </si>
  <si>
    <t>Value of post-1996 commissioned assets to be collected through this DSP (undiscounted)</t>
  </si>
  <si>
    <t>Present value of post-1996 commissioned assets (discounted at post-1996 asset discount rate)</t>
  </si>
  <si>
    <t>Value of post-1996 uncommissioned assets to be collected through this DSP (undiscounted)</t>
  </si>
  <si>
    <t>Present value of post-1996 uncommissioned assets (discounted at post-1996 asset discount rate)</t>
  </si>
  <si>
    <t>Revenues expected to be recovered from new customers (undiscounted)</t>
  </si>
  <si>
    <t>Present value of revenues (discounted at expected future revenue and costs discount rate)</t>
  </si>
  <si>
    <t>Operating costs expected to be incurred in providing service to new customers (undiscounted)</t>
  </si>
  <si>
    <t>Present value of operating costs (discounted at expected future revenue and costs discount rate)</t>
  </si>
  <si>
    <t>GENERAL INPUTS</t>
  </si>
  <si>
    <t>Regulated Agency (for setting pre-1996 discount rate)</t>
  </si>
  <si>
    <t>Sydney Water Corporation</t>
  </si>
  <si>
    <t>Agency name</t>
  </si>
  <si>
    <t>Pre-1996 discount rate</t>
  </si>
  <si>
    <t>DSP name</t>
  </si>
  <si>
    <t>Central Coast Council</t>
  </si>
  <si>
    <t>Hunter Water Corporation</t>
  </si>
  <si>
    <t>System name (allows cross checking of headworks costs)</t>
  </si>
  <si>
    <t>System Name</t>
  </si>
  <si>
    <t xml:space="preserve">Service this DSP relates to </t>
  </si>
  <si>
    <t>Sewerage</t>
  </si>
  <si>
    <t>Water</t>
  </si>
  <si>
    <t>Timeframes</t>
  </si>
  <si>
    <t>Relevant financial year</t>
  </si>
  <si>
    <t>Stormwater</t>
  </si>
  <si>
    <t>Financial year of registration for the DSP</t>
  </si>
  <si>
    <t>2022-23</t>
  </si>
  <si>
    <t>Final date where assets can be commissioned</t>
  </si>
  <si>
    <t>2018-19</t>
  </si>
  <si>
    <t>2019-20</t>
  </si>
  <si>
    <t>Date range for pre 1996 assets</t>
  </si>
  <si>
    <t>2020-21</t>
  </si>
  <si>
    <t>2021-22</t>
  </si>
  <si>
    <t>First day</t>
  </si>
  <si>
    <t>Last day</t>
  </si>
  <si>
    <t>2023-24</t>
  </si>
  <si>
    <t>2024-25</t>
  </si>
  <si>
    <t>2025-26</t>
  </si>
  <si>
    <t>2026-27</t>
  </si>
  <si>
    <t>Discount rates &amp; other</t>
  </si>
  <si>
    <t>2027-28</t>
  </si>
  <si>
    <t>2028-29</t>
  </si>
  <si>
    <t>Rate applied to pre-1996 assets and ETs</t>
  </si>
  <si>
    <t>2029-30</t>
  </si>
  <si>
    <t>2030-31</t>
  </si>
  <si>
    <t>Rate applied to post-1996 assets and ETs (real pre-tax WACC)</t>
  </si>
  <si>
    <t>Rate applied to the NPV of expected revenues and costs (real pre-tax WACC)</t>
  </si>
  <si>
    <t xml:space="preserve">An Equivalent Tenement (ET) is a unit that uses X kL/year of water, where X = </t>
  </si>
  <si>
    <t>$</t>
  </si>
  <si>
    <t>Forecast period (years)</t>
  </si>
  <si>
    <t>$'000</t>
  </si>
  <si>
    <t>$M</t>
  </si>
  <si>
    <t>$ base year for DSP analysis</t>
  </si>
  <si>
    <t>What $ units are used in the model</t>
  </si>
  <si>
    <t>PRE-1996 ASSETS WITH A NEXUS TO THE SERVICE FOR WHICH THE MAXIMUM PRICE IS BEING CALCULATED</t>
  </si>
  <si>
    <t>Asset exclusions'!A1</t>
  </si>
  <si>
    <t>Where this template is being used to calculate the maximum price for connecting to a Recycled Water System, refer to the following provisions of the Recycled Water Developer Charges Determination:</t>
  </si>
  <si>
    <t>(a)     Schedule 1, clause 2 (where the Recycled Water System is a Least Cost Servicing Solution); and</t>
  </si>
  <si>
    <t xml:space="preserve">(b)     Schedule 2, clause 2.2 (where the Recycled Water System is not a Least Cost Servicing Solution). </t>
  </si>
  <si>
    <t>These provisions may affect the calculation of the capital charge.</t>
  </si>
  <si>
    <t>Date range for assets</t>
  </si>
  <si>
    <t>Start date</t>
  </si>
  <si>
    <t>check</t>
  </si>
  <si>
    <t>End date</t>
  </si>
  <si>
    <t>Gravity mains</t>
  </si>
  <si>
    <t>Rising mains</t>
  </si>
  <si>
    <t>Register of pre-1996 assets</t>
  </si>
  <si>
    <t>SPS</t>
  </si>
  <si>
    <t>General inputs</t>
  </si>
  <si>
    <t>Service potential inputs</t>
  </si>
  <si>
    <t>Asset value inputs</t>
  </si>
  <si>
    <t>Identifier</t>
  </si>
  <si>
    <t>Description</t>
  </si>
  <si>
    <t>Date commissioned</t>
  </si>
  <si>
    <t>Date check</t>
  </si>
  <si>
    <t>DSP areas serviced by asset</t>
  </si>
  <si>
    <t>Expected system-wide ETs to be serviced by this asset</t>
  </si>
  <si>
    <t>Proportion of asset cost to be recovered via this DSP</t>
  </si>
  <si>
    <t>Number of units or length of asset (A)</t>
  </si>
  <si>
    <t>Unit of measure in (A)</t>
  </si>
  <si>
    <t>MEERA value per unit/measure of length (B) 
($ as at 1 July 2020)</t>
  </si>
  <si>
    <t>Total MEERA value (A x B)
($, $2020-21)</t>
  </si>
  <si>
    <t>MEERA value to be recovered via DSP ($, $2020-21)</t>
  </si>
  <si>
    <t>% Growth</t>
  </si>
  <si>
    <t>Calna Creek Carrier</t>
  </si>
  <si>
    <t>Asset utilisation after 1 Jan 1996</t>
  </si>
  <si>
    <t>metres</t>
  </si>
  <si>
    <t>Mt Ku-ring-gai Carrier Section 1</t>
  </si>
  <si>
    <t>Berowra Heights Carrier Section 1</t>
  </si>
  <si>
    <t>The Gully Road Carrier</t>
  </si>
  <si>
    <t>Berowra Area 8</t>
  </si>
  <si>
    <t>Berkeley Close Carrier</t>
  </si>
  <si>
    <t>Hornsby Heights Low Level Area 6</t>
  </si>
  <si>
    <t>Mt Ku-ring-gai Area 6</t>
  </si>
  <si>
    <t>Part Hornsby Heights Area 1B Advance Construction</t>
  </si>
  <si>
    <t>Asquith Area 2</t>
  </si>
  <si>
    <t>Asquith Area 3</t>
  </si>
  <si>
    <t>Mt Colah Area 3</t>
  </si>
  <si>
    <t>Hornsby Heights Low Level Area 1 &amp; 2</t>
  </si>
  <si>
    <t>Hornsby Heights Area 10</t>
  </si>
  <si>
    <t>Hornsby Heights Carrier Section 3</t>
  </si>
  <si>
    <t>Hornsby Heights Carrier Section 1A</t>
  </si>
  <si>
    <t>Rising Main From SPS 640</t>
  </si>
  <si>
    <t>Rising Main From SPS 545</t>
  </si>
  <si>
    <t>Rising Main From SPS 547</t>
  </si>
  <si>
    <t>Rising Main From SPS 556</t>
  </si>
  <si>
    <t>Rising Main From SPS 553</t>
  </si>
  <si>
    <t>Rising Main From SPS 594</t>
  </si>
  <si>
    <t>Rising Main From SPS 596</t>
  </si>
  <si>
    <t>Rising Main From SPS 595</t>
  </si>
  <si>
    <t>Rising Main From SPS 593</t>
  </si>
  <si>
    <t>Rising Main From SPS 235</t>
  </si>
  <si>
    <t>Rising Main From SPS 666</t>
  </si>
  <si>
    <t>At Hornsby Heights STP</t>
  </si>
  <si>
    <t>Elouera Road, Hornsby</t>
  </si>
  <si>
    <t>Thornleigh Submain Section 2</t>
  </si>
  <si>
    <t>Thornleigh Submain Section 1</t>
  </si>
  <si>
    <t>Thornleigh Submain Section 3</t>
  </si>
  <si>
    <t>Hornsby Sewerage</t>
  </si>
  <si>
    <t>Westleigh Submain Section 4</t>
  </si>
  <si>
    <t>Old Mans Valley Carrier</t>
  </si>
  <si>
    <t>Thornleigh Submain Section 4</t>
  </si>
  <si>
    <t>Thornleigh Gully Carrier Section 1</t>
  </si>
  <si>
    <t>Pyes Creek Carrier Section 2</t>
  </si>
  <si>
    <t>Normanhurst Carrier</t>
  </si>
  <si>
    <t>36720/2</t>
  </si>
  <si>
    <t>Bellami Street Carrier</t>
  </si>
  <si>
    <t>Sefton Road Carrier</t>
  </si>
  <si>
    <t>36720/1</t>
  </si>
  <si>
    <t>Nicholson Avenue Carrier</t>
  </si>
  <si>
    <t>Ophir Street Carrier Section 1</t>
  </si>
  <si>
    <t>Normanhurst Area 5</t>
  </si>
  <si>
    <t xml:space="preserve">Thornleigh Area 3 - West Hornsby STP </t>
  </si>
  <si>
    <t>Redgum Avenue Carrier</t>
  </si>
  <si>
    <t>Thornleigh Area 3</t>
  </si>
  <si>
    <t>Normanhurst Area 3</t>
  </si>
  <si>
    <t>Normanhurst Area 7</t>
  </si>
  <si>
    <t>Thornleigh Area 4</t>
  </si>
  <si>
    <t>Normanhurst Area 6</t>
  </si>
  <si>
    <t>Koala Park Carrier</t>
  </si>
  <si>
    <t>Carrier From SPS 485</t>
  </si>
  <si>
    <t>Collecting Carrier From SPS 324 to Thornleigh Submain Section 2</t>
  </si>
  <si>
    <t>West Hornsby Area 1</t>
  </si>
  <si>
    <t>Thornleigh Area 6</t>
  </si>
  <si>
    <t xml:space="preserve">West Pennant Hills Area 4 </t>
  </si>
  <si>
    <t>West Pennant Hills Carrier</t>
  </si>
  <si>
    <t>West Hornsby Low Level Area 3A</t>
  </si>
  <si>
    <t>Thornleigh Gully Carrier Section 2</t>
  </si>
  <si>
    <t>Elouera Carrier Section 1</t>
  </si>
  <si>
    <t>Pyes Creek Carrier Section 1</t>
  </si>
  <si>
    <t>Elouera Carrier Section 2</t>
  </si>
  <si>
    <t>Georges Creek Carrier Section 1</t>
  </si>
  <si>
    <t>Lead In Georges Creek Carrier</t>
  </si>
  <si>
    <t>Lead -In to SPS 924</t>
  </si>
  <si>
    <t>Georges Creek Carrier Section 2</t>
  </si>
  <si>
    <t>Rising Main from SPS 454</t>
  </si>
  <si>
    <t>Rising Main from SPS 485</t>
  </si>
  <si>
    <t>Rising Main from SPS 490</t>
  </si>
  <si>
    <t>Rising Main from SPS 536</t>
  </si>
  <si>
    <t>Rising Main from SPS 641</t>
  </si>
  <si>
    <t>Rising Main from SPS 924</t>
  </si>
  <si>
    <t>To service growth in the West Hornsby Catchment area</t>
  </si>
  <si>
    <t>pumping station</t>
  </si>
  <si>
    <t>POST-1996 COMMISSIONED ASSETS WITH A NEXUS TO THE SERVICE FOR WHICH THE MAXIMUM PRICE IS BEING CALCULATED</t>
  </si>
  <si>
    <t>Total in this file</t>
  </si>
  <si>
    <t>Total in original file</t>
  </si>
  <si>
    <t>Register of post-1996 commissioned assets</t>
  </si>
  <si>
    <t>STP</t>
  </si>
  <si>
    <t>Financial year of commissioning</t>
  </si>
  <si>
    <t xml:space="preserve">Boreline Replacing SPS 556 </t>
  </si>
  <si>
    <t>Utilisation</t>
  </si>
  <si>
    <t xml:space="preserve">Boreline Replacing SPS 666 </t>
  </si>
  <si>
    <t xml:space="preserve">Boreline Replacing SPS 594 </t>
  </si>
  <si>
    <t xml:space="preserve">Boreline Replacing SPS 595 </t>
  </si>
  <si>
    <t xml:space="preserve">Boreline Replacing SPS 596 </t>
  </si>
  <si>
    <t xml:space="preserve">Boreline Replacing SPS 640 </t>
  </si>
  <si>
    <t>Rising Main From SPS 485</t>
  </si>
  <si>
    <t>Pike Rd, Hornsby Hts</t>
  </si>
  <si>
    <t>ST0040</t>
  </si>
  <si>
    <t>Plant - General, Preliminary treatment, Primary treatment, Secondary treatment, Tertiary treatment, Sludge Processing, Chemical dosing</t>
  </si>
  <si>
    <t>Plant - Chemical dosing</t>
  </si>
  <si>
    <t>Plant - Secondary treatment, Sludge Processing, RDP plant (St Marys)</t>
  </si>
  <si>
    <t>Unknown</t>
  </si>
  <si>
    <t>PRO20026889</t>
  </si>
  <si>
    <t>Section 73</t>
  </si>
  <si>
    <t>WO47613</t>
  </si>
  <si>
    <t>Rising Main from SPS 541</t>
  </si>
  <si>
    <t>treatment</t>
  </si>
  <si>
    <t>Plant - Primary Treatment, Tertiary Treatment, Chemical Dosing, SCADA</t>
  </si>
  <si>
    <t>Lagoon Liner</t>
  </si>
  <si>
    <t>Plant - Secondary Treatment, RDP Plant</t>
  </si>
  <si>
    <t>POST-1996 UNCOMMISSIONED ASSETS WITH A NEXUS TO THE SERVICE FOR WHICH THE MAXIMUM PRICE IS BEING CALCULATED</t>
  </si>
  <si>
    <t>Gravity main</t>
  </si>
  <si>
    <t>Rising main</t>
  </si>
  <si>
    <t>Register of uncommissioned assets</t>
  </si>
  <si>
    <t>No growth investments in NETWORKS and STP</t>
  </si>
  <si>
    <t>ST0021</t>
  </si>
  <si>
    <t>Growth augmentations (Conversion to MBR plant, new inletworks, new ps thickening, new digester mixing, new grit handling, new odour)</t>
  </si>
  <si>
    <t>EQUIVALENT TENEMENTS (ETs) SINCE 1 JULY 1996 RELATING TO THE DSP UNDER CONSIDERATION</t>
  </si>
  <si>
    <t>ET consumption assumption (kL/year)</t>
  </si>
  <si>
    <t>Single dwelling</t>
  </si>
  <si>
    <t>Multi dwelling</t>
  </si>
  <si>
    <t>Non-residential</t>
  </si>
  <si>
    <t>Commercial</t>
  </si>
  <si>
    <t>Light industrial</t>
  </si>
  <si>
    <t>Non-res 4</t>
  </si>
  <si>
    <t>Non-res 5</t>
  </si>
  <si>
    <t>Non-res 6</t>
  </si>
  <si>
    <t>Non-res 7</t>
  </si>
  <si>
    <t>Non-res 8</t>
  </si>
  <si>
    <t>Consumption assumption</t>
  </si>
  <si>
    <t>kL/year/ property</t>
  </si>
  <si>
    <t>kL/hectare/year</t>
  </si>
  <si>
    <t>N/A</t>
  </si>
  <si>
    <t>kL/property/year</t>
  </si>
  <si>
    <t>Total new ETs in DSP area</t>
  </si>
  <si>
    <t>Annual take-up of single residential dwellings</t>
  </si>
  <si>
    <t>Annual take-up of multi-dwelling residential units</t>
  </si>
  <si>
    <t>Annual water consumption</t>
  </si>
  <si>
    <t>Do not delete section below - this is where the user can enter alternative consumption assumption options for non-residential customer groups.</t>
  </si>
  <si>
    <t>properties</t>
  </si>
  <si>
    <t>Total ETs by 1970</t>
  </si>
  <si>
    <t>hectares</t>
  </si>
  <si>
    <t>Total ETs at 31 Dec 1995</t>
  </si>
  <si>
    <t>Total ETs at end of review period</t>
  </si>
  <si>
    <t>The plural of the units will only affect headings.</t>
  </si>
  <si>
    <t>Utilisation factors</t>
  </si>
  <si>
    <t>ETs 1970 - 1995</t>
  </si>
  <si>
    <t>ETs 1996 - 2022</t>
  </si>
  <si>
    <t>Pre-1996 commissioned assets</t>
  </si>
  <si>
    <t>'REDUCTION AMOUNT' : CALCULATIONS</t>
  </si>
  <si>
    <t>Link to Report and Determination:</t>
  </si>
  <si>
    <r>
      <t>Please present all data and calculations related to the generation of the time series for R</t>
    </r>
    <r>
      <rPr>
        <vertAlign val="subscript"/>
        <sz val="9"/>
        <rFont val="Arial"/>
        <family val="2"/>
      </rPr>
      <t>i</t>
    </r>
    <r>
      <rPr>
        <sz val="9"/>
        <rFont val="Arial"/>
        <family val="2"/>
      </rPr>
      <t xml:space="preserve"> and C</t>
    </r>
    <r>
      <rPr>
        <vertAlign val="subscript"/>
        <sz val="9"/>
        <rFont val="Arial"/>
        <family val="2"/>
      </rPr>
      <t>i</t>
    </r>
    <r>
      <rPr>
        <sz val="9"/>
        <rFont val="Arial"/>
        <family val="2"/>
      </rPr>
      <t xml:space="preserve"> in this worksheet.</t>
    </r>
  </si>
  <si>
    <t>Where:</t>
  </si>
  <si>
    <r>
      <t>R</t>
    </r>
    <r>
      <rPr>
        <vertAlign val="subscript"/>
        <sz val="9"/>
        <rFont val="Arial"/>
        <family val="2"/>
      </rPr>
      <t>i</t>
    </r>
    <r>
      <rPr>
        <sz val="9"/>
        <rFont val="Arial"/>
        <family val="2"/>
      </rPr>
      <t xml:space="preserve"> </t>
    </r>
  </si>
  <si>
    <t>= the Agency’s estimate of the future periodic revenues to be received from new customers in the relevant DSP Area in each financial year i, estimated in accordance with clause 4 of Schedule 5 of the Determination and set out in the relevant DSP.</t>
  </si>
  <si>
    <r>
      <t>C</t>
    </r>
    <r>
      <rPr>
        <vertAlign val="subscript"/>
        <sz val="9"/>
        <rFont val="Arial"/>
        <family val="2"/>
      </rPr>
      <t>i</t>
    </r>
    <r>
      <rPr>
        <sz val="9"/>
        <rFont val="Arial"/>
        <family val="2"/>
      </rPr>
      <t xml:space="preserve"> </t>
    </r>
  </si>
  <si>
    <t>= the Agency’s estimate of the future operating, maintenance and administration costs of servicing all new customers in the DSP Area in each financial year i (excluding, for the avoidance of doubt, any Capital Costs), estimated in accordance with clause 5 of Schedule 5 of the Determination and set out in the relevant DSP.</t>
  </si>
  <si>
    <r>
      <t>R</t>
    </r>
    <r>
      <rPr>
        <vertAlign val="subscript"/>
        <sz val="9"/>
        <rFont val="Arial"/>
        <family val="2"/>
      </rPr>
      <t>i</t>
    </r>
    <r>
      <rPr>
        <sz val="9"/>
        <rFont val="Arial"/>
        <family val="2"/>
      </rPr>
      <t xml:space="preserve"> :</t>
    </r>
  </si>
  <si>
    <r>
      <t>C</t>
    </r>
    <r>
      <rPr>
        <vertAlign val="subscript"/>
        <sz val="9"/>
        <rFont val="Arial"/>
        <family val="2"/>
      </rPr>
      <t>i</t>
    </r>
    <r>
      <rPr>
        <sz val="9"/>
        <rFont val="Arial"/>
        <family val="2"/>
      </rPr>
      <t xml:space="preserve"> :</t>
    </r>
  </si>
  <si>
    <r>
      <t>Required timeframe for R</t>
    </r>
    <r>
      <rPr>
        <vertAlign val="subscript"/>
        <sz val="9"/>
        <rFont val="Arial"/>
        <family val="2"/>
      </rPr>
      <t>i</t>
    </r>
    <r>
      <rPr>
        <sz val="9"/>
        <rFont val="Arial"/>
        <family val="2"/>
      </rPr>
      <t xml:space="preserve"> and C</t>
    </r>
    <r>
      <rPr>
        <vertAlign val="subscript"/>
        <sz val="9"/>
        <rFont val="Arial"/>
        <family val="2"/>
      </rPr>
      <t>i</t>
    </r>
    <r>
      <rPr>
        <sz val="9"/>
        <rFont val="Arial"/>
        <family val="2"/>
      </rPr>
      <t>:</t>
    </r>
  </si>
  <si>
    <t>Start year:</t>
  </si>
  <si>
    <t>Final year:</t>
  </si>
  <si>
    <t>Notes:</t>
  </si>
  <si>
    <t>The costs expected to be incurred must be exclusive of all capital costs included in the capital charge calculation.</t>
  </si>
  <si>
    <t xml:space="preserve">Where this spreadsheet is being used to calculate the maximum price for connection of a New Development to a Recycled Water System that is a Least Cost Servicing Solution, </t>
  </si>
  <si>
    <t>the reduction amount includes the revenues that the Agency would have received had the supply of potable water not been substituted with Recycled Water, but excludes the</t>
  </si>
  <si>
    <t>revenues from the sale of Recycled Water (see Recycled Water Developer Charges Determination, Sch 1, cl 3).</t>
  </si>
  <si>
    <t xml:space="preserve">Where this spreadsheet is being used to calculate the ordinary developer charge component of the maximum price for connection of a New Development to a Recycled Water System </t>
  </si>
  <si>
    <t xml:space="preserve">that is NOT a Least Cost Servicing Solution, the relevant operating revenues and operating costs used to calculate the reduction amount are different (see Recycled Water Developer </t>
  </si>
  <si>
    <t>Charges Determination, Sch 2, cl 2.3).</t>
  </si>
  <si>
    <t>Enter analysis below this row.</t>
  </si>
  <si>
    <t>Operating costs</t>
  </si>
  <si>
    <t xml:space="preserve">Revene </t>
  </si>
  <si>
    <t>Core opex</t>
  </si>
  <si>
    <t>Ratio</t>
  </si>
  <si>
    <t>Growth discharge</t>
  </si>
  <si>
    <t>Transport fixed</t>
  </si>
  <si>
    <t>Transport variable</t>
  </si>
  <si>
    <t>Treatment fixed</t>
  </si>
  <si>
    <t>Treatment variable</t>
  </si>
  <si>
    <t>Total opex</t>
  </si>
  <si>
    <t>Discharge volume, kL</t>
  </si>
  <si>
    <t>Usage revenue, $</t>
  </si>
  <si>
    <t>Service revenue, $</t>
  </si>
  <si>
    <t xml:space="preserve">Total revenue,$ </t>
  </si>
  <si>
    <t>Fixed transport</t>
  </si>
  <si>
    <t>Variable transport</t>
  </si>
  <si>
    <t>Fixed treatment</t>
  </si>
  <si>
    <t>Variable treatment</t>
  </si>
  <si>
    <t>Growth</t>
  </si>
  <si>
    <t>for opex, kL/yr</t>
  </si>
  <si>
    <t>'HEADWORK ASSETS' : CALCULATIONS</t>
  </si>
  <si>
    <t>Please present, in this worksheet, the underlying high level data and analysis related to the generation of the Headworks cost per ET for the service for which this maximum price is being calculated.</t>
  </si>
  <si>
    <t>Please manually enter or link the calculated headwork cost per ET to cell</t>
  </si>
  <si>
    <t xml:space="preserve">Notes:  </t>
  </si>
  <si>
    <t>As explained in IPART's Report (Box 2.4, page 29) , headworks not owned by the agency should also be included in these calculations.</t>
  </si>
  <si>
    <t>'SCHEME COST ALLOCATION' : CALCULATIONS</t>
  </si>
  <si>
    <t>Please present, in this worksheet, the underlying high level data and analysis related to the generation of the scheme cost allocation per ET for the service for which this maximum price is being calculated.</t>
  </si>
  <si>
    <t>Please refer to the above link for guidance on calculating the scheme cost allocation amount.</t>
  </si>
  <si>
    <t>WHAT THE DETERMINATION SAYS ABOUT ASSET EXCLUSIONS</t>
  </si>
  <si>
    <t>Excluded Assets means:</t>
  </si>
  <si>
    <t>(a)</t>
  </si>
  <si>
    <t>that part of an asset provided for a reason other than to service a growth area;</t>
  </si>
  <si>
    <t>(b)</t>
  </si>
  <si>
    <t>that part of an asset that services other DSP Areas;</t>
  </si>
  <si>
    <t>(c)</t>
  </si>
  <si>
    <t>the capacity of an asset that was made available by changes in land use patterns, or by changes in average demand;</t>
  </si>
  <si>
    <t>(d)</t>
  </si>
  <si>
    <t>any asset or part of an asset that was unreasonably oversized relative to system and capacity requirements, based on available demographic data at the time it was commissioned;</t>
  </si>
  <si>
    <t>(e)</t>
  </si>
  <si>
    <t>any Pre-1970 Assets; and</t>
  </si>
  <si>
    <t>(f)</t>
  </si>
  <si>
    <t>any assets or part of an asset funded by Developers and transferred free of charge to the Agency.</t>
  </si>
  <si>
    <t>For the removal of doubt, the Determination defines assets as:</t>
  </si>
  <si>
    <t>all assets or parts of assets (including headworks), apart from Excluded Assets, allocated to a DSP where there is a nexus (close connection) to the Development they are intended to serve and includes assets that:</t>
  </si>
  <si>
    <t xml:space="preserve">(a) </t>
  </si>
  <si>
    <t>were commissioned prior to the Commencement Date;</t>
  </si>
  <si>
    <t xml:space="preserve">(b) </t>
  </si>
  <si>
    <t>were commissioned after the Commencement Date but before the Development commenced; and</t>
  </si>
  <si>
    <t xml:space="preserve">(c) </t>
  </si>
  <si>
    <t>are commissioned, or are to be commissioned, after the Development commences.</t>
  </si>
  <si>
    <t>Berowra Creek Wastewater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</si>
</sst>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41" formatCode="_-* #,##0_-;\-* #,##0_-;_-* &quot;-&quot;_-;_-@_-"/>
    <numFmt numFmtId="44" formatCode="_-&quot;$&quot;* #,##0.00_-;\-&quot;$&quot;* #,##0.00_-;_-&quot;$&quot;* &quot;-&quot;??_-;_-@_-"/>
    <numFmt numFmtId="43" formatCode="_-* #,##0.00_-;\-* #,##0.00_-;_-* &quot;-&quot;??_-;_-@_-"/>
    <numFmt numFmtId="164" formatCode="_(* #,##0.00_);_(* \(#,##0.00\);_(* &quot;-&quot;_);_(@_)"/>
    <numFmt numFmtId="165" formatCode="0.0%"/>
    <numFmt numFmtId="166" formatCode="#,##0.0"/>
    <numFmt numFmtId="167" formatCode="_(* #,##0.0_);_(* \(#,##0.0\);_(* &quot;-&quot;??_);_(@_)"/>
    <numFmt numFmtId="168" formatCode="[$-C09]dd\-mmmm\-yyyy;@"/>
    <numFmt numFmtId="169" formatCode="[$-C09]d\ mmmm\ yyyy;@"/>
    <numFmt numFmtId="170" formatCode="dd\ mmm\ yyyy"/>
    <numFmt numFmtId="171" formatCode="yyyy\-*y"/>
    <numFmt numFmtId="172" formatCode="&quot;$&quot;#,##0"/>
    <numFmt numFmtId="173" formatCode="#,##0.000"/>
    <numFmt numFmtId="174" formatCode="mmmm\ yyyy"/>
    <numFmt numFmtId="175" formatCode="#,##0_ ;[Red]\-#,##0\ "/>
    <numFmt numFmtId="176" formatCode="_-* #,##0.0_-;\-* #,##0.0_-;_-* &quot;-&quot;??_-;_-@_-"/>
    <numFmt numFmtId="177" formatCode="_-* #,##0_-;\-* #,##0_-;_-* &quot;-&quot;??_-;_-@_-"/>
  </numFmts>
  <fonts count="34" x14ac:knownFonts="1">
    <font>
      <sz val="9"/>
      <name val="Arial"/>
      <family val="2"/>
    </font>
    <font>
      <sz val="9"/>
      <name val="Arial"/>
      <family val="2"/>
    </font>
    <font>
      <sz val="9"/>
      <color indexed="14"/>
      <name val="Arial"/>
      <family val="2"/>
    </font>
    <font>
      <sz val="9"/>
      <color indexed="10"/>
      <name val="Arial"/>
      <family val="2"/>
    </font>
    <font>
      <sz val="9"/>
      <color indexed="12"/>
      <name val="Arial"/>
      <family val="2"/>
    </font>
    <font>
      <b/>
      <sz val="9"/>
      <color indexed="9"/>
      <name val="Arial"/>
      <family val="2"/>
    </font>
    <font>
      <b/>
      <sz val="9"/>
      <color indexed="57"/>
      <name val="Arial"/>
      <family val="2"/>
    </font>
    <font>
      <b/>
      <sz val="14"/>
      <name val="Arial"/>
      <family val="2"/>
    </font>
    <font>
      <sz val="11"/>
      <name val="Arial"/>
      <family val="2"/>
    </font>
    <font>
      <b/>
      <sz val="12"/>
      <name val="Arial"/>
      <family val="2"/>
    </font>
    <font>
      <b/>
      <sz val="9"/>
      <name val="Arial"/>
      <family val="2"/>
    </font>
    <font>
      <b/>
      <sz val="16"/>
      <name val="Arial"/>
      <family val="2"/>
    </font>
    <font>
      <u/>
      <sz val="9"/>
      <color theme="10"/>
      <name val="Arial"/>
      <family val="2"/>
    </font>
    <font>
      <b/>
      <sz val="11"/>
      <name val="Arial"/>
      <family val="2"/>
    </font>
    <font>
      <b/>
      <sz val="9"/>
      <color rgb="FFFF0000"/>
      <name val="Arial"/>
      <family val="2"/>
    </font>
    <font>
      <sz val="10"/>
      <color indexed="9"/>
      <name val="Arial"/>
      <family val="2"/>
    </font>
    <font>
      <i/>
      <sz val="9"/>
      <name val="Arial"/>
      <family val="2"/>
    </font>
    <font>
      <sz val="9"/>
      <color indexed="81"/>
      <name val="Tahoma"/>
      <family val="2"/>
    </font>
    <font>
      <b/>
      <sz val="9"/>
      <color indexed="81"/>
      <name val="Tahoma"/>
      <family val="2"/>
    </font>
    <font>
      <sz val="9"/>
      <color rgb="FFFF0000"/>
      <name val="Arial"/>
      <family val="2"/>
    </font>
    <font>
      <sz val="9"/>
      <color theme="0" tint="-0.14996795556505021"/>
      <name val="Arial"/>
      <family val="2"/>
    </font>
    <font>
      <vertAlign val="subscript"/>
      <sz val="9"/>
      <name val="Arial"/>
      <family val="2"/>
    </font>
    <font>
      <vertAlign val="subscript"/>
      <sz val="9"/>
      <color indexed="81"/>
      <name val="Tahoma"/>
      <family val="2"/>
    </font>
    <font>
      <sz val="9"/>
      <color theme="1"/>
      <name val="Arial"/>
      <family val="2"/>
    </font>
    <font>
      <b/>
      <u/>
      <sz val="9"/>
      <name val="Arial"/>
      <family val="2"/>
    </font>
    <font>
      <sz val="10"/>
      <name val="Arial"/>
      <family val="2"/>
    </font>
    <font>
      <b/>
      <sz val="10"/>
      <name val="Arial"/>
      <family val="2"/>
    </font>
    <font>
      <sz val="9"/>
      <color theme="0"/>
      <name val="Arial"/>
      <family val="2"/>
    </font>
    <font>
      <i/>
      <sz val="9"/>
      <color rgb="FFC00000"/>
      <name val="Arial"/>
      <family val="2"/>
    </font>
    <font>
      <i/>
      <sz val="9"/>
      <color theme="0" tint="-0.499984740745262"/>
      <name val="Arial"/>
      <family val="2"/>
    </font>
    <font>
      <b/>
      <sz val="9"/>
      <color theme="0"/>
      <name val="Arial"/>
      <family val="2"/>
    </font>
    <font>
      <sz val="8"/>
      <name val="Arial"/>
      <family val="2"/>
    </font>
    <font>
      <sz val="10"/>
      <name val="Book Antiqua"/>
      <family val="2"/>
      <scheme val="minor"/>
    </font>
    <font>
      <sz val="8"/>
      <color theme="0" tint="-0.34998626667073579"/>
      <name val="Arial"/>
      <family val="2"/>
    </font>
  </fonts>
  <fills count="19">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18"/>
        <bgColor indexed="15"/>
      </patternFill>
    </fill>
    <fill>
      <patternFill patternType="solid">
        <fgColor theme="0"/>
        <bgColor indexed="15"/>
      </patternFill>
    </fill>
    <fill>
      <patternFill patternType="solid">
        <fgColor indexed="44"/>
        <bgColor indexed="15"/>
      </patternFill>
    </fill>
    <fill>
      <patternFill patternType="solid">
        <fgColor rgb="FFDDDDDD"/>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C00000"/>
        <bgColor indexed="64"/>
      </patternFill>
    </fill>
    <fill>
      <patternFill patternType="solid">
        <fgColor rgb="FF99CCFF"/>
        <bgColor indexed="64"/>
      </patternFill>
    </fill>
    <fill>
      <patternFill patternType="solid">
        <fgColor rgb="FFFFFFCC"/>
        <bgColor indexed="64"/>
      </patternFill>
    </fill>
    <fill>
      <patternFill patternType="solid">
        <fgColor rgb="FF8FB8FB"/>
        <bgColor indexed="64"/>
      </patternFill>
    </fill>
  </fills>
  <borders count="27">
    <border>
      <left/>
      <right/>
      <top/>
      <bottom/>
      <diagonal/>
    </border>
    <border>
      <left/>
      <right style="double">
        <color theme="6"/>
      </right>
      <top/>
      <bottom/>
      <diagonal/>
    </border>
    <border>
      <left/>
      <right/>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10"/>
      </left>
      <right/>
      <top/>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rgb="FFFF0000"/>
      </bottom>
      <diagonal/>
    </border>
    <border>
      <left/>
      <right/>
      <top style="double">
        <color rgb="FFFF0000"/>
      </top>
      <bottom/>
      <diagonal/>
    </border>
    <border>
      <left/>
      <right/>
      <top style="double">
        <color rgb="FFFF0000"/>
      </top>
      <bottom style="double">
        <color rgb="FFFF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bottom style="double">
        <color rgb="FFFF0000"/>
      </bottom>
      <diagonal/>
    </border>
    <border>
      <left/>
      <right/>
      <top/>
      <bottom style="thin">
        <color theme="0" tint="-0.34998626667073579"/>
      </bottom>
      <diagonal/>
    </border>
    <border>
      <left/>
      <right/>
      <top/>
      <bottom style="medium">
        <color indexed="64"/>
      </bottom>
      <diagonal/>
    </border>
    <border>
      <left/>
      <right/>
      <top style="thin">
        <color theme="0" tint="-0.34998626667073579"/>
      </top>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24">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1" applyNumberFormat="0" applyFont="0" applyFill="0" applyAlignment="0" applyProtection="0"/>
    <xf numFmtId="164" fontId="2" fillId="0" borderId="0" applyNumberFormat="0" applyFill="0" applyBorder="0" applyAlignment="0">
      <alignment horizontal="left"/>
    </xf>
    <xf numFmtId="0" fontId="3" fillId="0" borderId="0" applyNumberFormat="0" applyFill="0" applyBorder="0" applyAlignment="0"/>
    <xf numFmtId="4" fontId="1" fillId="4" borderId="0" applyBorder="0" applyAlignment="0">
      <alignment horizontal="right"/>
      <protection locked="0"/>
    </xf>
    <xf numFmtId="165" fontId="1" fillId="4" borderId="0" applyBorder="0" applyAlignment="0">
      <alignment horizontal="right"/>
      <protection locked="0"/>
    </xf>
    <xf numFmtId="3" fontId="4" fillId="0" borderId="0" applyNumberFormat="0" applyFill="0" applyBorder="0" applyAlignment="0" applyProtection="0">
      <protection locked="0"/>
    </xf>
    <xf numFmtId="41" fontId="5" fillId="5" borderId="0" applyNumberFormat="0" applyBorder="0" applyAlignment="0"/>
    <xf numFmtId="0" fontId="6" fillId="0" borderId="0" applyNumberFormat="0" applyFill="0" applyBorder="0" applyAlignment="0" applyProtection="0"/>
    <xf numFmtId="0" fontId="12" fillId="0" borderId="0" applyNumberFormat="0" applyFill="0" applyBorder="0" applyAlignment="0" applyProtection="0"/>
    <xf numFmtId="166" fontId="1" fillId="2" borderId="0" applyBorder="0">
      <alignment horizontal="right"/>
      <protection locked="0"/>
    </xf>
    <xf numFmtId="165" fontId="1" fillId="3" borderId="0" applyBorder="0" applyAlignment="0">
      <protection locked="0"/>
    </xf>
    <xf numFmtId="0" fontId="14" fillId="7" borderId="0" applyNumberFormat="0" applyBorder="0" applyAlignment="0" applyProtection="0"/>
    <xf numFmtId="165" fontId="1" fillId="2" borderId="0" applyBorder="0" applyAlignment="0">
      <alignment horizontal="left"/>
      <protection locked="0"/>
    </xf>
    <xf numFmtId="166" fontId="1" fillId="3" borderId="2" applyBorder="0" applyAlignment="0">
      <alignment horizontal="right"/>
      <protection locked="0"/>
    </xf>
    <xf numFmtId="10" fontId="1" fillId="4" borderId="0" applyBorder="0" applyAlignment="0">
      <alignment horizontal="right"/>
      <protection locked="0"/>
    </xf>
    <xf numFmtId="9" fontId="15" fillId="0" borderId="0" applyFont="0" applyBorder="0" applyAlignment="0" applyProtection="0"/>
    <xf numFmtId="9" fontId="15" fillId="0" borderId="0" applyFont="0" applyBorder="0" applyAlignment="0" applyProtection="0"/>
    <xf numFmtId="9" fontId="1" fillId="0" borderId="0" applyFont="0" applyFill="0" applyBorder="0" applyAlignment="0" applyProtection="0"/>
    <xf numFmtId="44" fontId="25" fillId="0" borderId="0" applyFont="0" applyFill="0" applyBorder="0" applyAlignment="0" applyProtection="0"/>
    <xf numFmtId="0" fontId="25" fillId="0" borderId="0"/>
    <xf numFmtId="0" fontId="32" fillId="0" borderId="0"/>
  </cellStyleXfs>
  <cellXfs count="276">
    <xf numFmtId="0" fontId="0" fillId="0" borderId="0" xfId="0"/>
    <xf numFmtId="0" fontId="0" fillId="6" borderId="0" xfId="0" applyFill="1"/>
    <xf numFmtId="0" fontId="9" fillId="0" borderId="0" xfId="0" applyFont="1"/>
    <xf numFmtId="166" fontId="1" fillId="3" borderId="0" xfId="16" applyBorder="1" applyAlignment="1">
      <protection locked="0"/>
    </xf>
    <xf numFmtId="0" fontId="0" fillId="0" borderId="0" xfId="0" applyAlignment="1">
      <alignment horizontal="left"/>
    </xf>
    <xf numFmtId="0" fontId="10" fillId="6" borderId="0" xfId="14" applyFont="1" applyFill="1"/>
    <xf numFmtId="0" fontId="10" fillId="0" borderId="0" xfId="0" applyFont="1"/>
    <xf numFmtId="0" fontId="8" fillId="0" borderId="0" xfId="0" applyFont="1" applyAlignment="1">
      <alignment horizontal="left" vertical="top"/>
    </xf>
    <xf numFmtId="0" fontId="0" fillId="0" borderId="0" xfId="0" applyAlignment="1">
      <alignment horizontal="left" vertical="top"/>
    </xf>
    <xf numFmtId="0" fontId="0" fillId="0" borderId="4" xfId="0" applyBorder="1"/>
    <xf numFmtId="0" fontId="13" fillId="8" borderId="0" xfId="0" applyFont="1" applyFill="1"/>
    <xf numFmtId="0" fontId="0" fillId="8" borderId="0" xfId="0" applyFill="1"/>
    <xf numFmtId="0" fontId="0" fillId="0" borderId="0" xfId="0" applyAlignment="1">
      <alignment horizontal="center" vertical="top"/>
    </xf>
    <xf numFmtId="0" fontId="8" fillId="8" borderId="0" xfId="0" applyFont="1" applyFill="1"/>
    <xf numFmtId="4" fontId="0" fillId="4" borderId="0" xfId="6" applyFont="1" applyBorder="1" applyAlignment="1">
      <alignment horizontal="left"/>
      <protection locked="0"/>
    </xf>
    <xf numFmtId="166" fontId="0" fillId="3" borderId="0" xfId="16" applyFont="1" applyBorder="1" applyAlignment="1">
      <protection locked="0"/>
    </xf>
    <xf numFmtId="167" fontId="4" fillId="0" borderId="0" xfId="1" applyNumberFormat="1" applyFont="1" applyFill="1" applyBorder="1" applyAlignment="1">
      <alignment horizontal="left"/>
    </xf>
    <xf numFmtId="167" fontId="5" fillId="5" borderId="0" xfId="9" applyNumberFormat="1" applyBorder="1" applyAlignment="1">
      <alignment horizontal="left"/>
    </xf>
    <xf numFmtId="167" fontId="2" fillId="0" borderId="0" xfId="4" applyNumberFormat="1" applyFill="1" applyBorder="1" applyAlignment="1">
      <alignment horizontal="left"/>
    </xf>
    <xf numFmtId="167" fontId="2" fillId="0" borderId="0" xfId="1" applyNumberFormat="1" applyFont="1" applyFill="1" applyBorder="1" applyAlignment="1">
      <alignment horizontal="left"/>
    </xf>
    <xf numFmtId="167" fontId="3" fillId="0" borderId="0" xfId="5" applyNumberFormat="1" applyFill="1" applyBorder="1" applyAlignment="1">
      <alignment horizontal="left"/>
    </xf>
    <xf numFmtId="167" fontId="3" fillId="0" borderId="0" xfId="1" applyNumberFormat="1" applyFont="1" applyFill="1" applyBorder="1" applyAlignment="1">
      <alignment horizontal="left"/>
    </xf>
    <xf numFmtId="167" fontId="0" fillId="0" borderId="9" xfId="1" applyNumberFormat="1" applyFont="1" applyBorder="1" applyAlignment="1">
      <alignment horizontal="left"/>
    </xf>
    <xf numFmtId="167" fontId="0" fillId="0" borderId="0" xfId="1" applyNumberFormat="1" applyFont="1" applyBorder="1" applyAlignment="1">
      <alignment horizontal="left"/>
    </xf>
    <xf numFmtId="0" fontId="0" fillId="0" borderId="5" xfId="0" applyBorder="1" applyAlignment="1">
      <alignment horizontal="center" wrapText="1"/>
    </xf>
    <xf numFmtId="3" fontId="1" fillId="4" borderId="6" xfId="6" applyNumberFormat="1" applyBorder="1" applyAlignment="1">
      <alignment horizontal="center"/>
      <protection locked="0"/>
    </xf>
    <xf numFmtId="3" fontId="1" fillId="4" borderId="7" xfId="6" applyNumberFormat="1" applyBorder="1" applyAlignment="1">
      <alignment horizontal="center"/>
      <protection locked="0"/>
    </xf>
    <xf numFmtId="4" fontId="1" fillId="4" borderId="7" xfId="6" applyBorder="1" applyAlignment="1">
      <protection locked="0"/>
    </xf>
    <xf numFmtId="0" fontId="0" fillId="0" borderId="0" xfId="0" applyAlignment="1">
      <alignment horizontal="right"/>
    </xf>
    <xf numFmtId="3" fontId="1" fillId="4" borderId="8" xfId="6" applyNumberFormat="1" applyBorder="1" applyAlignment="1">
      <alignment horizontal="center"/>
      <protection locked="0"/>
    </xf>
    <xf numFmtId="4" fontId="1" fillId="4" borderId="8" xfId="6" applyBorder="1" applyAlignment="1">
      <protection locked="0"/>
    </xf>
    <xf numFmtId="170" fontId="0" fillId="0" borderId="0" xfId="0" applyNumberFormat="1"/>
    <xf numFmtId="170" fontId="1" fillId="4" borderId="6" xfId="6" applyNumberFormat="1" applyBorder="1" applyAlignment="1">
      <alignment horizontal="center"/>
      <protection locked="0"/>
    </xf>
    <xf numFmtId="170" fontId="1" fillId="4" borderId="7" xfId="6" applyNumberFormat="1" applyBorder="1" applyAlignment="1">
      <alignment horizontal="center"/>
      <protection locked="0"/>
    </xf>
    <xf numFmtId="0" fontId="0" fillId="0" borderId="0" xfId="0" applyAlignment="1">
      <alignment horizontal="center" wrapText="1"/>
    </xf>
    <xf numFmtId="9" fontId="0" fillId="0" borderId="0" xfId="0" applyNumberFormat="1"/>
    <xf numFmtId="0" fontId="0" fillId="0" borderId="0" xfId="0" applyAlignment="1">
      <alignment horizontal="center"/>
    </xf>
    <xf numFmtId="4" fontId="0" fillId="0" borderId="0" xfId="0" applyNumberFormat="1"/>
    <xf numFmtId="3" fontId="1" fillId="4" borderId="7" xfId="6" applyNumberFormat="1" applyBorder="1" applyAlignment="1">
      <protection locked="0"/>
    </xf>
    <xf numFmtId="0" fontId="0" fillId="0" borderId="0" xfId="0" applyAlignment="1">
      <alignment wrapText="1"/>
    </xf>
    <xf numFmtId="0" fontId="0" fillId="0" borderId="3" xfId="0" applyBorder="1"/>
    <xf numFmtId="0" fontId="0" fillId="0" borderId="2" xfId="0" applyBorder="1"/>
    <xf numFmtId="0" fontId="0" fillId="0" borderId="6" xfId="0" applyBorder="1"/>
    <xf numFmtId="0" fontId="0" fillId="0" borderId="7" xfId="0" applyBorder="1"/>
    <xf numFmtId="0" fontId="0" fillId="0" borderId="8" xfId="0" applyBorder="1"/>
    <xf numFmtId="0" fontId="10" fillId="0" borderId="0" xfId="0" applyFont="1" applyAlignment="1">
      <alignment horizontal="centerContinuous" wrapText="1"/>
    </xf>
    <xf numFmtId="0" fontId="10" fillId="0" borderId="0" xfId="0" applyFont="1" applyAlignment="1">
      <alignment horizontal="right" wrapText="1"/>
    </xf>
    <xf numFmtId="3" fontId="1" fillId="4" borderId="6" xfId="6" applyNumberFormat="1" applyBorder="1" applyAlignment="1">
      <protection locked="0"/>
    </xf>
    <xf numFmtId="4" fontId="1" fillId="4" borderId="5" xfId="6" applyBorder="1" applyAlignment="1">
      <alignment horizontal="center"/>
      <protection locked="0"/>
    </xf>
    <xf numFmtId="8" fontId="0" fillId="0" borderId="0" xfId="0" applyNumberFormat="1"/>
    <xf numFmtId="170" fontId="0" fillId="0" borderId="0" xfId="0" applyNumberFormat="1" applyAlignment="1">
      <alignment horizontal="right"/>
    </xf>
    <xf numFmtId="0" fontId="0" fillId="0" borderId="15" xfId="0" applyBorder="1"/>
    <xf numFmtId="0" fontId="0" fillId="0" borderId="16" xfId="0" applyBorder="1"/>
    <xf numFmtId="0" fontId="0" fillId="0" borderId="17" xfId="0" applyBorder="1"/>
    <xf numFmtId="0" fontId="0" fillId="0" borderId="11" xfId="0" applyBorder="1"/>
    <xf numFmtId="0" fontId="0" fillId="0" borderId="18" xfId="0" applyBorder="1"/>
    <xf numFmtId="0" fontId="0" fillId="0" borderId="19" xfId="0" applyBorder="1"/>
    <xf numFmtId="0" fontId="11" fillId="0" borderId="0" xfId="0" applyFont="1"/>
    <xf numFmtId="0" fontId="10" fillId="0" borderId="2" xfId="0" applyFont="1" applyBorder="1"/>
    <xf numFmtId="0" fontId="20" fillId="0" borderId="0" xfId="8" applyNumberFormat="1" applyFont="1" applyProtection="1"/>
    <xf numFmtId="4" fontId="1" fillId="4" borderId="5" xfId="6" applyBorder="1" applyAlignment="1">
      <alignment horizontal="center" wrapText="1"/>
      <protection locked="0"/>
    </xf>
    <xf numFmtId="3" fontId="1" fillId="4" borderId="5" xfId="6" applyNumberFormat="1" applyBorder="1" applyAlignment="1">
      <alignment horizontal="center" wrapText="1"/>
      <protection locked="0"/>
    </xf>
    <xf numFmtId="4" fontId="1" fillId="4" borderId="6" xfId="6" applyBorder="1" applyAlignment="1">
      <protection locked="0"/>
    </xf>
    <xf numFmtId="0" fontId="0" fillId="0" borderId="0" xfId="0" applyAlignment="1">
      <alignment horizontal="left" indent="1"/>
    </xf>
    <xf numFmtId="170" fontId="4" fillId="0" borderId="5" xfId="8" applyNumberFormat="1" applyBorder="1" applyAlignment="1" applyProtection="1">
      <alignment horizontal="center"/>
    </xf>
    <xf numFmtId="170" fontId="0" fillId="0" borderId="5" xfId="0" applyNumberFormat="1" applyBorder="1" applyAlignment="1">
      <alignment horizontal="center"/>
    </xf>
    <xf numFmtId="165" fontId="4" fillId="0" borderId="5" xfId="8" applyNumberFormat="1" applyBorder="1" applyAlignment="1" applyProtection="1">
      <alignment horizontal="center"/>
    </xf>
    <xf numFmtId="0" fontId="4" fillId="0" borderId="5" xfId="8" applyNumberFormat="1" applyBorder="1" applyAlignment="1" applyProtection="1">
      <alignment horizontal="center"/>
    </xf>
    <xf numFmtId="0" fontId="0" fillId="7" borderId="0" xfId="0" applyFill="1"/>
    <xf numFmtId="3" fontId="0" fillId="0" borderId="0" xfId="0" applyNumberFormat="1"/>
    <xf numFmtId="172" fontId="5" fillId="5" borderId="0" xfId="9" applyNumberFormat="1"/>
    <xf numFmtId="0" fontId="19" fillId="0" borderId="0" xfId="0" applyFont="1" applyAlignment="1">
      <alignment horizontal="left"/>
    </xf>
    <xf numFmtId="0" fontId="19" fillId="6" borderId="0" xfId="0" applyFont="1" applyFill="1"/>
    <xf numFmtId="0" fontId="12" fillId="0" borderId="4" xfId="11" applyBorder="1" applyAlignment="1"/>
    <xf numFmtId="0" fontId="0" fillId="0" borderId="0" xfId="0" applyAlignment="1">
      <alignment vertical="top"/>
    </xf>
    <xf numFmtId="0" fontId="7" fillId="0" borderId="0" xfId="0" applyFont="1"/>
    <xf numFmtId="0" fontId="20" fillId="0" borderId="0" xfId="0" applyFont="1"/>
    <xf numFmtId="3" fontId="5" fillId="9" borderId="0" xfId="9" applyNumberFormat="1" applyFill="1" applyBorder="1"/>
    <xf numFmtId="0" fontId="7" fillId="0" borderId="3" xfId="0" applyFont="1" applyBorder="1"/>
    <xf numFmtId="170" fontId="0" fillId="0" borderId="3" xfId="0" applyNumberFormat="1" applyBorder="1" applyAlignment="1">
      <alignment horizontal="right"/>
    </xf>
    <xf numFmtId="3" fontId="5" fillId="9" borderId="5" xfId="9" applyNumberFormat="1" applyFill="1" applyBorder="1"/>
    <xf numFmtId="3" fontId="0" fillId="0" borderId="7" xfId="0" applyNumberFormat="1" applyBorder="1"/>
    <xf numFmtId="3" fontId="0" fillId="0" borderId="6" xfId="0" applyNumberFormat="1" applyBorder="1"/>
    <xf numFmtId="0" fontId="0" fillId="0" borderId="12" xfId="0" applyBorder="1" applyAlignment="1">
      <alignment horizontal="right"/>
    </xf>
    <xf numFmtId="0" fontId="0" fillId="0" borderId="14" xfId="0" applyBorder="1" applyAlignment="1">
      <alignment horizontal="right"/>
    </xf>
    <xf numFmtId="0" fontId="0" fillId="0" borderId="13" xfId="0" applyBorder="1" applyAlignment="1">
      <alignment horizontal="right"/>
    </xf>
    <xf numFmtId="3" fontId="1" fillId="11" borderId="7" xfId="6" applyNumberFormat="1" applyFill="1" applyBorder="1" applyAlignment="1">
      <protection locked="0"/>
    </xf>
    <xf numFmtId="170" fontId="0" fillId="0" borderId="6" xfId="0" applyNumberFormat="1" applyBorder="1"/>
    <xf numFmtId="170" fontId="0" fillId="0" borderId="8" xfId="0" applyNumberFormat="1" applyBorder="1"/>
    <xf numFmtId="0" fontId="1" fillId="10" borderId="6" xfId="13" applyNumberFormat="1" applyFill="1" applyBorder="1" applyAlignment="1">
      <alignment horizontal="center"/>
      <protection locked="0"/>
    </xf>
    <xf numFmtId="0" fontId="1" fillId="10" borderId="7" xfId="13" applyNumberFormat="1" applyFill="1" applyBorder="1" applyAlignment="1">
      <alignment horizontal="center"/>
      <protection locked="0"/>
    </xf>
    <xf numFmtId="0" fontId="1" fillId="10" borderId="8" xfId="13" applyNumberFormat="1" applyFill="1" applyBorder="1" applyAlignment="1">
      <alignment horizontal="center"/>
      <protection locked="0"/>
    </xf>
    <xf numFmtId="3" fontId="1" fillId="10" borderId="6" xfId="6" applyNumberFormat="1" applyFill="1" applyBorder="1" applyAlignment="1">
      <alignment horizontal="center"/>
      <protection locked="0"/>
    </xf>
    <xf numFmtId="3" fontId="1" fillId="10" borderId="7" xfId="6" applyNumberFormat="1" applyFill="1" applyBorder="1" applyAlignment="1">
      <alignment horizontal="center"/>
      <protection locked="0"/>
    </xf>
    <xf numFmtId="3" fontId="0" fillId="0" borderId="6" xfId="0" applyNumberFormat="1" applyBorder="1" applyAlignment="1">
      <alignment horizontal="center"/>
    </xf>
    <xf numFmtId="3" fontId="0" fillId="0" borderId="7" xfId="0" applyNumberFormat="1" applyBorder="1" applyAlignment="1">
      <alignment horizontal="center"/>
    </xf>
    <xf numFmtId="3" fontId="0" fillId="0" borderId="8" xfId="0" applyNumberFormat="1" applyBorder="1" applyAlignment="1">
      <alignment horizontal="center"/>
    </xf>
    <xf numFmtId="165" fontId="1" fillId="0" borderId="6" xfId="18" applyNumberFormat="1" applyFont="1" applyBorder="1" applyAlignment="1" applyProtection="1">
      <alignment horizontal="center"/>
      <protection locked="0"/>
    </xf>
    <xf numFmtId="165" fontId="1" fillId="0" borderId="7" xfId="18" applyNumberFormat="1" applyFont="1" applyBorder="1" applyAlignment="1" applyProtection="1">
      <alignment horizontal="center"/>
      <protection locked="0"/>
    </xf>
    <xf numFmtId="168" fontId="0" fillId="0" borderId="0" xfId="0" applyNumberFormat="1"/>
    <xf numFmtId="170" fontId="0" fillId="0" borderId="5" xfId="0" applyNumberFormat="1" applyBorder="1"/>
    <xf numFmtId="0" fontId="10" fillId="0" borderId="0" xfId="0" applyFont="1" applyAlignment="1">
      <alignment horizontal="left"/>
    </xf>
    <xf numFmtId="0" fontId="4" fillId="0" borderId="0" xfId="8" applyNumberFormat="1" applyFill="1" applyProtection="1"/>
    <xf numFmtId="4" fontId="1" fillId="11" borderId="8" xfId="6" applyFill="1" applyBorder="1" applyAlignment="1">
      <protection locked="0"/>
    </xf>
    <xf numFmtId="0" fontId="10" fillId="0" borderId="0" xfId="0" applyFont="1" applyAlignment="1">
      <alignment horizontal="center"/>
    </xf>
    <xf numFmtId="171" fontId="1" fillId="10" borderId="7" xfId="13" applyNumberFormat="1" applyFill="1" applyBorder="1" applyAlignment="1">
      <alignment horizontal="center"/>
      <protection locked="0"/>
    </xf>
    <xf numFmtId="0" fontId="14" fillId="6" borderId="0" xfId="14" applyFill="1"/>
    <xf numFmtId="0" fontId="0" fillId="6" borderId="0" xfId="0" applyFill="1" applyAlignment="1">
      <alignment horizontal="left" indent="1"/>
    </xf>
    <xf numFmtId="0" fontId="0" fillId="12" borderId="0" xfId="0" applyFill="1"/>
    <xf numFmtId="0" fontId="0" fillId="12" borderId="0" xfId="0" applyFill="1" applyAlignment="1">
      <alignment horizontal="left"/>
    </xf>
    <xf numFmtId="0" fontId="0" fillId="12" borderId="7" xfId="0" applyFill="1" applyBorder="1"/>
    <xf numFmtId="4" fontId="1" fillId="4" borderId="6" xfId="6" applyBorder="1" applyAlignment="1">
      <alignment horizontal="left" wrapText="1" indent="1"/>
      <protection locked="0"/>
    </xf>
    <xf numFmtId="4" fontId="1" fillId="4" borderId="7" xfId="6" applyBorder="1" applyAlignment="1">
      <alignment horizontal="left" wrapText="1" indent="1"/>
      <protection locked="0"/>
    </xf>
    <xf numFmtId="4" fontId="1" fillId="4" borderId="7" xfId="6" applyBorder="1" applyAlignment="1">
      <alignment horizontal="center" wrapText="1"/>
      <protection locked="0"/>
    </xf>
    <xf numFmtId="4" fontId="1" fillId="4" borderId="8" xfId="6" applyBorder="1" applyAlignment="1">
      <alignment wrapText="1"/>
      <protection locked="0"/>
    </xf>
    <xf numFmtId="4" fontId="0" fillId="4" borderId="6" xfId="6" applyFont="1" applyBorder="1" applyAlignment="1">
      <alignment horizontal="center" wrapText="1"/>
      <protection locked="0"/>
    </xf>
    <xf numFmtId="4" fontId="0" fillId="4" borderId="7" xfId="6" applyFont="1" applyBorder="1" applyAlignment="1">
      <alignment horizontal="center" wrapText="1"/>
      <protection locked="0"/>
    </xf>
    <xf numFmtId="165" fontId="1" fillId="0" borderId="8" xfId="18" applyNumberFormat="1" applyFont="1" applyBorder="1" applyAlignment="1" applyProtection="1">
      <alignment horizontal="center"/>
      <protection locked="0"/>
    </xf>
    <xf numFmtId="4" fontId="1" fillId="10" borderId="8" xfId="6" applyFill="1" applyBorder="1" applyAlignment="1">
      <alignment horizontal="center"/>
      <protection locked="0"/>
    </xf>
    <xf numFmtId="0" fontId="0" fillId="0" borderId="0" xfId="0" applyAlignment="1">
      <alignment horizontal="left" wrapText="1"/>
    </xf>
    <xf numFmtId="0" fontId="0" fillId="0" borderId="0" xfId="0" applyAlignment="1">
      <alignment horizontal="right" vertical="center"/>
    </xf>
    <xf numFmtId="0" fontId="0" fillId="0" borderId="0" xfId="0" applyAlignment="1">
      <alignment horizontal="right" vertical="top"/>
    </xf>
    <xf numFmtId="0" fontId="10" fillId="0" borderId="0" xfId="0" applyFont="1" applyAlignment="1">
      <alignment horizontal="left" vertical="top"/>
    </xf>
    <xf numFmtId="0" fontId="11" fillId="0" borderId="0" xfId="0" quotePrefix="1" applyFont="1"/>
    <xf numFmtId="172" fontId="0" fillId="0" borderId="0" xfId="0" applyNumberFormat="1"/>
    <xf numFmtId="0" fontId="12" fillId="0" borderId="0" xfId="11" applyFill="1" applyBorder="1" applyAlignment="1">
      <alignment horizontal="left" vertical="top"/>
    </xf>
    <xf numFmtId="0" fontId="0" fillId="6" borderId="3" xfId="0" applyFill="1" applyBorder="1"/>
    <xf numFmtId="0" fontId="0" fillId="6" borderId="2" xfId="0" applyFill="1" applyBorder="1"/>
    <xf numFmtId="0" fontId="14" fillId="0" borderId="0" xfId="0" applyFont="1"/>
    <xf numFmtId="4" fontId="19" fillId="11" borderId="8" xfId="6" applyFont="1" applyFill="1" applyBorder="1" applyAlignment="1">
      <alignment horizontal="center" wrapText="1"/>
      <protection locked="0"/>
    </xf>
    <xf numFmtId="169" fontId="1" fillId="4" borderId="8" xfId="6" applyNumberFormat="1" applyBorder="1" applyAlignment="1">
      <alignment horizontal="center"/>
      <protection locked="0"/>
    </xf>
    <xf numFmtId="0" fontId="0" fillId="0" borderId="0" xfId="0" applyAlignment="1">
      <alignment horizontal="right" wrapText="1"/>
    </xf>
    <xf numFmtId="0" fontId="0" fillId="0" borderId="0" xfId="0" applyAlignment="1">
      <alignment horizontal="left" indent="4"/>
    </xf>
    <xf numFmtId="165" fontId="0" fillId="0" borderId="6" xfId="0" applyNumberFormat="1" applyBorder="1"/>
    <xf numFmtId="165" fontId="0" fillId="0" borderId="7" xfId="0" applyNumberFormat="1" applyBorder="1"/>
    <xf numFmtId="165" fontId="0" fillId="0" borderId="8" xfId="0" applyNumberFormat="1" applyBorder="1"/>
    <xf numFmtId="3" fontId="0" fillId="4" borderId="7" xfId="6" applyNumberFormat="1" applyFont="1" applyBorder="1" applyAlignment="1">
      <alignment horizontal="center"/>
      <protection locked="0"/>
    </xf>
    <xf numFmtId="4" fontId="0" fillId="4" borderId="7" xfId="6" applyFont="1" applyBorder="1" applyAlignment="1">
      <protection locked="0"/>
    </xf>
    <xf numFmtId="173" fontId="5" fillId="9" borderId="5" xfId="9" applyNumberFormat="1" applyFill="1" applyBorder="1"/>
    <xf numFmtId="0" fontId="0" fillId="6" borderId="3" xfId="0" applyFill="1" applyBorder="1" applyAlignment="1">
      <alignment wrapText="1"/>
    </xf>
    <xf numFmtId="0" fontId="0" fillId="6" borderId="0" xfId="0" applyFill="1" applyAlignment="1">
      <alignment wrapText="1"/>
    </xf>
    <xf numFmtId="0" fontId="2" fillId="6" borderId="3" xfId="4" applyNumberFormat="1" applyFill="1" applyBorder="1" applyAlignment="1">
      <alignment horizontal="center" wrapText="1"/>
    </xf>
    <xf numFmtId="0" fontId="0" fillId="6" borderId="5" xfId="0" applyFill="1" applyBorder="1" applyAlignment="1">
      <alignment horizontal="center" wrapText="1"/>
    </xf>
    <xf numFmtId="0" fontId="10" fillId="6" borderId="0" xfId="0" applyFont="1" applyFill="1" applyAlignment="1">
      <alignment wrapText="1"/>
    </xf>
    <xf numFmtId="0" fontId="0" fillId="0" borderId="7" xfId="0" applyBorder="1" applyAlignment="1">
      <alignment horizontal="center"/>
    </xf>
    <xf numFmtId="9" fontId="10" fillId="0" borderId="0" xfId="18" applyFont="1" applyBorder="1" applyAlignment="1">
      <alignment horizontal="right" wrapText="1"/>
    </xf>
    <xf numFmtId="9" fontId="10" fillId="0" borderId="0" xfId="18" applyFont="1" applyAlignment="1">
      <alignment horizontal="right" wrapText="1"/>
    </xf>
    <xf numFmtId="9" fontId="10" fillId="0" borderId="0" xfId="18" applyFont="1" applyAlignment="1">
      <alignment wrapText="1"/>
    </xf>
    <xf numFmtId="3" fontId="0" fillId="0" borderId="5" xfId="0" applyNumberFormat="1" applyBorder="1"/>
    <xf numFmtId="4" fontId="1" fillId="4" borderId="5" xfId="6" applyBorder="1" applyAlignment="1">
      <protection locked="0"/>
    </xf>
    <xf numFmtId="0" fontId="0" fillId="0" borderId="20" xfId="0" applyBorder="1"/>
    <xf numFmtId="3" fontId="0" fillId="0" borderId="10" xfId="0" applyNumberFormat="1" applyBorder="1"/>
    <xf numFmtId="0" fontId="10" fillId="6" borderId="0" xfId="14" applyFont="1" applyFill="1" applyBorder="1" applyAlignment="1">
      <alignment horizontal="center" wrapText="1"/>
    </xf>
    <xf numFmtId="0" fontId="1" fillId="6" borderId="0" xfId="0" applyFont="1" applyFill="1"/>
    <xf numFmtId="0" fontId="0" fillId="6" borderId="20" xfId="0" applyFill="1" applyBorder="1" applyAlignment="1">
      <alignment horizontal="centerContinuous"/>
    </xf>
    <xf numFmtId="0" fontId="0" fillId="6" borderId="10" xfId="0" applyFill="1" applyBorder="1" applyAlignment="1">
      <alignment horizontal="centerContinuous"/>
    </xf>
    <xf numFmtId="0" fontId="0" fillId="6" borderId="5" xfId="0" applyFill="1" applyBorder="1" applyAlignment="1">
      <alignment horizontal="center"/>
    </xf>
    <xf numFmtId="0" fontId="12" fillId="6" borderId="0" xfId="11" quotePrefix="1" applyFill="1"/>
    <xf numFmtId="172" fontId="10" fillId="6" borderId="0" xfId="14" applyNumberFormat="1" applyFont="1" applyFill="1"/>
    <xf numFmtId="0" fontId="10" fillId="6" borderId="0" xfId="14" applyFont="1" applyFill="1" applyBorder="1" applyAlignment="1">
      <alignment horizontal="right"/>
    </xf>
    <xf numFmtId="0" fontId="4" fillId="6" borderId="21" xfId="8" applyNumberFormat="1" applyFill="1" applyBorder="1" applyAlignment="1" applyProtection="1">
      <alignment horizontal="right"/>
    </xf>
    <xf numFmtId="3" fontId="1" fillId="6" borderId="6" xfId="14" applyNumberFormat="1" applyFont="1" applyFill="1" applyBorder="1"/>
    <xf numFmtId="0" fontId="1" fillId="6" borderId="6" xfId="14" applyFont="1" applyFill="1" applyBorder="1"/>
    <xf numFmtId="4" fontId="1" fillId="6" borderId="5" xfId="14" applyNumberFormat="1" applyFont="1" applyFill="1" applyBorder="1" applyAlignment="1" applyProtection="1">
      <alignment horizontal="center"/>
      <protection locked="0"/>
    </xf>
    <xf numFmtId="165" fontId="1" fillId="6" borderId="5" xfId="14" applyNumberFormat="1" applyFont="1" applyFill="1" applyBorder="1" applyAlignment="1" applyProtection="1">
      <alignment horizontal="center"/>
      <protection locked="0"/>
    </xf>
    <xf numFmtId="0" fontId="1" fillId="6" borderId="5" xfId="14" applyFont="1" applyFill="1" applyBorder="1" applyAlignment="1">
      <alignment horizontal="center" wrapText="1"/>
    </xf>
    <xf numFmtId="4" fontId="1" fillId="4" borderId="6" xfId="6" applyBorder="1" applyAlignment="1">
      <alignment horizontal="center"/>
      <protection locked="0"/>
    </xf>
    <xf numFmtId="0" fontId="1" fillId="6" borderId="0" xfId="14" applyFont="1" applyFill="1" applyAlignment="1">
      <alignment horizontal="center" wrapText="1"/>
    </xf>
    <xf numFmtId="0" fontId="1" fillId="6" borderId="0" xfId="14" applyFont="1" applyFill="1" applyAlignment="1">
      <alignment horizontal="left" indent="1"/>
    </xf>
    <xf numFmtId="0" fontId="11" fillId="6" borderId="0" xfId="0" applyFont="1" applyFill="1"/>
    <xf numFmtId="0" fontId="1" fillId="6" borderId="0" xfId="14" applyFont="1" applyFill="1" applyAlignment="1">
      <alignment vertical="center"/>
    </xf>
    <xf numFmtId="0" fontId="1" fillId="6" borderId="0" xfId="14" applyFont="1" applyFill="1" applyAlignment="1"/>
    <xf numFmtId="0" fontId="23" fillId="6" borderId="0" xfId="14" applyFont="1" applyFill="1"/>
    <xf numFmtId="0" fontId="23" fillId="6" borderId="0" xfId="14" quotePrefix="1" applyFont="1" applyFill="1"/>
    <xf numFmtId="0" fontId="19" fillId="6" borderId="0" xfId="14" applyFont="1" applyFill="1" applyAlignment="1">
      <alignment horizontal="left"/>
    </xf>
    <xf numFmtId="169" fontId="1" fillId="4" borderId="5" xfId="6" applyNumberFormat="1" applyBorder="1" applyAlignment="1">
      <alignment horizontal="center"/>
      <protection locked="0"/>
    </xf>
    <xf numFmtId="0" fontId="0" fillId="0" borderId="5" xfId="0" applyBorder="1" applyAlignment="1">
      <alignment vertical="top" wrapText="1"/>
    </xf>
    <xf numFmtId="0" fontId="0" fillId="0" borderId="5" xfId="0" applyBorder="1"/>
    <xf numFmtId="0" fontId="0" fillId="0" borderId="6" xfId="0" applyBorder="1" applyAlignment="1">
      <alignment vertical="top" wrapText="1"/>
    </xf>
    <xf numFmtId="0" fontId="0" fillId="0" borderId="5" xfId="0" applyBorder="1" applyAlignment="1">
      <alignment horizontal="center" vertical="top"/>
    </xf>
    <xf numFmtId="174" fontId="0" fillId="0" borderId="5" xfId="0" applyNumberFormat="1" applyBorder="1" applyAlignment="1">
      <alignment horizontal="center" vertical="top"/>
    </xf>
    <xf numFmtId="0" fontId="12" fillId="0" borderId="0" xfId="11"/>
    <xf numFmtId="0" fontId="12" fillId="0" borderId="0" xfId="11" applyAlignment="1">
      <alignment vertical="top"/>
    </xf>
    <xf numFmtId="0" fontId="19" fillId="0" borderId="0" xfId="0" applyFont="1" applyAlignment="1">
      <alignment horizontal="left" indent="2"/>
    </xf>
    <xf numFmtId="175" fontId="0" fillId="0" borderId="6" xfId="0" applyNumberFormat="1" applyBorder="1"/>
    <xf numFmtId="175" fontId="0" fillId="0" borderId="7" xfId="0" applyNumberFormat="1" applyBorder="1"/>
    <xf numFmtId="3" fontId="1" fillId="4" borderId="17" xfId="6" applyNumberFormat="1" applyBorder="1" applyAlignment="1">
      <protection locked="0"/>
    </xf>
    <xf numFmtId="0" fontId="24" fillId="0" borderId="0" xfId="0" applyFont="1"/>
    <xf numFmtId="3" fontId="1" fillId="4" borderId="5" xfId="6" applyNumberFormat="1" applyBorder="1" applyAlignment="1">
      <protection locked="0"/>
    </xf>
    <xf numFmtId="3" fontId="1" fillId="0" borderId="5" xfId="6" applyNumberFormat="1" applyFill="1" applyBorder="1" applyAlignment="1">
      <protection locked="0"/>
    </xf>
    <xf numFmtId="0" fontId="25" fillId="0" borderId="0" xfId="0" applyFont="1"/>
    <xf numFmtId="0" fontId="26" fillId="0" borderId="0" xfId="0" applyFont="1"/>
    <xf numFmtId="4" fontId="25" fillId="0" borderId="0" xfId="0" applyNumberFormat="1" applyFont="1"/>
    <xf numFmtId="0" fontId="25" fillId="0" borderId="23" xfId="0" applyFont="1" applyBorder="1"/>
    <xf numFmtId="0" fontId="26" fillId="0" borderId="23" xfId="0" applyFont="1" applyBorder="1"/>
    <xf numFmtId="0" fontId="0" fillId="13" borderId="5" xfId="0" applyFill="1" applyBorder="1" applyAlignment="1">
      <alignment horizontal="center"/>
    </xf>
    <xf numFmtId="9" fontId="0" fillId="14" borderId="6" xfId="20" applyFont="1" applyFill="1" applyBorder="1" applyAlignment="1">
      <alignment horizontal="center"/>
    </xf>
    <xf numFmtId="9" fontId="0" fillId="14" borderId="7" xfId="20" applyFont="1" applyFill="1" applyBorder="1" applyAlignment="1">
      <alignment horizontal="center"/>
    </xf>
    <xf numFmtId="49" fontId="1" fillId="4" borderId="6" xfId="6" applyNumberFormat="1" applyBorder="1" applyAlignment="1">
      <alignment horizontal="center"/>
      <protection locked="0"/>
    </xf>
    <xf numFmtId="49" fontId="1" fillId="4" borderId="7" xfId="6" applyNumberFormat="1" applyBorder="1" applyAlignment="1">
      <alignment horizontal="center"/>
      <protection locked="0"/>
    </xf>
    <xf numFmtId="170" fontId="28" fillId="0" borderId="0" xfId="0" applyNumberFormat="1" applyFont="1"/>
    <xf numFmtId="170" fontId="29" fillId="0" borderId="24" xfId="0" applyNumberFormat="1" applyFont="1" applyBorder="1"/>
    <xf numFmtId="175" fontId="29" fillId="0" borderId="24" xfId="0" applyNumberFormat="1" applyFont="1" applyBorder="1"/>
    <xf numFmtId="0" fontId="29" fillId="0" borderId="0" xfId="0" applyFont="1"/>
    <xf numFmtId="175" fontId="29" fillId="0" borderId="0" xfId="0" applyNumberFormat="1" applyFont="1"/>
    <xf numFmtId="0" fontId="29" fillId="0" borderId="22" xfId="0" applyFont="1" applyBorder="1"/>
    <xf numFmtId="175" fontId="29" fillId="0" borderId="22" xfId="0" applyNumberFormat="1" applyFont="1" applyBorder="1"/>
    <xf numFmtId="176" fontId="29" fillId="0" borderId="0" xfId="1" applyNumberFormat="1" applyFont="1" applyFill="1" applyBorder="1"/>
    <xf numFmtId="0" fontId="29" fillId="0" borderId="0" xfId="0" applyFont="1" applyAlignment="1">
      <alignment horizontal="center"/>
    </xf>
    <xf numFmtId="0" fontId="28" fillId="0" borderId="0" xfId="0" applyFont="1"/>
    <xf numFmtId="43" fontId="29" fillId="0" borderId="24" xfId="1" applyFont="1" applyFill="1" applyBorder="1"/>
    <xf numFmtId="43" fontId="29" fillId="0" borderId="0" xfId="1" applyFont="1" applyFill="1" applyBorder="1"/>
    <xf numFmtId="43" fontId="29" fillId="0" borderId="22" xfId="1" applyFont="1" applyFill="1" applyBorder="1"/>
    <xf numFmtId="6" fontId="25" fillId="0" borderId="0" xfId="0" applyNumberFormat="1" applyFont="1"/>
    <xf numFmtId="0" fontId="25" fillId="0" borderId="23" xfId="0" applyFont="1" applyBorder="1" applyAlignment="1">
      <alignment horizontal="right"/>
    </xf>
    <xf numFmtId="0" fontId="25" fillId="0" borderId="0" xfId="0" applyFont="1" applyAlignment="1">
      <alignment horizontal="right"/>
    </xf>
    <xf numFmtId="0" fontId="27" fillId="15" borderId="0" xfId="0" applyFont="1" applyFill="1"/>
    <xf numFmtId="0" fontId="30" fillId="15" borderId="0" xfId="0" applyFont="1" applyFill="1"/>
    <xf numFmtId="3" fontId="10" fillId="0" borderId="25" xfId="0" applyNumberFormat="1" applyFont="1" applyBorder="1"/>
    <xf numFmtId="0" fontId="30" fillId="0" borderId="0" xfId="0" applyFont="1"/>
    <xf numFmtId="0" fontId="27" fillId="0" borderId="0" xfId="0" applyFont="1"/>
    <xf numFmtId="6" fontId="25" fillId="16" borderId="0" xfId="0" applyNumberFormat="1" applyFont="1" applyFill="1"/>
    <xf numFmtId="4" fontId="0" fillId="0" borderId="0" xfId="0" applyNumberFormat="1" applyAlignment="1">
      <alignment horizontal="right"/>
    </xf>
    <xf numFmtId="165" fontId="0" fillId="0" borderId="5" xfId="0" applyNumberFormat="1" applyBorder="1" applyAlignment="1">
      <alignment horizontal="center"/>
    </xf>
    <xf numFmtId="0" fontId="0" fillId="6" borderId="0" xfId="0" applyFill="1" applyAlignment="1">
      <alignment horizontal="centerContinuous"/>
    </xf>
    <xf numFmtId="0" fontId="25" fillId="0" borderId="23" xfId="0" applyFont="1" applyBorder="1" applyAlignment="1">
      <alignment horizontal="center"/>
    </xf>
    <xf numFmtId="177" fontId="25" fillId="0" borderId="0" xfId="1" applyNumberFormat="1" applyFont="1"/>
    <xf numFmtId="10" fontId="25" fillId="0" borderId="0" xfId="20" applyNumberFormat="1" applyFont="1" applyAlignment="1">
      <alignment horizontal="center"/>
    </xf>
    <xf numFmtId="175" fontId="25" fillId="0" borderId="0" xfId="0" applyNumberFormat="1" applyFont="1" applyAlignment="1">
      <alignment horizontal="center"/>
    </xf>
    <xf numFmtId="6" fontId="25" fillId="0" borderId="0" xfId="0" applyNumberFormat="1" applyFont="1" applyAlignment="1">
      <alignment horizontal="center"/>
    </xf>
    <xf numFmtId="166" fontId="1" fillId="4" borderId="5" xfId="6" applyNumberFormat="1" applyBorder="1" applyAlignment="1">
      <alignment horizontal="center"/>
      <protection locked="0"/>
    </xf>
    <xf numFmtId="166" fontId="1" fillId="10" borderId="5" xfId="6" applyNumberFormat="1" applyFill="1" applyBorder="1" applyAlignment="1">
      <alignment horizontal="center"/>
      <protection locked="0"/>
    </xf>
    <xf numFmtId="175" fontId="1" fillId="4" borderId="6" xfId="6" applyNumberFormat="1" applyBorder="1" applyAlignment="1">
      <protection locked="0"/>
    </xf>
    <xf numFmtId="175" fontId="1" fillId="4" borderId="7" xfId="6" applyNumberFormat="1" applyBorder="1" applyAlignment="1">
      <protection locked="0"/>
    </xf>
    <xf numFmtId="175" fontId="25" fillId="4" borderId="0" xfId="6" applyNumberFormat="1" applyFont="1" applyBorder="1" applyAlignment="1">
      <alignment horizontal="center"/>
      <protection locked="0"/>
    </xf>
    <xf numFmtId="49" fontId="1" fillId="0" borderId="0" xfId="6" applyNumberFormat="1" applyFill="1" applyBorder="1" applyAlignment="1">
      <alignment horizontal="center"/>
      <protection locked="0"/>
    </xf>
    <xf numFmtId="0" fontId="25" fillId="0" borderId="0" xfId="0" applyFont="1" applyAlignment="1">
      <alignment horizontal="left"/>
    </xf>
    <xf numFmtId="0" fontId="25" fillId="0" borderId="0" xfId="0" applyFont="1" applyAlignment="1">
      <alignment horizontal="center"/>
    </xf>
    <xf numFmtId="0" fontId="25" fillId="0" borderId="26" xfId="0" applyFont="1" applyBorder="1"/>
    <xf numFmtId="43" fontId="25" fillId="0" borderId="0" xfId="0" applyNumberFormat="1" applyFont="1"/>
    <xf numFmtId="165" fontId="0" fillId="6" borderId="5" xfId="0" applyNumberFormat="1" applyFill="1" applyBorder="1" applyAlignment="1">
      <alignment horizontal="center" wrapText="1"/>
    </xf>
    <xf numFmtId="175" fontId="33" fillId="0" borderId="0" xfId="0" applyNumberFormat="1" applyFont="1"/>
    <xf numFmtId="165" fontId="0" fillId="0" borderId="5" xfId="20" applyNumberFormat="1" applyFont="1" applyBorder="1"/>
    <xf numFmtId="0" fontId="0" fillId="0" borderId="2" xfId="0" applyBorder="1" applyAlignment="1">
      <alignment horizontal="right"/>
    </xf>
    <xf numFmtId="175" fontId="0" fillId="0" borderId="8" xfId="0" applyNumberFormat="1" applyBorder="1"/>
    <xf numFmtId="175" fontId="1" fillId="4" borderId="8" xfId="6" applyNumberFormat="1" applyBorder="1" applyAlignment="1">
      <protection locked="0"/>
    </xf>
    <xf numFmtId="175" fontId="0" fillId="17" borderId="7" xfId="0" applyNumberFormat="1" applyFill="1" applyBorder="1"/>
    <xf numFmtId="0" fontId="10" fillId="0" borderId="0" xfId="0" applyFont="1" applyAlignment="1">
      <alignment horizontal="right"/>
    </xf>
    <xf numFmtId="10" fontId="0" fillId="0" borderId="0" xfId="0" applyNumberFormat="1"/>
    <xf numFmtId="6" fontId="25" fillId="18" borderId="0" xfId="0" applyNumberFormat="1" applyFont="1" applyFill="1"/>
    <xf numFmtId="43" fontId="25" fillId="0" borderId="0" xfId="1" applyFont="1" applyFill="1" applyAlignment="1"/>
    <xf numFmtId="0" fontId="0" fillId="0" borderId="0" xfId="0" applyBorder="1"/>
    <xf numFmtId="0" fontId="25" fillId="0" borderId="0" xfId="0" applyFont="1" applyBorder="1"/>
    <xf numFmtId="6" fontId="25" fillId="0" borderId="0" xfId="0" applyNumberFormat="1" applyFont="1" applyBorder="1" applyAlignment="1">
      <alignment horizontal="center"/>
    </xf>
    <xf numFmtId="6" fontId="25" fillId="18" borderId="0" xfId="0" applyNumberFormat="1" applyFont="1" applyFill="1" applyBorder="1"/>
    <xf numFmtId="6" fontId="25" fillId="16" borderId="0" xfId="0" applyNumberFormat="1" applyFont="1" applyFill="1" applyBorder="1"/>
    <xf numFmtId="6" fontId="25" fillId="0" borderId="0" xfId="0" applyNumberFormat="1" applyFont="1" applyBorder="1"/>
    <xf numFmtId="4" fontId="0" fillId="0" borderId="0" xfId="0" applyNumberFormat="1" applyBorder="1" applyAlignment="1">
      <alignment horizontal="right"/>
    </xf>
    <xf numFmtId="177" fontId="25" fillId="0" borderId="0" xfId="1" applyNumberFormat="1" applyFont="1" applyBorder="1"/>
    <xf numFmtId="43" fontId="25" fillId="0" borderId="0" xfId="1" applyFont="1" applyFill="1" applyBorder="1" applyAlignment="1"/>
    <xf numFmtId="175" fontId="25" fillId="0" borderId="0" xfId="0" applyNumberFormat="1" applyFont="1" applyBorder="1" applyAlignment="1">
      <alignment horizontal="center"/>
    </xf>
    <xf numFmtId="4" fontId="5" fillId="9" borderId="0" xfId="9" applyNumberFormat="1" applyFill="1" applyBorder="1"/>
    <xf numFmtId="4" fontId="5" fillId="9" borderId="5" xfId="9" applyNumberFormat="1" applyFill="1" applyBorder="1"/>
    <xf numFmtId="4" fontId="5" fillId="5" borderId="20" xfId="9" applyNumberFormat="1" applyBorder="1"/>
    <xf numFmtId="4" fontId="5" fillId="9" borderId="10" xfId="9" applyNumberFormat="1" applyFill="1" applyBorder="1"/>
    <xf numFmtId="0" fontId="29" fillId="0" borderId="0" xfId="0" applyFont="1" applyBorder="1" applyAlignment="1">
      <alignment horizontal="center"/>
    </xf>
    <xf numFmtId="175" fontId="29" fillId="0" borderId="0" xfId="0" applyNumberFormat="1" applyFont="1" applyBorder="1"/>
    <xf numFmtId="170" fontId="23" fillId="4" borderId="7" xfId="6" applyNumberFormat="1" applyFont="1" applyBorder="1" applyAlignment="1">
      <alignment horizontal="center"/>
      <protection locked="0"/>
    </xf>
    <xf numFmtId="0" fontId="0" fillId="0" borderId="0" xfId="0" applyFill="1" applyBorder="1"/>
    <xf numFmtId="0" fontId="10" fillId="0" borderId="0" xfId="0" applyFont="1" applyFill="1" applyBorder="1"/>
    <xf numFmtId="0" fontId="0" fillId="0" borderId="0" xfId="0" applyAlignment="1">
      <alignment wrapText="1"/>
    </xf>
    <xf numFmtId="0" fontId="0" fillId="0" borderId="0" xfId="0" applyAlignment="1"/>
    <xf numFmtId="4" fontId="1" fillId="4" borderId="20" xfId="6" applyBorder="1" applyAlignment="1">
      <protection locked="0"/>
    </xf>
    <xf numFmtId="0" fontId="0" fillId="0" borderId="10" xfId="0" applyBorder="1" applyAlignment="1"/>
    <xf numFmtId="4" fontId="10" fillId="4" borderId="20" xfId="6" applyFont="1" applyBorder="1" applyAlignment="1">
      <alignment horizontal="center" wrapText="1"/>
      <protection locked="0"/>
    </xf>
    <xf numFmtId="0" fontId="0" fillId="0" borderId="10" xfId="0" applyBorder="1" applyAlignment="1">
      <alignment horizontal="center" wrapText="1"/>
    </xf>
  </cellXfs>
  <cellStyles count="24">
    <cellStyle name="Change in Formula" xfId="3" xr:uid="{00000000-0005-0000-0000-000000000000}"/>
    <cellStyle name="Comma" xfId="1" builtinId="3" customBuiltin="1"/>
    <cellStyle name="Comma [0]" xfId="2" builtinId="6" customBuiltin="1"/>
    <cellStyle name="Currency 2" xfId="21" xr:uid="{9C7387B0-8FA0-4F19-B1CC-4ED28E0E718B}"/>
    <cellStyle name="Error checks" xfId="4" xr:uid="{00000000-0005-0000-0000-000003000000}"/>
    <cellStyle name="Error Warning" xfId="5" xr:uid="{00000000-0005-0000-0000-000004000000}"/>
    <cellStyle name="Hyperlink" xfId="11" builtinId="8"/>
    <cellStyle name="Info/Default #" xfId="16" xr:uid="{00000000-0005-0000-0000-000006000000}"/>
    <cellStyle name="Info/default %" xfId="13" xr:uid="{00000000-0005-0000-0000-000007000000}"/>
    <cellStyle name="Info/import #" xfId="12" xr:uid="{00000000-0005-0000-0000-000008000000}"/>
    <cellStyle name="Info/import %" xfId="15" xr:uid="{00000000-0005-0000-0000-000009000000}"/>
    <cellStyle name="Input #" xfId="6" xr:uid="{00000000-0005-0000-0000-00000A000000}"/>
    <cellStyle name="Input %" xfId="7" xr:uid="{00000000-0005-0000-0000-00000B000000}"/>
    <cellStyle name="Input % 2" xfId="17" xr:uid="{00000000-0005-0000-0000-00000C000000}"/>
    <cellStyle name="Input2" xfId="8" xr:uid="{00000000-0005-0000-0000-00000D000000}"/>
    <cellStyle name="Key Outputs" xfId="9" xr:uid="{00000000-0005-0000-0000-00000E000000}"/>
    <cellStyle name="Links from other files (green) style" xfId="10" xr:uid="{00000000-0005-0000-0000-00000F000000}"/>
    <cellStyle name="Normal" xfId="0" builtinId="0" customBuiltin="1"/>
    <cellStyle name="Normal 2" xfId="23" xr:uid="{D7EFA709-BA4E-4A8C-B399-747F9AA258A4}"/>
    <cellStyle name="Normal 2 2" xfId="22" xr:uid="{4023A109-E1CF-41F9-9A37-E9F662901ECA}"/>
    <cellStyle name="Percent" xfId="20" builtinId="5"/>
    <cellStyle name="Percent 2" xfId="18" xr:uid="{00000000-0005-0000-0000-000011000000}"/>
    <cellStyle name="Percent 2 2" xfId="19" xr:uid="{00000000-0005-0000-0000-000012000000}"/>
    <cellStyle name="QA" xfId="14" xr:uid="{00000000-0005-0000-0000-000013000000}"/>
  </cellStyles>
  <dxfs count="16">
    <dxf>
      <fill>
        <patternFill>
          <bgColor rgb="FFDDDDDD"/>
        </patternFill>
      </fill>
    </dxf>
    <dxf>
      <fill>
        <patternFill>
          <bgColor rgb="FFDDDDDD"/>
        </patternFill>
      </fill>
    </dxf>
    <dxf>
      <font>
        <b/>
        <i val="0"/>
        <color rgb="FFFF0000"/>
      </font>
    </dxf>
    <dxf>
      <font>
        <b/>
        <i val="0"/>
        <color rgb="FFFF0000"/>
      </font>
    </dxf>
    <dxf>
      <font>
        <b/>
        <i val="0"/>
        <color rgb="FFFF0000"/>
      </font>
    </dxf>
    <dxf>
      <font>
        <b/>
        <i val="0"/>
        <color rgb="FFFF0000"/>
      </font>
    </dxf>
    <dxf>
      <font>
        <color theme="8"/>
      </font>
    </dxf>
    <dxf>
      <font>
        <b/>
        <i val="0"/>
        <color rgb="FFFF0000"/>
      </font>
    </dxf>
    <dxf>
      <font>
        <b/>
        <i val="0"/>
        <color rgb="FFFF0000"/>
      </font>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ont>
        <b/>
        <i val="0"/>
        <color rgb="FFFF0000"/>
      </font>
    </dxf>
    <dxf>
      <font>
        <b/>
        <i val="0"/>
        <color rgb="FFFF0000"/>
      </font>
    </dxf>
  </dxfs>
  <tableStyles count="0" defaultTableStyle="TableStyleMedium2" defaultPivotStyle="PivotStyleLight16"/>
  <colors>
    <mruColors>
      <color rgb="FF8FB8FB"/>
      <color rgb="FFFFFFCC"/>
      <color rgb="FFFF9933"/>
      <color rgb="FFDDDDDD"/>
      <color rgb="FF6EA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476249</xdr:colOff>
      <xdr:row>11</xdr:row>
      <xdr:rowOff>66675</xdr:rowOff>
    </xdr:from>
    <xdr:ext cx="4324351" cy="55245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 xmlns:m="http://schemas.openxmlformats.org/officeDocument/2006/math">
                  <m:sSub>
                    <m:sSubPr>
                      <m:ctrlPr>
                        <a:rPr lang="en-AU" sz="1400" b="0" i="1">
                          <a:latin typeface="Cambria Math" panose="02040503050406030204" pitchFamily="18" charset="0"/>
                        </a:rPr>
                      </m:ctrlPr>
                    </m:sSubPr>
                    <m:e>
                      <m:r>
                        <a:rPr lang="en-AU" sz="1400" b="0" i="1">
                          <a:latin typeface="Cambria Math"/>
                        </a:rPr>
                        <m:t>𝑀𝑃</m:t>
                      </m:r>
                    </m:e>
                    <m:sub>
                      <m:r>
                        <a:rPr lang="en-AU" sz="1400" b="0" i="1">
                          <a:latin typeface="Cambria Math"/>
                        </a:rPr>
                        <m:t>𝑆𝑐h</m:t>
                      </m:r>
                      <m:r>
                        <a:rPr lang="en-AU" sz="1400" b="0" i="1">
                          <a:latin typeface="Cambria Math"/>
                        </a:rPr>
                        <m:t>1</m:t>
                      </m:r>
                    </m:sub>
                  </m:sSub>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1</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1</m:t>
                          </m:r>
                        </m:sub>
                      </m:sSub>
                    </m:den>
                  </m:f>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2</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2</m:t>
                          </m:r>
                        </m:sub>
                      </m:sSub>
                    </m:den>
                  </m:f>
                  <m:r>
                    <a:rPr lang="en-AU" sz="1400" b="0" i="1">
                      <a:latin typeface="Cambria Math"/>
                    </a:rPr>
                    <m:t>−</m:t>
                  </m:r>
                  <m:f>
                    <m:fPr>
                      <m:ctrlPr>
                        <a:rPr lang="en-AU" sz="1400" b="0" i="1">
                          <a:latin typeface="Cambria Math" panose="02040503050406030204" pitchFamily="18" charset="0"/>
                        </a:rPr>
                      </m:ctrlPr>
                    </m:fPr>
                    <m:num>
                      <m:r>
                        <a:rPr lang="en-AU" sz="1400" b="0" i="1">
                          <a:latin typeface="Cambria Math"/>
                        </a:rPr>
                        <m:t>𝑁𝑃𝑉</m:t>
                      </m:r>
                      <m:d>
                        <m:dPr>
                          <m:ctrlPr>
                            <a:rPr lang="en-AU" sz="1400" b="0" i="1">
                              <a:latin typeface="Cambria Math" panose="02040503050406030204" pitchFamily="18" charset="0"/>
                            </a:rPr>
                          </m:ctrlPr>
                        </m:dPr>
                        <m:e>
                          <m:sSub>
                            <m:sSubPr>
                              <m:ctrlPr>
                                <a:rPr lang="en-AU" sz="1400" b="0" i="1">
                                  <a:latin typeface="Cambria Math" panose="02040503050406030204" pitchFamily="18" charset="0"/>
                                </a:rPr>
                              </m:ctrlPr>
                            </m:sSubPr>
                            <m:e>
                              <m:r>
                                <a:rPr lang="en-AU" sz="1400" b="0" i="1">
                                  <a:latin typeface="Cambria Math"/>
                                </a:rPr>
                                <m:t>𝑅</m:t>
                              </m:r>
                            </m:e>
                            <m:sub>
                              <m:r>
                                <a:rPr lang="en-AU" sz="1400" b="0" i="1">
                                  <a:latin typeface="Cambria Math"/>
                                </a:rPr>
                                <m:t>𝑖</m:t>
                              </m:r>
                            </m:sub>
                          </m:sSub>
                          <m:r>
                            <a:rPr lang="en-AU" sz="1400" b="0" i="1">
                              <a:latin typeface="Cambria Math"/>
                            </a:rPr>
                            <m:t>−</m:t>
                          </m:r>
                          <m:sSub>
                            <m:sSubPr>
                              <m:ctrlPr>
                                <a:rPr lang="en-AU" sz="1400" b="0" i="1">
                                  <a:latin typeface="Cambria Math" panose="02040503050406030204" pitchFamily="18" charset="0"/>
                                </a:rPr>
                              </m:ctrlPr>
                            </m:sSubPr>
                            <m:e>
                              <m:r>
                                <a:rPr lang="en-AU" sz="1400" b="0" i="1">
                                  <a:latin typeface="Cambria Math"/>
                                </a:rPr>
                                <m:t>𝐶</m:t>
                              </m:r>
                            </m:e>
                            <m:sub>
                              <m:r>
                                <a:rPr lang="en-AU" sz="1400" b="0" i="1">
                                  <a:latin typeface="Cambria Math"/>
                                </a:rPr>
                                <m:t>𝑖</m:t>
                              </m:r>
                            </m:sub>
                          </m:sSub>
                        </m:e>
                      </m:d>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3</m:t>
                          </m:r>
                        </m:sub>
                      </m:sSub>
                    </m:den>
                  </m:f>
                </m:oMath>
              </a14:m>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Choice>
      <mc:Fallback xmlns="">
        <xdr:sp macro="" textlink="">
          <xdr:nvSpPr>
            <xdr:cNvPr id="3" name="TextBox 2"/>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400" b="0" i="0">
                  <a:latin typeface="Cambria Math"/>
                </a:rPr>
                <a:t>〖𝑀𝑃〗_𝑆𝑐ℎ1=𝐾_1/𝐿_1 +𝐾_2/𝐿_2 −𝑁𝑃𝑉(𝑅_𝑖−𝐶_𝑖 )/𝐿_3 </a:t>
              </a:r>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37</xdr:col>
      <xdr:colOff>38100</xdr:colOff>
      <xdr:row>11</xdr:row>
      <xdr:rowOff>19050</xdr:rowOff>
    </xdr:from>
    <xdr:to>
      <xdr:col>37</xdr:col>
      <xdr:colOff>314325</xdr:colOff>
      <xdr:row>18</xdr:row>
      <xdr:rowOff>142875</xdr:rowOff>
    </xdr:to>
    <xdr:sp macro="" textlink="">
      <xdr:nvSpPr>
        <xdr:cNvPr id="2" name="Right Brace 1">
          <a:extLst>
            <a:ext uri="{FF2B5EF4-FFF2-40B4-BE49-F238E27FC236}">
              <a16:creationId xmlns:a16="http://schemas.microsoft.com/office/drawing/2014/main" id="{00000000-0008-0000-0800-000002000000}"/>
            </a:ext>
          </a:extLst>
        </xdr:cNvPr>
        <xdr:cNvSpPr/>
      </xdr:nvSpPr>
      <xdr:spPr>
        <a:xfrm>
          <a:off x="25117425" y="2838450"/>
          <a:ext cx="276225" cy="11906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46B849"/>
      </a:accent1>
      <a:accent2>
        <a:srgbClr val="F68B1F"/>
      </a:accent2>
      <a:accent3>
        <a:srgbClr val="D12026"/>
      </a:accent3>
      <a:accent4>
        <a:srgbClr val="1B4486"/>
      </a:accent4>
      <a:accent5>
        <a:srgbClr val="8F439B"/>
      </a:accent5>
      <a:accent6>
        <a:srgbClr val="989891"/>
      </a:accent6>
      <a:hlink>
        <a:srgbClr val="0070C0"/>
      </a:hlink>
      <a:folHlink>
        <a:srgbClr val="7030A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part.nsw.gov.au/Home/Industries/Water/Reviews/Metro-Pricing/Review-of-recycled-water-prices-for-public-water-utilities" TargetMode="External"/><Relationship Id="rId2" Type="http://schemas.openxmlformats.org/officeDocument/2006/relationships/hyperlink" Target="https://www.ipart.nsw.gov.au/Home/Industries/Water/Reviews/Metro-Pricing/Developer-charges-and-backlog-sewerage-charges-for-metropolitan-water-agencies-2017" TargetMode="External"/><Relationship Id="rId1" Type="http://schemas.openxmlformats.org/officeDocument/2006/relationships/hyperlink" Target="mailto:greg_mclennan@ipart.nsw.gov.a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ipart.nsw.gov.au/Home/Industries/Water/Reviews/Metro-Pricing/Review-of-recycled-water-prices-for-public-water-utilities"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ipart.nsw.gov.au/Home/Industries/Water/Reviews/Metro-Pricing/Review-of-recycled-water-prices-for-public-water-utilities"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1:I102"/>
  <sheetViews>
    <sheetView showGridLines="0" zoomScaleNormal="100" workbookViewId="0"/>
  </sheetViews>
  <sheetFormatPr defaultColWidth="9.09765625" defaultRowHeight="11.5" x14ac:dyDescent="0.25"/>
  <cols>
    <col min="1" max="3" width="2.69921875" customWidth="1"/>
    <col min="4" max="4" width="10.19921875" customWidth="1"/>
    <col min="5" max="5" width="139.69921875" customWidth="1"/>
  </cols>
  <sheetData>
    <row r="1" spans="3:9" ht="12" customHeight="1" x14ac:dyDescent="0.25"/>
    <row r="2" spans="3:9" ht="12" customHeight="1" x14ac:dyDescent="0.35">
      <c r="D2" s="2"/>
      <c r="E2" s="2"/>
    </row>
    <row r="3" spans="3:9" ht="20.25" customHeight="1" x14ac:dyDescent="0.35">
      <c r="C3" s="2" t="s">
        <v>0</v>
      </c>
      <c r="D3" s="7"/>
      <c r="E3" s="7"/>
      <c r="F3" s="8"/>
      <c r="G3" s="8"/>
      <c r="H3" s="8"/>
      <c r="I3" s="8"/>
    </row>
    <row r="4" spans="3:9" ht="12" customHeight="1" x14ac:dyDescent="0.25">
      <c r="C4" s="7"/>
      <c r="D4" s="7"/>
      <c r="E4" s="7"/>
      <c r="F4" s="8"/>
      <c r="G4" s="8"/>
      <c r="H4" s="8"/>
      <c r="I4" s="8"/>
    </row>
    <row r="5" spans="3:9" x14ac:dyDescent="0.25">
      <c r="C5" s="6" t="s">
        <v>1</v>
      </c>
      <c r="D5" s="6"/>
      <c r="E5" s="9" t="s">
        <v>2</v>
      </c>
      <c r="F5" s="8"/>
      <c r="G5" s="8"/>
      <c r="I5" s="8"/>
    </row>
    <row r="6" spans="3:9" x14ac:dyDescent="0.25">
      <c r="C6" t="s">
        <v>3</v>
      </c>
      <c r="E6" s="73" t="s">
        <v>4</v>
      </c>
      <c r="F6" s="8"/>
      <c r="G6" s="8"/>
      <c r="I6" s="8"/>
    </row>
    <row r="8" spans="3:9" ht="15.9" customHeight="1" x14ac:dyDescent="0.25">
      <c r="C8" s="7"/>
      <c r="D8" s="7"/>
      <c r="E8" s="7"/>
      <c r="F8" s="8"/>
      <c r="G8" s="8"/>
    </row>
    <row r="10" spans="3:9" ht="14" x14ac:dyDescent="0.3">
      <c r="C10" s="10" t="s">
        <v>5</v>
      </c>
      <c r="D10" s="10"/>
      <c r="E10" s="11"/>
    </row>
    <row r="12" spans="3:9" ht="27.15" customHeight="1" x14ac:dyDescent="0.25">
      <c r="C12" s="270" t="s">
        <v>6</v>
      </c>
      <c r="D12" s="270"/>
      <c r="E12" s="270"/>
      <c r="F12" s="8"/>
      <c r="G12" s="8"/>
      <c r="I12" s="8"/>
    </row>
    <row r="13" spans="3:9" x14ac:dyDescent="0.25">
      <c r="C13" s="39"/>
      <c r="D13" s="39"/>
      <c r="E13" s="39"/>
      <c r="F13" s="8"/>
      <c r="G13" s="8"/>
      <c r="I13" s="8"/>
    </row>
    <row r="14" spans="3:9" ht="35.4" customHeight="1" x14ac:dyDescent="0.25">
      <c r="C14" s="270" t="s">
        <v>7</v>
      </c>
      <c r="D14" s="270"/>
      <c r="E14" s="270"/>
      <c r="F14" s="8"/>
      <c r="G14" s="8"/>
      <c r="I14" s="8"/>
    </row>
    <row r="15" spans="3:9" ht="15" customHeight="1" x14ac:dyDescent="0.25">
      <c r="C15" s="12"/>
      <c r="D15" s="12"/>
      <c r="E15" s="8"/>
      <c r="F15" s="8"/>
      <c r="G15" s="8"/>
      <c r="I15" s="8"/>
    </row>
    <row r="16" spans="3:9" ht="15" customHeight="1" x14ac:dyDescent="0.3">
      <c r="C16" s="10" t="s">
        <v>8</v>
      </c>
      <c r="D16" s="10"/>
      <c r="E16" s="13"/>
      <c r="F16" s="8"/>
      <c r="G16" s="8"/>
      <c r="I16" s="8"/>
    </row>
    <row r="17" spans="2:9" ht="15" customHeight="1" x14ac:dyDescent="0.25">
      <c r="C17" s="12"/>
      <c r="D17" s="12"/>
      <c r="E17" s="8"/>
      <c r="F17" s="8"/>
      <c r="G17" s="8"/>
      <c r="I17" s="8"/>
    </row>
    <row r="18" spans="2:9" ht="37.65" customHeight="1" x14ac:dyDescent="0.25">
      <c r="C18" s="270" t="str">
        <f ca="1">"The template is designed to calculate the asset related components of a maximum price (excluding headwork assets and scheme cost allocation).  Some example data has been included for illustrative purposes in the '"&amp;MID(CELL("filename",'Pre-1996 assets'!$A$1),FIND("]",CELL("filename",'Pre-1996 assets'!$A$1))+1,255)&amp;"', '"&amp;MID(CELL("filename",'Post-1996 commissioned assets'!$A$1),FIND("]",CELL("filename",'Post-1996 commissioned assets'!$A$1))+1,255)&amp;"', '"&amp;MID(CELL("filename",'Uncommissioned assets'!$A$1),FIND("]",CELL("filename",'Uncommissioned assets'!$A$1))+1,255)&amp;"', and '"&amp;MID(CELL("filename",'ET inputs'!$A$1),FIND("]",CELL("filename",'ET inputs'!$A$1))+1,255)&amp;"' worksheets.  Please delete all illustrative data to ensure the template produces the correct results."</f>
        <v>The template is designed to calculate the asset related components of a maximum price (excluding headwork assets and scheme cost allocation).  Some example data has been included for illustrative purposes in the 'Pre-1996 assets', 'Post-1996 commissioned assets', 'Uncommissioned assets', and 'ET inputs' worksheets.  Please delete all illustrative data to ensure the template produces the correct results.</v>
      </c>
      <c r="D18" s="270"/>
      <c r="E18" s="270"/>
      <c r="F18" s="8"/>
      <c r="G18" s="8"/>
      <c r="I18" s="8"/>
    </row>
    <row r="19" spans="2:9" ht="6" customHeight="1" x14ac:dyDescent="0.25">
      <c r="D19" s="12"/>
      <c r="E19" s="8"/>
      <c r="F19" s="8"/>
      <c r="G19" s="8"/>
      <c r="I19" s="8"/>
    </row>
    <row r="20" spans="2:9" ht="37.65" customHeight="1" x14ac:dyDescent="0.25">
      <c r="B20" s="119"/>
      <c r="C20" s="270" t="str">
        <f ca="1">"There are no macros in the model.  To use the model, simply enter the required inputs on the '"&amp;MID(CELL("filename",'General inputs'!$A$1),FIND("]",CELL("filename",'General inputs'!$A$1))+1,255)&amp;"' worksheet then enter the required data into the appropriate (blue) cells in the other worksheets in dollars of the selected year. The model will then automatically calculate the maximum price. Please note that the formatting on the '"&amp;MID(CELL("filename",'MP Calculations'!A2),FIND("]",CELL("filename",'MP Calculations'!A2))+1,255)&amp;"' worksheet has been automated to reflect the correct date ranges."</f>
        <v>There are no macros in the model.  To use the model, simply enter the required inputs on the 'General inputs' worksheet then enter the required data into the appropriate (blue) cells in the other worksheets in dollars of the selected year. The model will then automatically calculate the maximum price. Please note that the formatting on the 'MP Calculations' worksheet has been automated to reflect the correct date ranges.</v>
      </c>
      <c r="D20" s="270"/>
      <c r="E20" s="270"/>
      <c r="F20" s="8"/>
      <c r="G20" s="8"/>
      <c r="I20" s="8"/>
    </row>
    <row r="21" spans="2:9" x14ac:dyDescent="0.25">
      <c r="B21" s="119"/>
      <c r="C21" s="39"/>
      <c r="D21" s="39"/>
      <c r="E21" s="39"/>
      <c r="F21" s="8"/>
      <c r="G21" s="8"/>
      <c r="I21" s="8"/>
    </row>
    <row r="22" spans="2:9" ht="14" x14ac:dyDescent="0.3">
      <c r="B22" s="119"/>
      <c r="C22" s="10" t="s">
        <v>9</v>
      </c>
      <c r="D22" s="10"/>
      <c r="E22" s="13"/>
      <c r="F22" s="8"/>
      <c r="G22" s="8"/>
      <c r="I22" s="8"/>
    </row>
    <row r="23" spans="2:9" x14ac:dyDescent="0.25">
      <c r="D23" s="12"/>
      <c r="E23" s="8"/>
      <c r="F23" s="8"/>
      <c r="G23" s="8"/>
      <c r="I23" s="8"/>
    </row>
    <row r="24" spans="2:9" x14ac:dyDescent="0.25">
      <c r="C24" s="6" t="s">
        <v>10</v>
      </c>
      <c r="D24" s="12"/>
      <c r="E24" s="8"/>
      <c r="F24" s="8"/>
      <c r="G24" s="8"/>
      <c r="I24" s="8"/>
    </row>
    <row r="25" spans="2:9" ht="6" customHeight="1" x14ac:dyDescent="0.25">
      <c r="D25" s="12"/>
      <c r="E25" s="8"/>
      <c r="F25" s="8"/>
      <c r="G25" s="8"/>
      <c r="I25" s="8"/>
    </row>
    <row r="26" spans="2:9" ht="15" customHeight="1" x14ac:dyDescent="0.25">
      <c r="C26" s="271" t="s">
        <v>11</v>
      </c>
      <c r="D26" s="271"/>
      <c r="E26" s="271"/>
      <c r="F26" s="8"/>
      <c r="G26" s="8"/>
      <c r="H26" s="8"/>
      <c r="I26" s="8"/>
    </row>
    <row r="27" spans="2:9" ht="6" customHeight="1" x14ac:dyDescent="0.25">
      <c r="D27" s="12"/>
      <c r="E27" s="8"/>
      <c r="F27" s="8"/>
      <c r="G27" s="8"/>
      <c r="H27" s="8"/>
      <c r="I27" s="8"/>
    </row>
    <row r="28" spans="2:9" ht="15" customHeight="1" x14ac:dyDescent="0.25">
      <c r="C28" s="120" t="s">
        <v>12</v>
      </c>
      <c r="D28" s="74" t="str">
        <f ca="1">MID(CELL("filename",'General inputs'!$A$1),FIND("]",CELL("filename",'General inputs'!$A$1))+1,255)</f>
        <v>General inputs</v>
      </c>
      <c r="E28" s="8"/>
      <c r="F28" s="8"/>
      <c r="G28" s="8"/>
      <c r="H28" s="8"/>
      <c r="I28" s="8"/>
    </row>
    <row r="29" spans="2:9" ht="15" customHeight="1" x14ac:dyDescent="0.25">
      <c r="C29" s="120" t="s">
        <v>12</v>
      </c>
      <c r="D29" s="8" t="str">
        <f ca="1">MID(CELL("filename",'Pre-1996 assets'!$A$1),FIND("]",CELL("filename",'Pre-1996 assets'!$A$1))+1,255)</f>
        <v>Pre-1996 assets</v>
      </c>
      <c r="E29" s="8"/>
      <c r="F29" s="8"/>
      <c r="G29" s="8"/>
      <c r="H29" s="8"/>
      <c r="I29" s="8"/>
    </row>
    <row r="30" spans="2:9" ht="15" customHeight="1" x14ac:dyDescent="0.25">
      <c r="C30" s="120" t="s">
        <v>12</v>
      </c>
      <c r="D30" s="8" t="str">
        <f ca="1">MID(CELL("filename",'Post-1996 commissioned assets'!$A$1),FIND("]",CELL("filename",'Post-1996 commissioned assets'!$A$1))+1,255)</f>
        <v>Post-1996 commissioned assets</v>
      </c>
      <c r="E30" s="8"/>
      <c r="F30" s="8"/>
      <c r="G30" s="8"/>
      <c r="H30" s="8"/>
      <c r="I30" s="8"/>
    </row>
    <row r="31" spans="2:9" ht="15" customHeight="1" x14ac:dyDescent="0.25">
      <c r="C31" s="120" t="s">
        <v>12</v>
      </c>
      <c r="D31" s="8" t="str">
        <f ca="1">MID(CELL("filename",'Uncommissioned assets'!$A$1),FIND("]",CELL("filename",'Uncommissioned assets'!$A$1))+1,255)</f>
        <v>Uncommissioned assets</v>
      </c>
      <c r="E31" s="8"/>
      <c r="F31" s="8"/>
      <c r="G31" s="8"/>
      <c r="H31" s="8"/>
      <c r="I31" s="8"/>
    </row>
    <row r="32" spans="2:9" ht="15" customHeight="1" x14ac:dyDescent="0.25">
      <c r="C32" s="120" t="s">
        <v>12</v>
      </c>
      <c r="D32" s="8" t="str">
        <f ca="1">MID(CELL("filename",'ET inputs'!$A$1),FIND("]",CELL("filename",'ET inputs'!$A$1))+1,255)</f>
        <v>ET inputs</v>
      </c>
      <c r="E32" s="8"/>
      <c r="F32" s="8"/>
      <c r="G32" s="8"/>
      <c r="H32" s="8"/>
      <c r="I32" s="8"/>
    </row>
    <row r="33" spans="3:9" ht="15" customHeight="1" x14ac:dyDescent="0.25">
      <c r="D33" s="8"/>
      <c r="E33" s="8"/>
      <c r="F33" s="8"/>
      <c r="G33" s="8"/>
      <c r="H33" s="8"/>
      <c r="I33" s="8"/>
    </row>
    <row r="34" spans="3:9" x14ac:dyDescent="0.25">
      <c r="C34" s="6" t="s">
        <v>13</v>
      </c>
      <c r="F34" s="8"/>
      <c r="G34" s="8"/>
      <c r="H34" s="8"/>
      <c r="I34" s="8"/>
    </row>
    <row r="35" spans="3:9" ht="6" customHeight="1" x14ac:dyDescent="0.25">
      <c r="C35" s="39"/>
      <c r="D35" s="39"/>
      <c r="E35" s="39"/>
      <c r="F35" s="8"/>
      <c r="G35" s="8"/>
      <c r="H35" s="8"/>
      <c r="I35" s="8"/>
    </row>
    <row r="36" spans="3:9" ht="15" customHeight="1" x14ac:dyDescent="0.25">
      <c r="C36" s="270" t="s">
        <v>14</v>
      </c>
      <c r="D36" s="270"/>
      <c r="E36" s="270"/>
      <c r="F36" s="8"/>
      <c r="G36" s="8"/>
      <c r="H36" s="8"/>
      <c r="I36" s="8"/>
    </row>
    <row r="37" spans="3:9" ht="6" customHeight="1" x14ac:dyDescent="0.25">
      <c r="D37" s="12"/>
      <c r="E37" s="8"/>
      <c r="F37" s="8"/>
      <c r="G37" s="8"/>
      <c r="H37" s="8"/>
      <c r="I37" s="8"/>
    </row>
    <row r="38" spans="3:9" ht="15" customHeight="1" x14ac:dyDescent="0.25">
      <c r="C38" s="121" t="s">
        <v>12</v>
      </c>
      <c r="D38" s="8" t="str">
        <f ca="1">MID(CELL("filename",'Reduction amount'!$A$1),FIND("]",CELL("filename",'Reduction amount'!$A$1))+1,255)</f>
        <v>Reduction amount</v>
      </c>
      <c r="E38" s="8"/>
      <c r="F38" s="8"/>
      <c r="G38" s="8"/>
      <c r="H38" s="8"/>
      <c r="I38" s="8"/>
    </row>
    <row r="39" spans="3:9" ht="6" customHeight="1" x14ac:dyDescent="0.25">
      <c r="D39" s="12"/>
      <c r="E39" s="8"/>
      <c r="F39" s="8"/>
      <c r="G39" s="8"/>
      <c r="H39" s="8"/>
      <c r="I39" s="8"/>
    </row>
    <row r="40" spans="3:9" ht="39" customHeight="1" x14ac:dyDescent="0.25">
      <c r="C40" s="270" t="str">
        <f ca="1">"On this worksheet the agency can generate the time series for Ri (revenue) and Ci (opex) over the required timeframe. These time series can be copied or linked through to the '"&amp;MID(CELL("filename",'MP Calculations'!$A$1),FIND("]",CELL("filename",'MP Calculations'!$A$1))+1,255)&amp;"' worksheet, where the reduction amount is calculated.  (This template does not generate the Ri and Ci components of the reduction amount because of the differences in price structures and operating environments between the agencies.)"</f>
        <v>On this worksheet the agency can generate the time series for Ri (revenue) and Ci (opex) over the required timeframe. These time series can be copied or linked through to the 'MP Calculations' worksheet, where the reduction amount is calculated.  (This template does not generate the Ri and Ci components of the reduction amount because of the differences in price structures and operating environments between the agencies.)</v>
      </c>
      <c r="D40" s="270"/>
      <c r="E40" s="270"/>
      <c r="F40" s="8"/>
      <c r="G40" s="8"/>
      <c r="H40" s="8"/>
      <c r="I40" s="8"/>
    </row>
    <row r="41" spans="3:9" ht="6" customHeight="1" x14ac:dyDescent="0.25">
      <c r="D41" s="8"/>
      <c r="E41" s="8"/>
      <c r="F41" s="8"/>
      <c r="G41" s="8"/>
      <c r="H41" s="8"/>
      <c r="I41" s="8"/>
    </row>
    <row r="42" spans="3:9" ht="15" customHeight="1" x14ac:dyDescent="0.25">
      <c r="C42" t="str">
        <f ca="1">"The '"&amp;MID(CELL("filename",'Reduction amount'!$A$1),FIND("]",CELL("filename",'Reduction amount'!$A$1))+1,255)&amp;"' worksheet provides instructions on how to incorporate the results in the maximum price calculations."</f>
        <v>The 'Reduction amount' worksheet provides instructions on how to incorporate the results in the maximum price calculations.</v>
      </c>
      <c r="D42" s="12"/>
      <c r="E42" s="8"/>
      <c r="F42" s="8"/>
      <c r="G42" s="8"/>
      <c r="H42" s="8"/>
      <c r="I42" s="8"/>
    </row>
    <row r="43" spans="3:9" ht="15" customHeight="1" x14ac:dyDescent="0.25">
      <c r="D43" s="12"/>
      <c r="E43" s="8"/>
      <c r="F43" s="8"/>
      <c r="G43" s="8"/>
      <c r="H43" s="8"/>
      <c r="I43" s="8"/>
    </row>
    <row r="44" spans="3:9" ht="15" customHeight="1" x14ac:dyDescent="0.25">
      <c r="C44" s="6" t="s">
        <v>15</v>
      </c>
      <c r="D44" s="8"/>
      <c r="E44" s="8"/>
      <c r="F44" s="8"/>
      <c r="G44" s="8"/>
      <c r="H44" s="8"/>
      <c r="I44" s="8"/>
    </row>
    <row r="45" spans="3:9" ht="6" customHeight="1" x14ac:dyDescent="0.25">
      <c r="C45" s="6"/>
      <c r="D45" s="8"/>
      <c r="E45" s="8"/>
      <c r="F45" s="8"/>
      <c r="G45" s="8"/>
      <c r="H45" s="8"/>
      <c r="I45" s="8"/>
    </row>
    <row r="46" spans="3:9" ht="15" customHeight="1" x14ac:dyDescent="0.25">
      <c r="C46" s="270" t="s">
        <v>16</v>
      </c>
      <c r="D46" s="270"/>
      <c r="E46" s="270"/>
      <c r="F46" s="8"/>
      <c r="G46" s="8"/>
      <c r="H46" s="8"/>
      <c r="I46" s="8"/>
    </row>
    <row r="47" spans="3:9" ht="6" customHeight="1" x14ac:dyDescent="0.25">
      <c r="C47" s="39"/>
      <c r="D47" s="39"/>
      <c r="E47" s="39"/>
      <c r="F47" s="8"/>
      <c r="G47" s="8"/>
      <c r="H47" s="8"/>
      <c r="I47" s="8"/>
    </row>
    <row r="48" spans="3:9" ht="15" customHeight="1" x14ac:dyDescent="0.25">
      <c r="C48" s="121" t="s">
        <v>12</v>
      </c>
      <c r="D48" s="8" t="str">
        <f ca="1">MID(CELL("filename",'Headwork assets'!$A$1),FIND("]",CELL("filename",'Headwork assets'!$A$1))+1,255)</f>
        <v>Headwork assets</v>
      </c>
      <c r="E48" s="8"/>
      <c r="F48" s="8"/>
      <c r="G48" s="8"/>
      <c r="H48" s="8"/>
      <c r="I48" s="8"/>
    </row>
    <row r="49" spans="3:9" ht="6" customHeight="1" x14ac:dyDescent="0.25">
      <c r="C49" s="121"/>
      <c r="D49" s="8"/>
      <c r="E49" s="8"/>
      <c r="F49" s="8"/>
      <c r="G49" s="8"/>
      <c r="H49" s="8"/>
      <c r="I49" s="8"/>
    </row>
    <row r="50" spans="3:9" ht="15" customHeight="1" x14ac:dyDescent="0.25">
      <c r="C50" s="271" t="s">
        <v>17</v>
      </c>
      <c r="D50" s="271"/>
      <c r="E50" s="271"/>
      <c r="F50" s="8"/>
      <c r="G50" s="8"/>
      <c r="H50" s="8"/>
      <c r="I50" s="8"/>
    </row>
    <row r="51" spans="3:9" ht="6" customHeight="1" x14ac:dyDescent="0.25">
      <c r="F51" s="8"/>
      <c r="G51" s="8"/>
      <c r="H51" s="8"/>
      <c r="I51" s="8"/>
    </row>
    <row r="52" spans="3:9" ht="24" customHeight="1" x14ac:dyDescent="0.25">
      <c r="C52" s="270" t="s">
        <v>18</v>
      </c>
      <c r="D52" s="270"/>
      <c r="E52" s="270"/>
      <c r="F52" s="8"/>
      <c r="G52" s="8"/>
      <c r="H52" s="8"/>
      <c r="I52" s="8"/>
    </row>
    <row r="53" spans="3:9" ht="15" customHeight="1" x14ac:dyDescent="0.25">
      <c r="C53" s="39"/>
      <c r="D53" s="39"/>
      <c r="E53" s="39"/>
      <c r="F53" s="8"/>
      <c r="G53" s="8"/>
      <c r="H53" s="8"/>
      <c r="I53" s="8"/>
    </row>
    <row r="54" spans="3:9" ht="15" customHeight="1" x14ac:dyDescent="0.25">
      <c r="C54"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54" s="39"/>
      <c r="E54" s="39"/>
      <c r="F54" s="8"/>
      <c r="G54" s="8"/>
      <c r="H54" s="8"/>
      <c r="I54" s="8"/>
    </row>
    <row r="55" spans="3:9" ht="15" customHeight="1" x14ac:dyDescent="0.25">
      <c r="C55" s="39"/>
      <c r="D55" s="39"/>
      <c r="E55" s="39"/>
      <c r="F55" s="8"/>
      <c r="G55" s="8"/>
      <c r="H55" s="8"/>
      <c r="I55" s="8"/>
    </row>
    <row r="56" spans="3:9" ht="15" customHeight="1" x14ac:dyDescent="0.25">
      <c r="C56" s="6" t="s">
        <v>19</v>
      </c>
      <c r="D56" s="8"/>
      <c r="E56" s="8"/>
      <c r="F56" s="8"/>
      <c r="G56" s="8"/>
      <c r="H56" s="8"/>
      <c r="I56" s="8"/>
    </row>
    <row r="57" spans="3:9" ht="6" customHeight="1" x14ac:dyDescent="0.25">
      <c r="C57" s="6"/>
      <c r="D57" s="8"/>
      <c r="E57" s="8"/>
      <c r="F57" s="8"/>
      <c r="G57" s="8"/>
      <c r="H57" s="8"/>
      <c r="I57" s="8"/>
    </row>
    <row r="58" spans="3:9" ht="15" customHeight="1" x14ac:dyDescent="0.25">
      <c r="C58" s="270" t="s">
        <v>20</v>
      </c>
      <c r="D58" s="270"/>
      <c r="E58" s="270"/>
      <c r="F58" s="8"/>
      <c r="G58" s="8"/>
      <c r="H58" s="8"/>
      <c r="I58" s="8"/>
    </row>
    <row r="59" spans="3:9" ht="6" customHeight="1" x14ac:dyDescent="0.25">
      <c r="C59" s="39"/>
      <c r="D59" s="39"/>
      <c r="E59" s="39"/>
      <c r="F59" s="8"/>
      <c r="G59" s="8"/>
      <c r="H59" s="8"/>
      <c r="I59" s="8"/>
    </row>
    <row r="60" spans="3:9" ht="15" customHeight="1" x14ac:dyDescent="0.25">
      <c r="C60" s="121" t="s">
        <v>12</v>
      </c>
      <c r="D60" s="8" t="str">
        <f ca="1">MID(CELL("filename",'Scheme cost allocation'!$A$1),FIND("]",CELL("filename",'Scheme cost allocation'!$A$1))+1,255)</f>
        <v>Scheme cost allocation</v>
      </c>
      <c r="E60" s="8"/>
      <c r="F60" s="8"/>
      <c r="G60" s="8"/>
      <c r="H60" s="8"/>
      <c r="I60" s="8"/>
    </row>
    <row r="61" spans="3:9" ht="6" customHeight="1" x14ac:dyDescent="0.25">
      <c r="C61" s="121"/>
      <c r="D61" s="8"/>
      <c r="E61" s="8"/>
      <c r="F61" s="8"/>
      <c r="G61" s="8"/>
      <c r="H61" s="8"/>
      <c r="I61" s="8"/>
    </row>
    <row r="62" spans="3:9" ht="15" customHeight="1" x14ac:dyDescent="0.25">
      <c r="C62" s="271" t="s">
        <v>21</v>
      </c>
      <c r="D62" s="271"/>
      <c r="E62" s="271"/>
      <c r="F62" s="8"/>
      <c r="G62" s="8"/>
      <c r="H62" s="8"/>
      <c r="I62" s="8"/>
    </row>
    <row r="63" spans="3:9" ht="6" customHeight="1" x14ac:dyDescent="0.25">
      <c r="F63" s="8"/>
      <c r="G63" s="8"/>
      <c r="H63" s="8"/>
      <c r="I63" s="8"/>
    </row>
    <row r="64" spans="3:9" ht="24" customHeight="1" x14ac:dyDescent="0.25">
      <c r="C64" s="270" t="s">
        <v>18</v>
      </c>
      <c r="D64" s="270"/>
      <c r="E64" s="270"/>
      <c r="F64" s="8"/>
      <c r="G64" s="8"/>
      <c r="H64" s="8"/>
      <c r="I64" s="8"/>
    </row>
    <row r="65" spans="3:9" ht="6" customHeight="1" x14ac:dyDescent="0.25">
      <c r="C65" s="39"/>
      <c r="D65" s="39"/>
      <c r="E65" s="39"/>
      <c r="F65" s="8"/>
      <c r="G65" s="8"/>
      <c r="H65" s="8"/>
      <c r="I65" s="8"/>
    </row>
    <row r="66" spans="3:9" ht="15" customHeight="1" x14ac:dyDescent="0.25">
      <c r="C66"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66" s="39"/>
      <c r="E66" s="39"/>
      <c r="F66" s="8"/>
      <c r="G66" s="8"/>
      <c r="H66" s="8"/>
      <c r="I66" s="8"/>
    </row>
    <row r="67" spans="3:9" ht="15" customHeight="1" x14ac:dyDescent="0.25">
      <c r="C67" s="39"/>
      <c r="D67" s="39"/>
      <c r="E67" s="39"/>
      <c r="F67" s="8"/>
      <c r="G67" s="8"/>
      <c r="H67" s="8"/>
      <c r="I67" s="8"/>
    </row>
    <row r="68" spans="3:9" ht="15" customHeight="1" x14ac:dyDescent="0.25">
      <c r="C68" s="6" t="s">
        <v>22</v>
      </c>
      <c r="D68" s="6"/>
      <c r="E68" s="122"/>
      <c r="F68" s="8"/>
      <c r="G68" s="8"/>
      <c r="H68" s="8"/>
      <c r="I68" s="8"/>
    </row>
    <row r="69" spans="3:9" ht="6" customHeight="1" x14ac:dyDescent="0.25">
      <c r="C69" s="6"/>
      <c r="D69" s="6"/>
      <c r="E69" s="122"/>
      <c r="F69" s="8"/>
      <c r="G69" s="8"/>
      <c r="H69" s="8"/>
      <c r="I69" s="8"/>
    </row>
    <row r="70" spans="3:9" ht="15" customHeight="1" x14ac:dyDescent="0.25">
      <c r="C70" s="4" t="s">
        <v>23</v>
      </c>
      <c r="D70" s="6"/>
      <c r="E70" s="122"/>
      <c r="F70" s="8"/>
      <c r="G70" s="8"/>
      <c r="H70" s="8"/>
      <c r="I70" s="8"/>
    </row>
    <row r="71" spans="3:9" ht="6" customHeight="1" x14ac:dyDescent="0.25">
      <c r="C71" s="4"/>
      <c r="D71" s="6"/>
      <c r="E71" s="122"/>
      <c r="F71" s="8"/>
      <c r="G71" s="8"/>
      <c r="H71" s="8"/>
      <c r="I71" s="8"/>
    </row>
    <row r="72" spans="3:9" x14ac:dyDescent="0.25">
      <c r="C72" s="121" t="s">
        <v>12</v>
      </c>
      <c r="D72" s="74" t="str">
        <f ca="1">MID(CELL("filename",'MP Calculations'!A8),FIND("]",CELL("filename",'MP Calculations'!A8))+1,255)</f>
        <v>MP Calculations</v>
      </c>
      <c r="E72" s="122"/>
      <c r="F72" s="8"/>
      <c r="G72" s="8"/>
      <c r="H72" s="8"/>
      <c r="I72" s="8"/>
    </row>
    <row r="73" spans="3:9" x14ac:dyDescent="0.25">
      <c r="C73" s="121" t="s">
        <v>12</v>
      </c>
      <c r="D73" s="74" t="str">
        <f ca="1">MID(CELL("filename",'Summary of result'!A11),FIND("]",CELL("filename",'Summary of result'!A11))+1,255)</f>
        <v>Summary of result</v>
      </c>
      <c r="E73" s="122"/>
      <c r="F73" s="8"/>
      <c r="G73" s="8"/>
      <c r="H73" s="8"/>
      <c r="I73" s="8"/>
    </row>
    <row r="74" spans="3:9" ht="6" customHeight="1" x14ac:dyDescent="0.25">
      <c r="C74" s="121"/>
      <c r="D74" s="74"/>
      <c r="E74" s="122"/>
      <c r="F74" s="8"/>
      <c r="G74" s="8"/>
      <c r="H74" s="8"/>
      <c r="I74" s="8"/>
    </row>
    <row r="75" spans="3:9" x14ac:dyDescent="0.25">
      <c r="C75" s="270" t="s">
        <v>24</v>
      </c>
      <c r="D75" s="270"/>
      <c r="E75" s="270"/>
      <c r="F75" s="8"/>
      <c r="G75" s="8"/>
      <c r="H75" s="8"/>
      <c r="I75" s="8"/>
    </row>
    <row r="76" spans="3:9" ht="15" customHeight="1" x14ac:dyDescent="0.25">
      <c r="D76" s="12"/>
      <c r="E76" s="8"/>
      <c r="F76" s="8"/>
      <c r="G76" s="8"/>
      <c r="H76" s="8"/>
      <c r="I76" s="8"/>
    </row>
    <row r="77" spans="3:9" ht="15" customHeight="1" x14ac:dyDescent="0.25">
      <c r="C77" s="6" t="s">
        <v>25</v>
      </c>
      <c r="D77" s="12"/>
      <c r="E77" s="8"/>
      <c r="F77" s="8"/>
      <c r="G77" s="8"/>
      <c r="H77" s="8"/>
      <c r="I77" s="8"/>
    </row>
    <row r="78" spans="3:9" ht="6" customHeight="1" x14ac:dyDescent="0.25">
      <c r="D78" s="12"/>
      <c r="E78" s="8"/>
      <c r="F78" s="8"/>
      <c r="G78" s="8"/>
      <c r="H78" s="8"/>
      <c r="I78" s="8"/>
    </row>
    <row r="79" spans="3:9" ht="15" customHeight="1" x14ac:dyDescent="0.25">
      <c r="C79" s="8" t="s">
        <v>26</v>
      </c>
      <c r="D79" s="12"/>
      <c r="E79" s="8"/>
      <c r="F79" s="8"/>
      <c r="G79" s="8"/>
      <c r="H79" s="8"/>
      <c r="I79" s="8"/>
    </row>
    <row r="80" spans="3:9" ht="6" customHeight="1" x14ac:dyDescent="0.25">
      <c r="C80" s="8"/>
      <c r="D80" s="12"/>
      <c r="E80" s="8"/>
      <c r="F80" s="8"/>
      <c r="G80" s="8"/>
      <c r="H80" s="8"/>
      <c r="I80" s="8"/>
    </row>
    <row r="81" spans="3:9" ht="15" customHeight="1" x14ac:dyDescent="0.25">
      <c r="C81" s="121" t="s">
        <v>12</v>
      </c>
      <c r="D81" s="74" t="str">
        <f ca="1">MID(CELL("filename",'Asset exclusions'!A14),FIND("]",CELL("filename",'Asset exclusions'!A14))+1,255)</f>
        <v>Asset exclusions</v>
      </c>
      <c r="E81" s="8"/>
      <c r="F81" s="8"/>
      <c r="G81" s="8"/>
      <c r="H81" s="8"/>
      <c r="I81" s="8"/>
    </row>
    <row r="82" spans="3:9" ht="15" customHeight="1" x14ac:dyDescent="0.25">
      <c r="C82" s="12"/>
      <c r="D82" s="12"/>
      <c r="E82" s="8"/>
      <c r="F82" s="8"/>
      <c r="G82" s="8"/>
      <c r="H82" s="8"/>
      <c r="I82" s="8"/>
    </row>
    <row r="83" spans="3:9" ht="15" customHeight="1" x14ac:dyDescent="0.25">
      <c r="C83" s="122" t="s">
        <v>27</v>
      </c>
      <c r="D83" s="12"/>
      <c r="E83" s="8"/>
      <c r="F83" s="8"/>
      <c r="G83" s="8"/>
      <c r="H83" s="8"/>
      <c r="I83" s="8"/>
    </row>
    <row r="84" spans="3:9" ht="15" customHeight="1" x14ac:dyDescent="0.25">
      <c r="C84" s="121" t="s">
        <v>12</v>
      </c>
      <c r="D84" s="125" t="s">
        <v>28</v>
      </c>
      <c r="F84" s="8"/>
      <c r="G84" s="8"/>
      <c r="H84" s="8"/>
      <c r="I84" s="8"/>
    </row>
    <row r="85" spans="3:9" ht="15" customHeight="1" x14ac:dyDescent="0.25">
      <c r="C85" s="121" t="s">
        <v>12</v>
      </c>
      <c r="D85" s="182" t="s">
        <v>29</v>
      </c>
      <c r="F85" s="8"/>
      <c r="G85" s="8"/>
      <c r="H85" s="8"/>
      <c r="I85" s="8"/>
    </row>
    <row r="86" spans="3:9" ht="15" customHeight="1" x14ac:dyDescent="0.25">
      <c r="C86" s="121"/>
      <c r="D86" s="182"/>
      <c r="F86" s="8"/>
      <c r="G86" s="8"/>
      <c r="H86" s="8"/>
      <c r="I86" s="8"/>
    </row>
    <row r="87" spans="3:9" ht="15" customHeight="1" x14ac:dyDescent="0.25">
      <c r="C87" s="8" t="s">
        <v>30</v>
      </c>
      <c r="D87" s="182"/>
      <c r="F87" s="8"/>
      <c r="G87" s="8"/>
      <c r="H87" s="8"/>
      <c r="I87" s="8"/>
    </row>
    <row r="88" spans="3:9" ht="15" customHeight="1" x14ac:dyDescent="0.25">
      <c r="C88" s="8"/>
      <c r="D88" s="182"/>
      <c r="F88" s="8"/>
      <c r="G88" s="8"/>
      <c r="H88" s="8"/>
      <c r="I88" s="8"/>
    </row>
    <row r="89" spans="3:9" ht="15" customHeight="1" x14ac:dyDescent="0.25">
      <c r="C89" s="12"/>
      <c r="D89" s="12"/>
      <c r="E89" s="8"/>
      <c r="F89" s="8"/>
      <c r="G89" s="8"/>
      <c r="H89" s="8"/>
      <c r="I89" s="8"/>
    </row>
    <row r="90" spans="3:9" ht="15" customHeight="1" x14ac:dyDescent="0.3">
      <c r="C90" s="10" t="s">
        <v>31</v>
      </c>
      <c r="D90" s="10"/>
      <c r="E90" s="13"/>
      <c r="F90" s="8"/>
      <c r="G90" s="8"/>
      <c r="H90" s="8"/>
      <c r="I90" s="8"/>
    </row>
    <row r="91" spans="3:9" ht="15" customHeight="1" x14ac:dyDescent="0.25">
      <c r="C91" s="4" t="s">
        <v>32</v>
      </c>
      <c r="D91" s="4"/>
      <c r="E91" s="8"/>
      <c r="F91" s="8"/>
      <c r="G91" s="8"/>
      <c r="H91" s="8"/>
      <c r="I91" s="8"/>
    </row>
    <row r="92" spans="3:9" ht="15" customHeight="1" x14ac:dyDescent="0.25">
      <c r="C92" s="14" t="s">
        <v>33</v>
      </c>
      <c r="D92" s="14"/>
      <c r="E92" s="14"/>
      <c r="F92" s="8"/>
      <c r="G92" s="8"/>
      <c r="H92" s="8"/>
      <c r="I92" s="8"/>
    </row>
    <row r="93" spans="3:9" ht="15" customHeight="1" x14ac:dyDescent="0.25">
      <c r="C93" s="3" t="s">
        <v>34</v>
      </c>
      <c r="D93" s="15"/>
      <c r="E93" s="15"/>
      <c r="F93" s="8"/>
      <c r="G93" s="8"/>
      <c r="H93" s="8"/>
      <c r="I93" s="8"/>
    </row>
    <row r="94" spans="3:9" ht="15" customHeight="1" x14ac:dyDescent="0.3">
      <c r="C94" s="4"/>
      <c r="D94" s="4"/>
      <c r="E94" s="4" t="s">
        <v>35</v>
      </c>
      <c r="F94" s="8"/>
      <c r="G94" s="8"/>
      <c r="H94" s="8"/>
      <c r="I94" s="8"/>
    </row>
    <row r="95" spans="3:9" ht="15" customHeight="1" x14ac:dyDescent="0.25">
      <c r="C95" s="108" t="s">
        <v>36</v>
      </c>
      <c r="D95" s="109"/>
      <c r="E95" s="109"/>
      <c r="F95" s="8"/>
      <c r="G95" s="8"/>
      <c r="H95" s="8"/>
      <c r="I95" s="8"/>
    </row>
    <row r="96" spans="3:9" ht="15" customHeight="1" x14ac:dyDescent="0.25">
      <c r="C96" s="16" t="s">
        <v>37</v>
      </c>
      <c r="D96" s="16"/>
      <c r="E96" s="16"/>
      <c r="F96" s="8"/>
      <c r="G96" s="8"/>
      <c r="H96" s="8"/>
      <c r="I96" s="8"/>
    </row>
    <row r="97" spans="3:9" ht="15" customHeight="1" x14ac:dyDescent="0.25">
      <c r="C97" s="17" t="s">
        <v>38</v>
      </c>
      <c r="D97" s="17"/>
      <c r="E97" s="17"/>
      <c r="F97" s="8"/>
      <c r="G97" s="8"/>
      <c r="H97" s="8"/>
      <c r="I97" s="8"/>
    </row>
    <row r="98" spans="3:9" ht="15" customHeight="1" x14ac:dyDescent="0.25">
      <c r="C98" s="18" t="s">
        <v>39</v>
      </c>
      <c r="D98" s="18"/>
      <c r="E98" s="19"/>
      <c r="F98" s="8"/>
      <c r="G98" s="8"/>
      <c r="H98" s="8"/>
      <c r="I98" s="8"/>
    </row>
    <row r="99" spans="3:9" ht="15" customHeight="1" x14ac:dyDescent="0.25">
      <c r="C99" s="20" t="s">
        <v>40</v>
      </c>
      <c r="D99" s="20"/>
      <c r="E99" s="21"/>
      <c r="F99" s="8"/>
      <c r="G99" s="8"/>
      <c r="H99" s="8"/>
      <c r="I99" s="8"/>
    </row>
    <row r="100" spans="3:9" ht="15" customHeight="1" x14ac:dyDescent="0.25">
      <c r="C100" s="22" t="s">
        <v>41</v>
      </c>
      <c r="D100" s="23"/>
      <c r="E100" s="23"/>
      <c r="F100" s="8"/>
      <c r="G100" s="8"/>
      <c r="H100" s="8"/>
      <c r="I100" s="8"/>
    </row>
    <row r="101" spans="3:9" ht="15" customHeight="1" x14ac:dyDescent="0.25">
      <c r="C101" s="12"/>
      <c r="D101" s="12"/>
      <c r="E101" s="8"/>
      <c r="F101" s="8"/>
      <c r="G101" s="8"/>
      <c r="H101" s="8"/>
      <c r="I101" s="8"/>
    </row>
    <row r="102" spans="3:9" x14ac:dyDescent="0.25">
      <c r="C102" s="12"/>
      <c r="D102" s="12"/>
      <c r="E102" s="8"/>
      <c r="F102" s="8"/>
      <c r="G102" s="8"/>
      <c r="H102" s="8"/>
      <c r="I102" s="8"/>
    </row>
  </sheetData>
  <mergeCells count="14">
    <mergeCell ref="C75:E75"/>
    <mergeCell ref="C12:E12"/>
    <mergeCell ref="C18:E18"/>
    <mergeCell ref="C26:E26"/>
    <mergeCell ref="C20:E20"/>
    <mergeCell ref="C36:E36"/>
    <mergeCell ref="C40:E40"/>
    <mergeCell ref="C46:E46"/>
    <mergeCell ref="C50:E50"/>
    <mergeCell ref="C52:E52"/>
    <mergeCell ref="C58:E58"/>
    <mergeCell ref="C62:E62"/>
    <mergeCell ref="C64:E64"/>
    <mergeCell ref="C14:E14"/>
  </mergeCells>
  <hyperlinks>
    <hyperlink ref="E6" r:id="rId1" xr:uid="{00000000-0004-0000-0000-000000000000}"/>
    <hyperlink ref="D84" r:id="rId2" xr:uid="{00000000-0004-0000-0000-000001000000}"/>
    <hyperlink ref="D85" r:id="rId3" xr:uid="{00000000-0004-0000-0000-000002000000}"/>
  </hyperlinks>
  <pageMargins left="0.7" right="0.7" top="0.75" bottom="0.75" header="0.3" footer="0.3"/>
  <pageSetup paperSize="9" scale="94" orientation="landscape" horizontalDpi="200" verticalDpi="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7" tint="0.79998168889431442"/>
  </sheetPr>
  <dimension ref="A1:X75"/>
  <sheetViews>
    <sheetView showGridLines="0" topLeftCell="A3" zoomScale="70" zoomScaleNormal="70" workbookViewId="0">
      <selection activeCell="A3" sqref="A3"/>
    </sheetView>
  </sheetViews>
  <sheetFormatPr defaultRowHeight="11.5" outlineLevelRow="1" x14ac:dyDescent="0.25"/>
  <cols>
    <col min="1" max="1" width="2.69921875" customWidth="1"/>
    <col min="2" max="2" width="4.19921875" customWidth="1"/>
    <col min="3" max="3" width="11.09765625" customWidth="1"/>
    <col min="4" max="4" width="16.69921875" customWidth="1"/>
    <col min="5" max="5" width="17.59765625" bestFit="1" customWidth="1"/>
    <col min="6" max="6" width="15.09765625" customWidth="1"/>
    <col min="7" max="7" width="18" bestFit="1" customWidth="1"/>
    <col min="8" max="8" width="20" customWidth="1"/>
    <col min="9" max="9" width="4.59765625" customWidth="1"/>
    <col min="10" max="10" width="21" bestFit="1" customWidth="1"/>
    <col min="11" max="11" width="20.8984375" bestFit="1" customWidth="1"/>
    <col min="12" max="12" width="19.19921875" bestFit="1" customWidth="1"/>
    <col min="13" max="13" width="21.3984375" bestFit="1" customWidth="1"/>
    <col min="14" max="15" width="3.59765625" customWidth="1"/>
    <col min="16" max="16" width="15.69921875" bestFit="1" customWidth="1"/>
    <col min="17" max="17" width="14.8984375" bestFit="1" customWidth="1"/>
    <col min="18" max="18" width="17.3984375" bestFit="1" customWidth="1"/>
    <col min="19" max="19" width="15.3984375" bestFit="1" customWidth="1"/>
    <col min="20" max="20" width="17.8984375" bestFit="1" customWidth="1"/>
    <col min="22" max="22" width="13.8984375" bestFit="1" customWidth="1"/>
  </cols>
  <sheetData>
    <row r="1" spans="3:8" hidden="1" x14ac:dyDescent="0.25"/>
    <row r="2" spans="3:8" hidden="1" x14ac:dyDescent="0.25"/>
    <row r="3" spans="3:8" ht="20" x14ac:dyDescent="0.4">
      <c r="C3" s="123" t="s">
        <v>349</v>
      </c>
    </row>
    <row r="4" spans="3:8" hidden="1" x14ac:dyDescent="0.25"/>
    <row r="6" spans="3:8" x14ac:dyDescent="0.25">
      <c r="C6" t="s">
        <v>350</v>
      </c>
      <c r="H6" s="125" t="s">
        <v>28</v>
      </c>
    </row>
    <row r="8" spans="3:8" ht="13.5" x14ac:dyDescent="0.35">
      <c r="C8" t="s">
        <v>351</v>
      </c>
    </row>
    <row r="10" spans="3:8" x14ac:dyDescent="0.25">
      <c r="C10" t="s">
        <v>352</v>
      </c>
    </row>
    <row r="12" spans="3:8" ht="13.5" x14ac:dyDescent="0.35">
      <c r="C12" s="28" t="s">
        <v>353</v>
      </c>
      <c r="D12" s="173" t="s">
        <v>354</v>
      </c>
    </row>
    <row r="13" spans="3:8" ht="13.5" x14ac:dyDescent="0.35">
      <c r="C13" s="28" t="s">
        <v>355</v>
      </c>
      <c r="D13" s="173" t="s">
        <v>356</v>
      </c>
    </row>
    <row r="15" spans="3:8" hidden="1" outlineLevel="1" x14ac:dyDescent="0.25">
      <c r="C15" t="str">
        <f ca="1">"The corresponding time series should be manually entered or linked to the following ranges in the "&amp;MID(CELL("filename",'MP Calculations'!$A$1),FIND("]",CELL("filename",'MP Calculations'!$A$1))+1,255)&amp;" worksheet. "</f>
        <v xml:space="preserve">The corresponding time series should be manually entered or linked to the following ranges in the MP Calculations worksheet. </v>
      </c>
    </row>
    <row r="16" spans="3:8" hidden="1" outlineLevel="1" x14ac:dyDescent="0.25"/>
    <row r="17" spans="1:21" ht="13.5" hidden="1" outlineLevel="1" x14ac:dyDescent="0.35">
      <c r="C17" s="28" t="s">
        <v>357</v>
      </c>
      <c r="D17" s="154" t="str">
        <f>ADDRESS(ROW(INDEX('MP Calculations'!$Q$39:$Q$129,MATCH('General inputs'!$I$16,'MP Calculations'!$D$39:$D$129))),COLUMN(INDEX('MP Calculations'!$Q$39:$Q$129,MATCH('General inputs'!$I$16,'MP Calculations'!$D$39:$D$129))))&amp;":"&amp;ADDRESS(ROW(INDEX('MP Calculations'!$Q$39:$Q$129,MATCH(LEFT('General inputs'!$I$16,4)+'General inputs'!$H$38-1&amp;"-"&amp;RIGHT('General inputs'!$I$16,2)+'General inputs'!$H$38-1,'MP Calculations'!$D$39:$D$129))),COLUMN(INDEX('MP Calculations'!$Q$39:$Q$129,MATCH('General inputs'!$I$16,'MP Calculations'!$D$39:$D$129))))</f>
        <v>$Q$66:$Q$95</v>
      </c>
      <c r="E17" s="155"/>
      <c r="F17" s="224"/>
      <c r="G17" s="224"/>
    </row>
    <row r="18" spans="1:21" ht="13.5" hidden="1" outlineLevel="1" x14ac:dyDescent="0.35">
      <c r="C18" s="28" t="s">
        <v>358</v>
      </c>
      <c r="D18" s="154" t="str">
        <f>ADDRESS(ROW(INDEX('MP Calculations'!$T$39:$T$129,MATCH('General inputs'!$I$16,'MP Calculations'!$D$39:$D$129))),COLUMN(INDEX('MP Calculations'!$T$39:$T$129,MATCH('General inputs'!$I$16,'MP Calculations'!$D$39:$D$129))))&amp;":"&amp;ADDRESS(ROW(INDEX('MP Calculations'!$T$39:$T$129,MATCH(LEFT('General inputs'!$I$16,4)+'General inputs'!$H$38-1&amp;"-"&amp;RIGHT('General inputs'!$I$16,2)+'General inputs'!$H$38-1,'MP Calculations'!$D$39:$D$129))),COLUMN(INDEX('MP Calculations'!$T$39:$T$129,MATCH('General inputs'!$I$16,'MP Calculations'!$D$39:$D$129))))</f>
        <v>$T$66:$T$95</v>
      </c>
      <c r="E18" s="155"/>
      <c r="F18" s="224"/>
      <c r="G18" s="224"/>
    </row>
    <row r="19" spans="1:21" hidden="1" outlineLevel="1" x14ac:dyDescent="0.25">
      <c r="C19" s="28"/>
    </row>
    <row r="20" spans="1:21" ht="13.5" hidden="1" outlineLevel="1" x14ac:dyDescent="0.35">
      <c r="C20" t="s">
        <v>359</v>
      </c>
      <c r="H20" t="s">
        <v>360</v>
      </c>
      <c r="I20" t="s">
        <v>361</v>
      </c>
      <c r="J20" s="156" t="e">
        <f>LEFT(#REF!,4)+'General inputs'!$H$38-1&amp;"-"&amp;RIGHT(#REF!,2)+'General inputs'!$H$38-1</f>
        <v>#REF!</v>
      </c>
    </row>
    <row r="21" spans="1:21" hidden="1" outlineLevel="1" x14ac:dyDescent="0.25">
      <c r="C21" s="28"/>
    </row>
    <row r="22" spans="1:21" hidden="1" outlineLevel="1" x14ac:dyDescent="0.25">
      <c r="C22" s="71" t="s">
        <v>362</v>
      </c>
    </row>
    <row r="23" spans="1:21" hidden="1" outlineLevel="1" x14ac:dyDescent="0.25">
      <c r="C23" s="71"/>
      <c r="D23" s="71" t="s">
        <v>363</v>
      </c>
    </row>
    <row r="24" spans="1:21" hidden="1" outlineLevel="1" x14ac:dyDescent="0.25">
      <c r="C24" s="71"/>
      <c r="D24" s="71"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25" spans="1:21" hidden="1" outlineLevel="1" x14ac:dyDescent="0.25">
      <c r="C25" s="71"/>
      <c r="D25" s="71" t="s">
        <v>364</v>
      </c>
    </row>
    <row r="26" spans="1:21" hidden="1" outlineLevel="1" x14ac:dyDescent="0.25">
      <c r="C26" s="71"/>
      <c r="D26" s="183" t="s">
        <v>365</v>
      </c>
    </row>
    <row r="27" spans="1:21" hidden="1" outlineLevel="1" x14ac:dyDescent="0.25">
      <c r="C27" s="71"/>
      <c r="D27" s="183" t="s">
        <v>366</v>
      </c>
    </row>
    <row r="28" spans="1:21" hidden="1" outlineLevel="1" x14ac:dyDescent="0.25">
      <c r="C28" s="71"/>
      <c r="D28" s="71" t="s">
        <v>367</v>
      </c>
    </row>
    <row r="29" spans="1:21" hidden="1" outlineLevel="1" x14ac:dyDescent="0.25">
      <c r="C29" s="71"/>
      <c r="D29" s="183" t="s">
        <v>368</v>
      </c>
    </row>
    <row r="30" spans="1:21" hidden="1" outlineLevel="1" x14ac:dyDescent="0.25">
      <c r="C30" s="71"/>
      <c r="D30" s="183" t="s">
        <v>369</v>
      </c>
    </row>
    <row r="31" spans="1:21" hidden="1" outlineLevel="1" x14ac:dyDescent="0.25"/>
    <row r="32" spans="1:21" collapsed="1" x14ac:dyDescent="0.25">
      <c r="A32" s="68"/>
      <c r="B32" s="68"/>
      <c r="C32" s="68" t="s">
        <v>370</v>
      </c>
      <c r="D32" s="68"/>
      <c r="E32" s="68"/>
      <c r="F32" s="68"/>
      <c r="G32" s="68"/>
      <c r="H32" s="68"/>
      <c r="I32" s="68"/>
      <c r="J32" s="68"/>
      <c r="K32" s="68"/>
      <c r="L32" s="68"/>
      <c r="M32" s="68"/>
      <c r="N32" s="68"/>
      <c r="O32" s="68"/>
      <c r="P32" s="68"/>
      <c r="Q32" s="68"/>
      <c r="R32" s="68"/>
      <c r="S32" s="68"/>
      <c r="T32" s="68"/>
      <c r="U32" s="68"/>
    </row>
    <row r="34" spans="2:24" ht="12.5" x14ac:dyDescent="0.25">
      <c r="J34" s="6"/>
      <c r="K34" s="235"/>
      <c r="L34" s="236"/>
      <c r="Q34" s="247"/>
      <c r="S34" s="248"/>
    </row>
    <row r="35" spans="2:24" ht="12.5" x14ac:dyDescent="0.25">
      <c r="J35" s="6"/>
      <c r="K35" s="235"/>
      <c r="L35" s="236"/>
    </row>
    <row r="36" spans="2:24" s="190" customFormat="1" ht="13" x14ac:dyDescent="0.3">
      <c r="D36" s="191" t="s">
        <v>371</v>
      </c>
      <c r="J36" s="191" t="s">
        <v>372</v>
      </c>
      <c r="Q36" s="190" t="s">
        <v>373</v>
      </c>
      <c r="V36" s="36" t="s">
        <v>374</v>
      </c>
      <c r="X36" s="237" t="s">
        <v>375</v>
      </c>
    </row>
    <row r="37" spans="2:24" s="190" customFormat="1" ht="13.5" thickBot="1" x14ac:dyDescent="0.35">
      <c r="C37" s="194" t="s">
        <v>113</v>
      </c>
      <c r="D37" s="193" t="s">
        <v>376</v>
      </c>
      <c r="E37" s="193" t="s">
        <v>377</v>
      </c>
      <c r="F37" s="193" t="s">
        <v>378</v>
      </c>
      <c r="G37" s="193" t="s">
        <v>379</v>
      </c>
      <c r="H37" s="225" t="s">
        <v>380</v>
      </c>
      <c r="J37" s="214" t="s">
        <v>381</v>
      </c>
      <c r="K37" s="214" t="s">
        <v>382</v>
      </c>
      <c r="L37" s="214" t="s">
        <v>383</v>
      </c>
      <c r="M37" s="214" t="s">
        <v>384</v>
      </c>
      <c r="N37" s="215"/>
      <c r="Q37" s="238" t="s">
        <v>385</v>
      </c>
      <c r="R37" s="238" t="s">
        <v>386</v>
      </c>
      <c r="S37" s="238" t="s">
        <v>387</v>
      </c>
      <c r="T37" s="238" t="s">
        <v>388</v>
      </c>
      <c r="V37" s="225" t="s">
        <v>389</v>
      </c>
      <c r="X37" s="225" t="s">
        <v>390</v>
      </c>
    </row>
    <row r="38" spans="2:24" s="190" customFormat="1" ht="12.5" x14ac:dyDescent="0.25">
      <c r="B38">
        <v>0</v>
      </c>
      <c r="C38" s="192" t="str">
        <f>'General inputs'!I16</f>
        <v>2022-23</v>
      </c>
      <c r="D38" s="229">
        <f t="shared" ref="D38:D67" si="0">Q38*$V38</f>
        <v>-15373.799953215981</v>
      </c>
      <c r="E38" s="229">
        <f t="shared" ref="E38:E67" si="1">$X38*R38</f>
        <v>-1702.1059694768592</v>
      </c>
      <c r="F38" s="229">
        <f t="shared" ref="F38:F67" si="2">S38*$V38</f>
        <v>-19622.717319488042</v>
      </c>
      <c r="G38" s="229">
        <f t="shared" ref="G38:G67" si="3">$X38*T38</f>
        <v>-1628.643837465336</v>
      </c>
      <c r="H38" s="229">
        <f t="shared" ref="H38:H67" si="4">SUM(D38:G38)</f>
        <v>-38327.267079646219</v>
      </c>
      <c r="J38" s="234">
        <v>-15741.106909632017</v>
      </c>
      <c r="K38" s="249">
        <v>-20148.616844328983</v>
      </c>
      <c r="L38" s="221">
        <v>31704.442174233787</v>
      </c>
      <c r="M38" s="213">
        <f>K38+L38</f>
        <v>11555.825329904805</v>
      </c>
      <c r="P38" s="222" t="str">
        <f t="shared" ref="P38:P67" si="5">C38</f>
        <v>2022-23</v>
      </c>
      <c r="Q38" s="226">
        <v>7840047.8715394158</v>
      </c>
      <c r="R38" s="250">
        <v>0.16304319119843047</v>
      </c>
      <c r="S38" s="226">
        <v>10006832.638816148</v>
      </c>
      <c r="T38" s="250">
        <v>0.15600632002226017</v>
      </c>
      <c r="U38" s="239"/>
      <c r="V38" s="227">
        <v>-1.9609318980085885E-3</v>
      </c>
      <c r="X38" s="228">
        <v>-10439.601659938833</v>
      </c>
    </row>
    <row r="39" spans="2:24" s="190" customFormat="1" ht="12.5" x14ac:dyDescent="0.25">
      <c r="B39">
        <f>B38+1</f>
        <v>1</v>
      </c>
      <c r="C39" s="190" t="str">
        <f ca="1">OFFSET('MP Calculations'!$D$38,MATCH($C$38,'MP Calculations'!$D$39:$D$129)+'Reduction amount'!B39,)</f>
        <v>2023-24</v>
      </c>
      <c r="D39" s="229">
        <f t="shared" si="0"/>
        <v>-16849.998229485122</v>
      </c>
      <c r="E39" s="229">
        <f t="shared" si="1"/>
        <v>-1840.4782923456041</v>
      </c>
      <c r="F39" s="229">
        <f t="shared" si="2"/>
        <v>-21506.898300826055</v>
      </c>
      <c r="G39" s="229">
        <f t="shared" si="3"/>
        <v>-1761.0440727956955</v>
      </c>
      <c r="H39" s="229">
        <f t="shared" si="4"/>
        <v>-41958.41889545248</v>
      </c>
      <c r="J39" s="234">
        <v>-24400.492168991113</v>
      </c>
      <c r="K39" s="249">
        <v>-31232.629976308628</v>
      </c>
      <c r="L39" s="221">
        <v>81785.056522701372</v>
      </c>
      <c r="M39" s="213">
        <f t="shared" ref="M39:M66" si="6">K39+L39</f>
        <v>50552.426546392744</v>
      </c>
      <c r="P39" s="222" t="str">
        <f t="shared" ca="1" si="5"/>
        <v>2023-24</v>
      </c>
      <c r="Q39" s="226">
        <v>8373509.0134189399</v>
      </c>
      <c r="R39" s="250">
        <v>0.17180633732340295</v>
      </c>
      <c r="S39" s="226">
        <v>10687728.527918922</v>
      </c>
      <c r="T39" s="250">
        <v>0.16439125268167104</v>
      </c>
      <c r="U39" s="239"/>
      <c r="V39" s="227">
        <v>-2.0122983330503629E-3</v>
      </c>
      <c r="X39" s="228">
        <v>-10712.516901405939</v>
      </c>
    </row>
    <row r="40" spans="2:24" s="190" customFormat="1" ht="12.5" x14ac:dyDescent="0.25">
      <c r="B40">
        <f t="shared" ref="B40:B67" si="7">B39+1</f>
        <v>2</v>
      </c>
      <c r="C40" s="190" t="str">
        <f ca="1">OFFSET('MP Calculations'!$D$38,MATCH($C$38,'MP Calculations'!$D$39:$D$129)+'Reduction amount'!B40,)</f>
        <v>2024-25</v>
      </c>
      <c r="D40" s="229">
        <f t="shared" si="0"/>
        <v>-13577.768601905336</v>
      </c>
      <c r="E40" s="229">
        <f t="shared" si="1"/>
        <v>-1464.0905697703397</v>
      </c>
      <c r="F40" s="229">
        <f t="shared" si="2"/>
        <v>-17330.30974224917</v>
      </c>
      <c r="G40" s="229">
        <f t="shared" si="3"/>
        <v>-1400.9010759068337</v>
      </c>
      <c r="H40" s="229">
        <f t="shared" si="4"/>
        <v>-33773.069989831682</v>
      </c>
      <c r="J40" s="234">
        <v>-29034.174655415816</v>
      </c>
      <c r="K40" s="249">
        <v>-36292.71831926977</v>
      </c>
      <c r="L40" s="221">
        <v>119312.60992981936</v>
      </c>
      <c r="M40" s="213">
        <f t="shared" si="6"/>
        <v>83019.891610549588</v>
      </c>
      <c r="P40" s="222" t="str">
        <f t="shared" ca="1" si="5"/>
        <v>2024-25</v>
      </c>
      <c r="Q40" s="226">
        <v>8540466.1189642791</v>
      </c>
      <c r="R40" s="250">
        <v>0.17291744501031706</v>
      </c>
      <c r="S40" s="226">
        <v>10900828.223281538</v>
      </c>
      <c r="T40" s="250">
        <v>0.16545440545799858</v>
      </c>
      <c r="U40" s="239"/>
      <c r="V40" s="227">
        <v>-1.5898158733696776E-3</v>
      </c>
      <c r="X40" s="228">
        <v>-8466.9916889125052</v>
      </c>
    </row>
    <row r="41" spans="2:24" s="190" customFormat="1" ht="12.5" x14ac:dyDescent="0.25">
      <c r="B41">
        <f t="shared" si="7"/>
        <v>3</v>
      </c>
      <c r="C41" s="190" t="str">
        <f ca="1">OFFSET('MP Calculations'!$D$38,MATCH($C$38,'MP Calculations'!$D$39:$D$129)+'Reduction amount'!B41,)</f>
        <v>2025-26</v>
      </c>
      <c r="D41" s="229">
        <f t="shared" si="0"/>
        <v>28066.208524311754</v>
      </c>
      <c r="E41" s="229">
        <f t="shared" si="1"/>
        <v>3001.2602565350944</v>
      </c>
      <c r="F41" s="229">
        <f t="shared" si="2"/>
        <v>35822.976608146193</v>
      </c>
      <c r="G41" s="229">
        <f t="shared" si="3"/>
        <v>2871.7272068188754</v>
      </c>
      <c r="H41" s="229">
        <f t="shared" si="4"/>
        <v>69762.17259581192</v>
      </c>
      <c r="J41" s="234">
        <v>-30694.996051565042</v>
      </c>
      <c r="K41" s="249">
        <v>-38368.745064456307</v>
      </c>
      <c r="L41" s="221">
        <v>271642.38727660687</v>
      </c>
      <c r="M41" s="213">
        <f t="shared" si="6"/>
        <v>233273.64221215056</v>
      </c>
      <c r="P41" s="222" t="str">
        <f t="shared" ca="1" si="5"/>
        <v>2025-26</v>
      </c>
      <c r="Q41" s="226">
        <v>8788476.4953514207</v>
      </c>
      <c r="R41" s="250">
        <v>0.17561926349826362</v>
      </c>
      <c r="S41" s="226">
        <v>11217382.199719008</v>
      </c>
      <c r="T41" s="250">
        <v>0.1680396146689718</v>
      </c>
      <c r="U41" s="239"/>
      <c r="V41" s="227">
        <v>3.1935237625266566E-3</v>
      </c>
      <c r="X41" s="228">
        <v>17089.584574899258</v>
      </c>
    </row>
    <row r="42" spans="2:24" s="190" customFormat="1" ht="12.5" x14ac:dyDescent="0.25">
      <c r="B42">
        <f t="shared" si="7"/>
        <v>4</v>
      </c>
      <c r="C42" s="190" t="str">
        <f ca="1">OFFSET('MP Calculations'!$D$38,MATCH($C$38,'MP Calculations'!$D$39:$D$129)+'Reduction amount'!B42,)</f>
        <v>2026-27</v>
      </c>
      <c r="D42" s="229">
        <f t="shared" si="0"/>
        <v>73454.737372391421</v>
      </c>
      <c r="E42" s="229">
        <f t="shared" si="1"/>
        <v>7826.5207902436796</v>
      </c>
      <c r="F42" s="229">
        <f t="shared" si="2"/>
        <v>93755.711120343651</v>
      </c>
      <c r="G42" s="229">
        <f t="shared" si="3"/>
        <v>7488.7316550228434</v>
      </c>
      <c r="H42" s="229">
        <f t="shared" si="4"/>
        <v>182525.7009380016</v>
      </c>
      <c r="J42" s="234">
        <v>-30747.757485521164</v>
      </c>
      <c r="K42" s="249">
        <v>-38434.696856901457</v>
      </c>
      <c r="L42" s="221">
        <v>423972.16462339443</v>
      </c>
      <c r="M42" s="213">
        <f t="shared" si="6"/>
        <v>385537.46776649298</v>
      </c>
      <c r="P42" s="222" t="str">
        <f t="shared" ca="1" si="5"/>
        <v>2026-27</v>
      </c>
      <c r="Q42" s="226">
        <v>8927409.8639047742</v>
      </c>
      <c r="R42" s="250">
        <v>0.17685365708854106</v>
      </c>
      <c r="S42" s="226">
        <v>11394713.128029702</v>
      </c>
      <c r="T42" s="250">
        <v>0.16922073238423951</v>
      </c>
      <c r="U42" s="239"/>
      <c r="V42" s="227">
        <v>8.2280010094958195E-3</v>
      </c>
      <c r="X42" s="228">
        <v>44254.220800904128</v>
      </c>
    </row>
    <row r="43" spans="2:24" s="190" customFormat="1" ht="12.5" x14ac:dyDescent="0.25">
      <c r="B43">
        <f t="shared" si="7"/>
        <v>5</v>
      </c>
      <c r="C43" s="190" t="str">
        <f ca="1">OFFSET('MP Calculations'!$D$38,MATCH($C$38,'MP Calculations'!$D$39:$D$129)+'Reduction amount'!B43,)</f>
        <v>2027-28</v>
      </c>
      <c r="D43" s="229">
        <f t="shared" si="0"/>
        <v>117800.85095438447</v>
      </c>
      <c r="E43" s="229">
        <f t="shared" si="1"/>
        <v>12504.515376863959</v>
      </c>
      <c r="F43" s="229">
        <f t="shared" si="2"/>
        <v>150357.93397256228</v>
      </c>
      <c r="G43" s="229">
        <f t="shared" si="3"/>
        <v>11964.826088518632</v>
      </c>
      <c r="H43" s="229">
        <f t="shared" si="4"/>
        <v>292628.12639232934</v>
      </c>
      <c r="J43" s="234">
        <v>-30910.685675749268</v>
      </c>
      <c r="K43" s="249">
        <v>-38638.35709468658</v>
      </c>
      <c r="L43" s="221">
        <v>576865.92197018187</v>
      </c>
      <c r="M43" s="213">
        <f t="shared" si="6"/>
        <v>538227.56487549527</v>
      </c>
      <c r="P43" s="222" t="str">
        <f t="shared" ca="1" si="5"/>
        <v>2027-28</v>
      </c>
      <c r="Q43" s="226">
        <v>9042074.4888179991</v>
      </c>
      <c r="R43" s="250">
        <v>0.17759024684304037</v>
      </c>
      <c r="S43" s="226">
        <v>11541068.064874493</v>
      </c>
      <c r="T43" s="250">
        <v>0.169925531254532</v>
      </c>
      <c r="U43" s="239"/>
      <c r="V43" s="227">
        <v>1.3028077915091769E-2</v>
      </c>
      <c r="X43" s="228">
        <v>70412.174086991552</v>
      </c>
    </row>
    <row r="44" spans="2:24" s="190" customFormat="1" ht="12.5" x14ac:dyDescent="0.25">
      <c r="B44">
        <f t="shared" si="7"/>
        <v>6</v>
      </c>
      <c r="C44" s="190" t="str">
        <f ca="1">OFFSET('MP Calculations'!$D$38,MATCH($C$38,'MP Calculations'!$D$39:$D$129)+'Reduction amount'!B44,)</f>
        <v>2028-29</v>
      </c>
      <c r="D44" s="229">
        <f t="shared" si="0"/>
        <v>131059.11147505979</v>
      </c>
      <c r="E44" s="229">
        <f t="shared" si="1"/>
        <v>13809.722927772325</v>
      </c>
      <c r="F44" s="229">
        <f t="shared" si="2"/>
        <v>167280.43193253587</v>
      </c>
      <c r="G44" s="229">
        <f t="shared" si="3"/>
        <v>13213.701465563148</v>
      </c>
      <c r="H44" s="229">
        <f t="shared" si="4"/>
        <v>325362.96780093113</v>
      </c>
      <c r="J44" s="234">
        <v>-31487.899998484176</v>
      </c>
      <c r="K44" s="249">
        <v>-39359.874998105224</v>
      </c>
      <c r="L44" s="221">
        <v>617710.4099421096</v>
      </c>
      <c r="M44" s="213">
        <f t="shared" si="6"/>
        <v>578350.53494400438</v>
      </c>
      <c r="P44" s="222" t="str">
        <f t="shared" ca="1" si="5"/>
        <v>2028-29</v>
      </c>
      <c r="Q44" s="226">
        <v>9245811.0597137753</v>
      </c>
      <c r="R44" s="250">
        <v>0.18004886805744424</v>
      </c>
      <c r="S44" s="226">
        <v>11801112.11062086</v>
      </c>
      <c r="T44" s="250">
        <v>0.17227803947746664</v>
      </c>
      <c r="U44" s="239"/>
      <c r="V44" s="227">
        <v>1.4174971847101212E-2</v>
      </c>
      <c r="X44" s="228">
        <v>76699.859747890005</v>
      </c>
    </row>
    <row r="45" spans="2:24" s="190" customFormat="1" ht="12.5" x14ac:dyDescent="0.25">
      <c r="B45">
        <f t="shared" si="7"/>
        <v>7</v>
      </c>
      <c r="C45" s="190" t="str">
        <f ca="1">OFFSET('MP Calculations'!$D$38,MATCH($C$38,'MP Calculations'!$D$39:$D$129)+'Reduction amount'!B45,)</f>
        <v>2029-30</v>
      </c>
      <c r="D45" s="229">
        <f t="shared" si="0"/>
        <v>143211.37248718677</v>
      </c>
      <c r="E45" s="229">
        <f t="shared" si="1"/>
        <v>14980.501111653068</v>
      </c>
      <c r="F45" s="229">
        <f t="shared" si="2"/>
        <v>182791.26096369684</v>
      </c>
      <c r="G45" s="229">
        <f t="shared" si="3"/>
        <v>14333.949386908655</v>
      </c>
      <c r="H45" s="229">
        <f t="shared" si="4"/>
        <v>355317.0839494454</v>
      </c>
      <c r="J45" s="234">
        <v>-32052.455587036195</v>
      </c>
      <c r="K45" s="249">
        <v>-40065.569483795247</v>
      </c>
      <c r="L45" s="221">
        <v>658554.89791403746</v>
      </c>
      <c r="M45" s="213">
        <f t="shared" si="6"/>
        <v>618489.32843024225</v>
      </c>
      <c r="P45" s="222" t="str">
        <f t="shared" ca="1" si="5"/>
        <v>2029-30</v>
      </c>
      <c r="Q45" s="226">
        <v>9347082.9644766767</v>
      </c>
      <c r="R45" s="250">
        <v>0.18048752128185766</v>
      </c>
      <c r="S45" s="226">
        <v>11930372.92874103</v>
      </c>
      <c r="T45" s="250">
        <v>0.17269776062499589</v>
      </c>
      <c r="U45" s="239"/>
      <c r="V45" s="227">
        <v>1.5321504370021914E-2</v>
      </c>
      <c r="X45" s="228">
        <v>83000.204142971328</v>
      </c>
    </row>
    <row r="46" spans="2:24" s="190" customFormat="1" ht="12.5" x14ac:dyDescent="0.25">
      <c r="B46">
        <f t="shared" si="7"/>
        <v>8</v>
      </c>
      <c r="C46" s="190" t="str">
        <f ca="1">OFFSET('MP Calculations'!$D$38,MATCH($C$38,'MP Calculations'!$D$39:$D$129)+'Reduction amount'!B46,)</f>
        <v>2030-31</v>
      </c>
      <c r="D46" s="229">
        <f t="shared" si="0"/>
        <v>156582.19847826494</v>
      </c>
      <c r="E46" s="229">
        <f t="shared" si="1"/>
        <v>16262.07405280328</v>
      </c>
      <c r="F46" s="229">
        <f t="shared" si="2"/>
        <v>199857.43455444303</v>
      </c>
      <c r="G46" s="229">
        <f t="shared" si="3"/>
        <v>15560.210213376537</v>
      </c>
      <c r="H46" s="229">
        <f t="shared" si="4"/>
        <v>388261.9172988878</v>
      </c>
      <c r="J46" s="234">
        <v>-32324.938636004685</v>
      </c>
      <c r="K46" s="249">
        <v>-40406.173295005858</v>
      </c>
      <c r="L46" s="221">
        <v>699399.3858859652</v>
      </c>
      <c r="M46" s="213">
        <f t="shared" si="6"/>
        <v>658993.21259095939</v>
      </c>
      <c r="P46" s="222" t="str">
        <f t="shared" ca="1" si="5"/>
        <v>2030-31</v>
      </c>
      <c r="Q46" s="226">
        <v>9479295.9312254265</v>
      </c>
      <c r="R46" s="250">
        <v>0.18151131038695065</v>
      </c>
      <c r="S46" s="226">
        <v>12099126.11145295</v>
      </c>
      <c r="T46" s="250">
        <v>0.17367736345042173</v>
      </c>
      <c r="U46" s="239"/>
      <c r="V46" s="227">
        <v>1.651833634209824E-2</v>
      </c>
      <c r="X46" s="228">
        <v>89592.621077636199</v>
      </c>
    </row>
    <row r="47" spans="2:24" s="190" customFormat="1" ht="12.5" x14ac:dyDescent="0.25">
      <c r="B47">
        <f t="shared" si="7"/>
        <v>9</v>
      </c>
      <c r="C47" s="190" t="str">
        <f ca="1">OFFSET('MP Calculations'!$D$38,MATCH($C$38,'MP Calculations'!$D$39:$D$129)+'Reduction amount'!B47,)</f>
        <v>2031-32</v>
      </c>
      <c r="D47" s="229">
        <f t="shared" si="0"/>
        <v>171592.99613317149</v>
      </c>
      <c r="E47" s="229">
        <f t="shared" si="1"/>
        <v>17725.072520760445</v>
      </c>
      <c r="F47" s="229">
        <f t="shared" si="2"/>
        <v>219016.82520728221</v>
      </c>
      <c r="G47" s="229">
        <f t="shared" si="3"/>
        <v>16960.066322095776</v>
      </c>
      <c r="H47" s="229">
        <f t="shared" si="4"/>
        <v>425294.96018330992</v>
      </c>
      <c r="J47" s="234">
        <v>-32424.930207247118</v>
      </c>
      <c r="K47" s="249">
        <v>-40531.162759058898</v>
      </c>
      <c r="L47" s="221">
        <v>748139.59385789291</v>
      </c>
      <c r="M47" s="213">
        <f t="shared" si="6"/>
        <v>707608.43109883403</v>
      </c>
      <c r="P47" s="222" t="str">
        <f t="shared" ca="1" si="5"/>
        <v>2031-32</v>
      </c>
      <c r="Q47" s="226">
        <v>9543252.3535781465</v>
      </c>
      <c r="R47" s="250">
        <v>0.18148166420173112</v>
      </c>
      <c r="S47" s="226">
        <v>12180758.420993358</v>
      </c>
      <c r="T47" s="250">
        <v>0.1736489967812907</v>
      </c>
      <c r="U47" s="239"/>
      <c r="V47" s="227">
        <v>1.7980557337859186E-2</v>
      </c>
      <c r="X47" s="228">
        <v>97668.668615787188</v>
      </c>
    </row>
    <row r="48" spans="2:24" s="190" customFormat="1" ht="12.5" x14ac:dyDescent="0.25">
      <c r="B48">
        <f t="shared" si="7"/>
        <v>10</v>
      </c>
      <c r="C48" s="190" t="str">
        <f ca="1">OFFSET('MP Calculations'!$D$38,MATCH($C$38,'MP Calculations'!$D$39:$D$129)+'Reduction amount'!B48,)</f>
        <v>2032-33</v>
      </c>
      <c r="D48" s="229">
        <f t="shared" si="0"/>
        <v>187762.49502658314</v>
      </c>
      <c r="E48" s="229">
        <f t="shared" si="1"/>
        <v>19294.367410385919</v>
      </c>
      <c r="F48" s="229">
        <f t="shared" si="2"/>
        <v>239655.15190261687</v>
      </c>
      <c r="G48" s="229">
        <f t="shared" si="3"/>
        <v>18461.631146487947</v>
      </c>
      <c r="H48" s="229">
        <f t="shared" si="4"/>
        <v>465173.64548607386</v>
      </c>
      <c r="J48" s="234">
        <v>-32096.342207052308</v>
      </c>
      <c r="K48" s="249">
        <v>-40120.427758815385</v>
      </c>
      <c r="L48" s="221">
        <v>798571.74182982068</v>
      </c>
      <c r="M48" s="213">
        <f t="shared" si="6"/>
        <v>758451.31407100533</v>
      </c>
      <c r="P48" s="222" t="str">
        <f t="shared" ca="1" si="5"/>
        <v>2032-33</v>
      </c>
      <c r="Q48" s="226">
        <v>9593804.3765182961</v>
      </c>
      <c r="R48" s="250">
        <v>0.18119925183884339</v>
      </c>
      <c r="S48" s="226">
        <v>12245281.704703405</v>
      </c>
      <c r="T48" s="250">
        <v>0.17337877320961589</v>
      </c>
      <c r="V48" s="227">
        <v>1.9571224058533947E-2</v>
      </c>
      <c r="X48" s="228">
        <v>106481.49600278768</v>
      </c>
    </row>
    <row r="49" spans="2:24" s="190" customFormat="1" ht="12.5" x14ac:dyDescent="0.25">
      <c r="B49">
        <f t="shared" si="7"/>
        <v>11</v>
      </c>
      <c r="C49" s="190" t="str">
        <f ca="1">OFFSET('MP Calculations'!$D$38,MATCH($C$38,'MP Calculations'!$D$39:$D$129)+'Reduction amount'!B49,)</f>
        <v>2033-34</v>
      </c>
      <c r="D49" s="229">
        <f t="shared" si="0"/>
        <v>203773.91064555341</v>
      </c>
      <c r="E49" s="229">
        <f t="shared" si="1"/>
        <v>20833.371770930677</v>
      </c>
      <c r="F49" s="229">
        <f t="shared" si="2"/>
        <v>260091.705229185</v>
      </c>
      <c r="G49" s="229">
        <f t="shared" si="3"/>
        <v>19934.212767480596</v>
      </c>
      <c r="H49" s="229">
        <f t="shared" si="4"/>
        <v>504633.20041314967</v>
      </c>
      <c r="J49" s="234">
        <v>-31958.90917156059</v>
      </c>
      <c r="K49" s="249">
        <v>-39948.636464450734</v>
      </c>
      <c r="L49" s="221">
        <v>852951.74980174843</v>
      </c>
      <c r="M49" s="213">
        <f t="shared" si="6"/>
        <v>813003.11333729769</v>
      </c>
      <c r="P49" s="222" t="str">
        <f t="shared" ca="1" si="5"/>
        <v>2033-34</v>
      </c>
      <c r="Q49" s="226">
        <v>9593804.3765182961</v>
      </c>
      <c r="R49" s="250">
        <v>0.17997234708188184</v>
      </c>
      <c r="S49" s="226">
        <v>12245281.704703405</v>
      </c>
      <c r="T49" s="250">
        <v>0.17220482111296911</v>
      </c>
      <c r="V49" s="227">
        <v>2.1240156943819751E-2</v>
      </c>
      <c r="X49" s="228">
        <v>115758.73798796511</v>
      </c>
    </row>
    <row r="50" spans="2:24" s="190" customFormat="1" ht="12.5" x14ac:dyDescent="0.25">
      <c r="B50">
        <f t="shared" si="7"/>
        <v>12</v>
      </c>
      <c r="C50" s="190" t="str">
        <f ca="1">OFFSET('MP Calculations'!$D$38,MATCH($C$38,'MP Calculations'!$D$39:$D$129)+'Reduction amount'!B50,)</f>
        <v>2034-35</v>
      </c>
      <c r="D50" s="229">
        <f t="shared" si="0"/>
        <v>218442.57840117472</v>
      </c>
      <c r="E50" s="229">
        <f t="shared" si="1"/>
        <v>22217.568852164877</v>
      </c>
      <c r="F50" s="229">
        <f t="shared" si="2"/>
        <v>278814.4102011483</v>
      </c>
      <c r="G50" s="229">
        <f t="shared" si="3"/>
        <v>21258.668522067055</v>
      </c>
      <c r="H50" s="229">
        <f t="shared" si="4"/>
        <v>540733.22597655491</v>
      </c>
      <c r="J50" s="234">
        <v>-31916.100755576444</v>
      </c>
      <c r="K50" s="249">
        <v>-39895.125944470557</v>
      </c>
      <c r="L50" s="221">
        <v>903383.89777367609</v>
      </c>
      <c r="M50" s="213">
        <f t="shared" si="6"/>
        <v>863488.77182920557</v>
      </c>
      <c r="P50" s="222" t="str">
        <f t="shared" ca="1" si="5"/>
        <v>2034-35</v>
      </c>
      <c r="Q50" s="226">
        <v>9593804.3765182961</v>
      </c>
      <c r="R50" s="250">
        <v>0.17876194538907234</v>
      </c>
      <c r="S50" s="226">
        <v>12245281.704703405</v>
      </c>
      <c r="T50" s="250">
        <v>0.17104665981561015</v>
      </c>
      <c r="V50" s="227">
        <v>2.2769129933046445E-2</v>
      </c>
      <c r="X50" s="228">
        <v>124285.78579075495</v>
      </c>
    </row>
    <row r="51" spans="2:24" s="190" customFormat="1" ht="12.5" x14ac:dyDescent="0.25">
      <c r="B51">
        <f t="shared" si="7"/>
        <v>13</v>
      </c>
      <c r="C51" s="190" t="str">
        <f ca="1">OFFSET('MP Calculations'!$D$38,MATCH($C$38,'MP Calculations'!$D$39:$D$129)+'Reduction amount'!B51,)</f>
        <v>2035-36</v>
      </c>
      <c r="D51" s="229">
        <f t="shared" si="0"/>
        <v>235742.8906939757</v>
      </c>
      <c r="E51" s="229">
        <f t="shared" si="1"/>
        <v>23861.015531649078</v>
      </c>
      <c r="F51" s="229">
        <f t="shared" si="2"/>
        <v>300896.07762843155</v>
      </c>
      <c r="G51" s="229">
        <f t="shared" si="3"/>
        <v>22831.184778247894</v>
      </c>
      <c r="H51" s="229">
        <f t="shared" si="4"/>
        <v>583331.16863230418</v>
      </c>
      <c r="J51" s="234">
        <v>-32087.851462250001</v>
      </c>
      <c r="K51" s="249">
        <v>-40109.814327812499</v>
      </c>
      <c r="L51" s="221">
        <v>964531.66574560385</v>
      </c>
      <c r="M51" s="213">
        <f t="shared" si="6"/>
        <v>924421.85141779133</v>
      </c>
      <c r="P51" s="222" t="str">
        <f t="shared" ca="1" si="5"/>
        <v>2035-36</v>
      </c>
      <c r="Q51" s="226">
        <v>9593804.3765182961</v>
      </c>
      <c r="R51" s="250">
        <v>0.17756771601142926</v>
      </c>
      <c r="S51" s="226">
        <v>12245281.704703405</v>
      </c>
      <c r="T51" s="250">
        <v>0.16990397284353151</v>
      </c>
      <c r="V51" s="227">
        <v>2.45724095929012E-2</v>
      </c>
      <c r="X51" s="228">
        <v>134376.99187454351</v>
      </c>
    </row>
    <row r="52" spans="2:24" s="190" customFormat="1" ht="12.5" x14ac:dyDescent="0.25">
      <c r="B52">
        <f t="shared" si="7"/>
        <v>14</v>
      </c>
      <c r="C52" s="190" t="str">
        <f ca="1">OFFSET('MP Calculations'!$D$38,MATCH($C$38,'MP Calculations'!$D$39:$D$129)+'Reduction amount'!B52,)</f>
        <v>2036-37</v>
      </c>
      <c r="D52" s="229">
        <f t="shared" si="0"/>
        <v>252873.86879226589</v>
      </c>
      <c r="E52" s="229">
        <f t="shared" si="1"/>
        <v>25582.260533310575</v>
      </c>
      <c r="F52" s="229">
        <f t="shared" si="2"/>
        <v>322761.61130598985</v>
      </c>
      <c r="G52" s="229">
        <f t="shared" si="3"/>
        <v>24478.141615832807</v>
      </c>
      <c r="H52" s="229">
        <f t="shared" si="4"/>
        <v>625695.88224739919</v>
      </c>
      <c r="J52" s="234">
        <v>-32133.550096950858</v>
      </c>
      <c r="K52" s="249">
        <v>-40166.937621188576</v>
      </c>
      <c r="L52" s="221">
        <v>1024551.4737175317</v>
      </c>
      <c r="M52" s="213">
        <f t="shared" si="6"/>
        <v>984384.53609634307</v>
      </c>
      <c r="P52" s="222" t="str">
        <f t="shared" ca="1" si="5"/>
        <v>2036-37</v>
      </c>
      <c r="Q52" s="226">
        <v>9593804.3765182961</v>
      </c>
      <c r="R52" s="250">
        <v>0.17715479062737968</v>
      </c>
      <c r="S52" s="226">
        <v>12245281.704703405</v>
      </c>
      <c r="T52" s="250">
        <v>0.16950886913428828</v>
      </c>
      <c r="V52" s="227">
        <v>2.6358038883010533E-2</v>
      </c>
      <c r="X52" s="228">
        <v>144406.2587453211</v>
      </c>
    </row>
    <row r="53" spans="2:24" s="190" customFormat="1" ht="12.5" x14ac:dyDescent="0.25">
      <c r="B53">
        <f t="shared" si="7"/>
        <v>15</v>
      </c>
      <c r="C53" s="190" t="str">
        <f ca="1">OFFSET('MP Calculations'!$D$38,MATCH($C$38,'MP Calculations'!$D$39:$D$129)+'Reduction amount'!B53,)</f>
        <v>2037-38</v>
      </c>
      <c r="D53" s="229">
        <f t="shared" si="0"/>
        <v>265327.68526065111</v>
      </c>
      <c r="E53" s="229">
        <f t="shared" si="1"/>
        <v>26815.641088317461</v>
      </c>
      <c r="F53" s="229">
        <f t="shared" si="2"/>
        <v>338657.33785710763</v>
      </c>
      <c r="G53" s="229">
        <f t="shared" si="3"/>
        <v>25658.290017978958</v>
      </c>
      <c r="H53" s="229">
        <f t="shared" si="4"/>
        <v>656458.95422405517</v>
      </c>
      <c r="J53" s="234">
        <v>-32387.529115036421</v>
      </c>
      <c r="K53" s="249">
        <v>-40484.411393795526</v>
      </c>
      <c r="L53" s="221">
        <v>1069907.8016894592</v>
      </c>
      <c r="M53" s="213">
        <f t="shared" si="6"/>
        <v>1029423.3902956637</v>
      </c>
      <c r="P53" s="222" t="str">
        <f t="shared" ca="1" si="5"/>
        <v>2037-38</v>
      </c>
      <c r="Q53" s="226">
        <v>9593804.3765182961</v>
      </c>
      <c r="R53" s="250">
        <v>0.17674378126488682</v>
      </c>
      <c r="S53" s="226">
        <v>12245281.704703405</v>
      </c>
      <c r="T53" s="250">
        <v>0.16911559875196874</v>
      </c>
      <c r="V53" s="227">
        <v>2.7656149202923568E-2</v>
      </c>
      <c r="X53" s="228">
        <v>151720.42205054287</v>
      </c>
    </row>
    <row r="54" spans="2:24" s="190" customFormat="1" ht="12.5" x14ac:dyDescent="0.25">
      <c r="B54">
        <f t="shared" si="7"/>
        <v>16</v>
      </c>
      <c r="C54" s="190" t="str">
        <f ca="1">OFFSET('MP Calculations'!$D$38,MATCH($C$38,'MP Calculations'!$D$39:$D$129)+'Reduction amount'!B54,)</f>
        <v>2038-39</v>
      </c>
      <c r="D54" s="229">
        <f t="shared" si="0"/>
        <v>274920.33455098089</v>
      </c>
      <c r="E54" s="229">
        <f t="shared" si="1"/>
        <v>27310.529515675258</v>
      </c>
      <c r="F54" s="229">
        <f t="shared" si="2"/>
        <v>350901.14523992408</v>
      </c>
      <c r="G54" s="229">
        <f t="shared" si="3"/>
        <v>26131.819282256733</v>
      </c>
      <c r="H54" s="229">
        <f t="shared" si="4"/>
        <v>679263.82858883706</v>
      </c>
      <c r="J54" s="234">
        <v>-32612.285018164388</v>
      </c>
      <c r="K54" s="249">
        <v>-40765.356272705481</v>
      </c>
      <c r="L54" s="221">
        <v>1090612.0356754232</v>
      </c>
      <c r="M54" s="213">
        <f t="shared" si="6"/>
        <v>1049846.6794027179</v>
      </c>
      <c r="P54" s="222" t="str">
        <f t="shared" ca="1" si="5"/>
        <v>2038-39</v>
      </c>
      <c r="Q54" s="226">
        <v>9593804.3765182961</v>
      </c>
      <c r="R54" s="250">
        <v>0.17633467461897639</v>
      </c>
      <c r="S54" s="226">
        <v>12245281.704703405</v>
      </c>
      <c r="T54" s="250">
        <v>0.16872414896583532</v>
      </c>
      <c r="V54" s="227">
        <v>2.865602880374268E-2</v>
      </c>
      <c r="X54" s="228">
        <v>154878.95148635851</v>
      </c>
    </row>
    <row r="55" spans="2:24" s="190" customFormat="1" ht="12.5" x14ac:dyDescent="0.25">
      <c r="B55">
        <f t="shared" si="7"/>
        <v>17</v>
      </c>
      <c r="C55" s="190" t="str">
        <f ca="1">OFFSET('MP Calculations'!$D$38,MATCH($C$38,'MP Calculations'!$D$39:$D$129)+'Reduction amount'!B55,)</f>
        <v>2039-40</v>
      </c>
      <c r="D55" s="229">
        <f t="shared" si="0"/>
        <v>274920.33455098089</v>
      </c>
      <c r="E55" s="229">
        <f t="shared" si="1"/>
        <v>27247.460156434434</v>
      </c>
      <c r="F55" s="229">
        <f t="shared" si="2"/>
        <v>350901.14523992408</v>
      </c>
      <c r="G55" s="229">
        <f t="shared" si="3"/>
        <v>26071.47196833948</v>
      </c>
      <c r="H55" s="229">
        <f t="shared" si="4"/>
        <v>679140.411915679</v>
      </c>
      <c r="J55" s="234">
        <f>J54</f>
        <v>-32612.285018164388</v>
      </c>
      <c r="K55" s="249">
        <f t="shared" ref="K55:K67" si="8">K54</f>
        <v>-40765.356272705481</v>
      </c>
      <c r="L55" s="221">
        <f t="shared" ref="L55:L67" si="9">L54</f>
        <v>1090612.0356754232</v>
      </c>
      <c r="M55" s="213">
        <f t="shared" si="6"/>
        <v>1049846.6794027179</v>
      </c>
      <c r="P55" s="222" t="str">
        <f t="shared" ca="1" si="5"/>
        <v>2039-40</v>
      </c>
      <c r="Q55" s="226">
        <f t="shared" ref="Q55:S67" si="10">Q54</f>
        <v>9593804.3765182961</v>
      </c>
      <c r="R55" s="250">
        <v>0.17592745750757713</v>
      </c>
      <c r="S55" s="226">
        <f t="shared" si="10"/>
        <v>12245281.704703405</v>
      </c>
      <c r="T55" s="250">
        <v>0.16833450716274906</v>
      </c>
      <c r="V55" s="227">
        <f>V54</f>
        <v>2.865602880374268E-2</v>
      </c>
      <c r="X55" s="228">
        <f>X54</f>
        <v>154878.95148635851</v>
      </c>
    </row>
    <row r="56" spans="2:24" s="190" customFormat="1" ht="12.5" x14ac:dyDescent="0.25">
      <c r="B56">
        <f t="shared" si="7"/>
        <v>18</v>
      </c>
      <c r="C56" s="190" t="str">
        <f ca="1">OFFSET('MP Calculations'!$D$38,MATCH($C$38,'MP Calculations'!$D$39:$D$129)+'Reduction amount'!B56,)</f>
        <v>2040-41</v>
      </c>
      <c r="D56" s="229">
        <f t="shared" si="0"/>
        <v>274920.33455098089</v>
      </c>
      <c r="E56" s="229">
        <f t="shared" si="1"/>
        <v>27184.6814235079</v>
      </c>
      <c r="F56" s="229">
        <f t="shared" si="2"/>
        <v>350901.14523992408</v>
      </c>
      <c r="G56" s="229">
        <f t="shared" si="3"/>
        <v>26011.40273743483</v>
      </c>
      <c r="H56" s="229">
        <f t="shared" si="4"/>
        <v>679017.56395184773</v>
      </c>
      <c r="J56" s="234">
        <f t="shared" ref="J56:J67" si="11">J55</f>
        <v>-32612.285018164388</v>
      </c>
      <c r="K56" s="249">
        <f t="shared" si="8"/>
        <v>-40765.356272705481</v>
      </c>
      <c r="L56" s="221">
        <f t="shared" si="9"/>
        <v>1090612.0356754232</v>
      </c>
      <c r="M56" s="213">
        <f t="shared" si="6"/>
        <v>1049846.6794027179</v>
      </c>
      <c r="P56" s="222" t="str">
        <f t="shared" ca="1" si="5"/>
        <v>2040-41</v>
      </c>
      <c r="Q56" s="226">
        <f t="shared" si="10"/>
        <v>9593804.3765182961</v>
      </c>
      <c r="R56" s="250">
        <v>0.17552211687010474</v>
      </c>
      <c r="S56" s="226">
        <f t="shared" si="10"/>
        <v>12245281.704703405</v>
      </c>
      <c r="T56" s="250">
        <v>0.16794666084581464</v>
      </c>
      <c r="V56" s="227">
        <f t="shared" ref="V56:X67" si="12">V55</f>
        <v>2.865602880374268E-2</v>
      </c>
      <c r="X56" s="228">
        <f t="shared" si="12"/>
        <v>154878.95148635851</v>
      </c>
    </row>
    <row r="57" spans="2:24" s="190" customFormat="1" ht="12.5" x14ac:dyDescent="0.25">
      <c r="B57">
        <f t="shared" si="7"/>
        <v>19</v>
      </c>
      <c r="C57" s="190" t="str">
        <f ca="1">OFFSET('MP Calculations'!$D$38,MATCH($C$38,'MP Calculations'!$D$39:$D$129)+'Reduction amount'!B57,)</f>
        <v>2041-42</v>
      </c>
      <c r="D57" s="229">
        <f t="shared" si="0"/>
        <v>274920.33455098089</v>
      </c>
      <c r="E57" s="229">
        <f t="shared" si="1"/>
        <v>27154.744830921547</v>
      </c>
      <c r="F57" s="229">
        <f t="shared" si="2"/>
        <v>350901.14523992408</v>
      </c>
      <c r="G57" s="229">
        <f t="shared" si="3"/>
        <v>25982.758194788959</v>
      </c>
      <c r="H57" s="229">
        <f t="shared" si="4"/>
        <v>678958.98281661549</v>
      </c>
      <c r="J57" s="234">
        <f t="shared" si="11"/>
        <v>-32612.285018164388</v>
      </c>
      <c r="K57" s="249">
        <f t="shared" si="8"/>
        <v>-40765.356272705481</v>
      </c>
      <c r="L57" s="221">
        <f t="shared" si="9"/>
        <v>1090612.0356754232</v>
      </c>
      <c r="M57" s="213">
        <f t="shared" si="6"/>
        <v>1049846.6794027179</v>
      </c>
      <c r="P57" s="222" t="str">
        <f t="shared" ca="1" si="5"/>
        <v>2041-42</v>
      </c>
      <c r="Q57" s="226">
        <f t="shared" si="10"/>
        <v>9593804.3765182961</v>
      </c>
      <c r="R57" s="250">
        <v>0.17532882661149274</v>
      </c>
      <c r="S57" s="226">
        <f t="shared" si="10"/>
        <v>12245281.704703405</v>
      </c>
      <c r="T57" s="250">
        <v>0.16776171290827391</v>
      </c>
      <c r="V57" s="227">
        <f t="shared" si="12"/>
        <v>2.865602880374268E-2</v>
      </c>
      <c r="X57" s="228">
        <f t="shared" si="12"/>
        <v>154878.95148635851</v>
      </c>
    </row>
    <row r="58" spans="2:24" s="252" customFormat="1" ht="12.5" x14ac:dyDescent="0.25">
      <c r="B58" s="251">
        <f t="shared" si="7"/>
        <v>20</v>
      </c>
      <c r="C58" s="252" t="str">
        <f ca="1">OFFSET('MP Calculations'!$D$38,MATCH($C$38,'MP Calculations'!$D$39:$D$129)+'Reduction amount'!B58,)</f>
        <v>2042-43</v>
      </c>
      <c r="D58" s="253">
        <f t="shared" si="0"/>
        <v>274920.33455098089</v>
      </c>
      <c r="E58" s="253">
        <f t="shared" si="1"/>
        <v>27124.874099966997</v>
      </c>
      <c r="F58" s="253">
        <f t="shared" si="2"/>
        <v>350901.14523992408</v>
      </c>
      <c r="G58" s="253">
        <f t="shared" si="3"/>
        <v>25954.176671216333</v>
      </c>
      <c r="H58" s="253">
        <f t="shared" si="4"/>
        <v>678900.53056208836</v>
      </c>
      <c r="J58" s="234">
        <f t="shared" si="11"/>
        <v>-32612.285018164388</v>
      </c>
      <c r="K58" s="254">
        <f t="shared" si="8"/>
        <v>-40765.356272705481</v>
      </c>
      <c r="L58" s="255">
        <f t="shared" si="9"/>
        <v>1090612.0356754232</v>
      </c>
      <c r="M58" s="256">
        <f t="shared" si="6"/>
        <v>1049846.6794027179</v>
      </c>
      <c r="P58" s="257" t="str">
        <f t="shared" ca="1" si="5"/>
        <v>2042-43</v>
      </c>
      <c r="Q58" s="258">
        <f t="shared" si="10"/>
        <v>9593804.3765182961</v>
      </c>
      <c r="R58" s="259">
        <v>0.17513596159873354</v>
      </c>
      <c r="S58" s="258">
        <f t="shared" si="10"/>
        <v>12245281.704703405</v>
      </c>
      <c r="T58" s="259">
        <v>0.16757717186316526</v>
      </c>
      <c r="V58" s="227">
        <f t="shared" si="12"/>
        <v>2.865602880374268E-2</v>
      </c>
      <c r="X58" s="260">
        <f t="shared" si="12"/>
        <v>154878.95148635851</v>
      </c>
    </row>
    <row r="59" spans="2:24" s="252" customFormat="1" ht="12.5" x14ac:dyDescent="0.25">
      <c r="B59" s="251">
        <f t="shared" si="7"/>
        <v>21</v>
      </c>
      <c r="C59" s="252" t="str">
        <f ca="1">OFFSET('MP Calculations'!$D$38,MATCH($C$38,'MP Calculations'!$D$39:$D$129)+'Reduction amount'!B59,)</f>
        <v>2043-44</v>
      </c>
      <c r="D59" s="253">
        <f t="shared" si="0"/>
        <v>274920.33455098089</v>
      </c>
      <c r="E59" s="253">
        <f t="shared" si="1"/>
        <v>27095.069013535965</v>
      </c>
      <c r="F59" s="253">
        <f t="shared" si="2"/>
        <v>350901.14523992408</v>
      </c>
      <c r="G59" s="253">
        <f t="shared" si="3"/>
        <v>25925.657958978962</v>
      </c>
      <c r="H59" s="253">
        <f t="shared" si="4"/>
        <v>678842.20676342002</v>
      </c>
      <c r="J59" s="234">
        <f t="shared" si="11"/>
        <v>-32612.285018164388</v>
      </c>
      <c r="K59" s="254">
        <f t="shared" si="8"/>
        <v>-40765.356272705481</v>
      </c>
      <c r="L59" s="255">
        <f t="shared" si="9"/>
        <v>1090612.0356754232</v>
      </c>
      <c r="M59" s="256">
        <f t="shared" si="6"/>
        <v>1049846.6794027179</v>
      </c>
      <c r="P59" s="257" t="str">
        <f t="shared" ca="1" si="5"/>
        <v>2043-44</v>
      </c>
      <c r="Q59" s="258">
        <f t="shared" si="10"/>
        <v>9593804.3765182961</v>
      </c>
      <c r="R59" s="259">
        <v>0.17494352043003375</v>
      </c>
      <c r="S59" s="258">
        <f t="shared" si="10"/>
        <v>12245281.704703405</v>
      </c>
      <c r="T59" s="259">
        <v>0.16739303636919606</v>
      </c>
      <c r="V59" s="227">
        <f t="shared" si="12"/>
        <v>2.865602880374268E-2</v>
      </c>
      <c r="X59" s="260">
        <f t="shared" si="12"/>
        <v>154878.95148635851</v>
      </c>
    </row>
    <row r="60" spans="2:24" s="190" customFormat="1" ht="12.5" x14ac:dyDescent="0.25">
      <c r="B60">
        <f t="shared" si="7"/>
        <v>22</v>
      </c>
      <c r="C60" s="190" t="str">
        <f ca="1">OFFSET('MP Calculations'!$D$38,MATCH($C$38,'MP Calculations'!$D$39:$D$129)+'Reduction amount'!B60,)</f>
        <v>2044-45</v>
      </c>
      <c r="D60" s="229">
        <f t="shared" si="0"/>
        <v>274920.33455098089</v>
      </c>
      <c r="E60" s="229">
        <f t="shared" si="1"/>
        <v>27065.329355473361</v>
      </c>
      <c r="F60" s="229">
        <f t="shared" si="2"/>
        <v>350901.14523992408</v>
      </c>
      <c r="G60" s="229">
        <f t="shared" si="3"/>
        <v>25897.201851250909</v>
      </c>
      <c r="H60" s="229">
        <f t="shared" si="4"/>
        <v>678784.01099762926</v>
      </c>
      <c r="J60" s="234">
        <f t="shared" si="11"/>
        <v>-32612.285018164388</v>
      </c>
      <c r="K60" s="249">
        <f t="shared" si="8"/>
        <v>-40765.356272705481</v>
      </c>
      <c r="L60" s="221">
        <f t="shared" si="9"/>
        <v>1090612.0356754232</v>
      </c>
      <c r="M60" s="213">
        <f t="shared" si="6"/>
        <v>1049846.6794027179</v>
      </c>
      <c r="P60" s="222" t="str">
        <f t="shared" ca="1" si="5"/>
        <v>2044-45</v>
      </c>
      <c r="Q60" s="226">
        <f t="shared" si="10"/>
        <v>9593804.3765182961</v>
      </c>
      <c r="R60" s="250">
        <v>0.17475150170975448</v>
      </c>
      <c r="S60" s="226">
        <f t="shared" si="10"/>
        <v>12245281.704703405</v>
      </c>
      <c r="T60" s="250">
        <v>0.16720930509096257</v>
      </c>
      <c r="V60" s="227">
        <f t="shared" si="12"/>
        <v>2.865602880374268E-2</v>
      </c>
      <c r="X60" s="228">
        <f t="shared" si="12"/>
        <v>154878.95148635851</v>
      </c>
    </row>
    <row r="61" spans="2:24" s="190" customFormat="1" ht="12.5" x14ac:dyDescent="0.25">
      <c r="B61">
        <f t="shared" si="7"/>
        <v>23</v>
      </c>
      <c r="C61" s="190" t="str">
        <f ca="1">OFFSET('MP Calculations'!$D$38,MATCH($C$38,'MP Calculations'!$D$39:$D$129)+'Reduction amount'!B61,)</f>
        <v>2045-46</v>
      </c>
      <c r="D61" s="229">
        <f t="shared" si="0"/>
        <v>274920.33455098089</v>
      </c>
      <c r="E61" s="229">
        <f t="shared" si="1"/>
        <v>27035.654910572051</v>
      </c>
      <c r="F61" s="229">
        <f t="shared" si="2"/>
        <v>350901.14523992408</v>
      </c>
      <c r="G61" s="229">
        <f t="shared" si="3"/>
        <v>25868.808142113303</v>
      </c>
      <c r="H61" s="229">
        <f t="shared" si="4"/>
        <v>678725.94284359028</v>
      </c>
      <c r="J61" s="234">
        <f t="shared" si="11"/>
        <v>-32612.285018164388</v>
      </c>
      <c r="K61" s="249">
        <f t="shared" si="8"/>
        <v>-40765.356272705481</v>
      </c>
      <c r="L61" s="221">
        <f t="shared" si="9"/>
        <v>1090612.0356754232</v>
      </c>
      <c r="M61" s="213">
        <f t="shared" si="6"/>
        <v>1049846.6794027179</v>
      </c>
      <c r="P61" s="222" t="str">
        <f t="shared" ca="1" si="5"/>
        <v>2045-46</v>
      </c>
      <c r="Q61" s="226">
        <f t="shared" si="10"/>
        <v>9593804.3765182961</v>
      </c>
      <c r="R61" s="250">
        <v>0.17455990404837748</v>
      </c>
      <c r="S61" s="226">
        <f t="shared" si="10"/>
        <v>12245281.704703405</v>
      </c>
      <c r="T61" s="250">
        <v>0.16702597669891758</v>
      </c>
      <c r="V61" s="227">
        <f t="shared" si="12"/>
        <v>2.865602880374268E-2</v>
      </c>
      <c r="X61" s="228">
        <f t="shared" si="12"/>
        <v>154878.95148635851</v>
      </c>
    </row>
    <row r="62" spans="2:24" s="190" customFormat="1" ht="12.5" x14ac:dyDescent="0.25">
      <c r="B62">
        <f t="shared" si="7"/>
        <v>24</v>
      </c>
      <c r="C62" s="190" t="str">
        <f ca="1">OFFSET('MP Calculations'!$D$38,MATCH($C$38,'MP Calculations'!$D$39:$D$129)+'Reduction amount'!B62,)</f>
        <v>2046-47</v>
      </c>
      <c r="D62" s="229">
        <f t="shared" si="0"/>
        <v>274920.33455098089</v>
      </c>
      <c r="E62" s="229">
        <f t="shared" si="1"/>
        <v>26998.858602990906</v>
      </c>
      <c r="F62" s="229">
        <f t="shared" si="2"/>
        <v>350901.14523992408</v>
      </c>
      <c r="G62" s="229">
        <f t="shared" si="3"/>
        <v>25833.599946702332</v>
      </c>
      <c r="H62" s="229">
        <f t="shared" si="4"/>
        <v>678653.93834059825</v>
      </c>
      <c r="J62" s="234">
        <f t="shared" si="11"/>
        <v>-32612.285018164388</v>
      </c>
      <c r="K62" s="249">
        <f t="shared" si="8"/>
        <v>-40765.356272705481</v>
      </c>
      <c r="L62" s="221">
        <f t="shared" si="9"/>
        <v>1090612.0356754232</v>
      </c>
      <c r="M62" s="213">
        <f t="shared" si="6"/>
        <v>1049846.6794027179</v>
      </c>
      <c r="P62" s="222" t="str">
        <f t="shared" ca="1" si="5"/>
        <v>2046-47</v>
      </c>
      <c r="Q62" s="226">
        <f t="shared" si="10"/>
        <v>9593804.3765182961</v>
      </c>
      <c r="R62" s="250">
        <v>0.17432232297471953</v>
      </c>
      <c r="S62" s="226">
        <f t="shared" si="10"/>
        <v>12245281.704703405</v>
      </c>
      <c r="T62" s="250">
        <v>0.1667986495180897</v>
      </c>
      <c r="V62" s="227">
        <f t="shared" si="12"/>
        <v>2.865602880374268E-2</v>
      </c>
      <c r="X62" s="228">
        <f t="shared" si="12"/>
        <v>154878.95148635851</v>
      </c>
    </row>
    <row r="63" spans="2:24" s="190" customFormat="1" ht="12.5" x14ac:dyDescent="0.25">
      <c r="B63">
        <f t="shared" si="7"/>
        <v>25</v>
      </c>
      <c r="C63" s="190" t="str">
        <f ca="1">OFFSET('MP Calculations'!$D$38,MATCH($C$38,'MP Calculations'!$D$39:$D$129)+'Reduction amount'!B63,)</f>
        <v>2047-48</v>
      </c>
      <c r="D63" s="229">
        <f t="shared" si="0"/>
        <v>274920.33455098089</v>
      </c>
      <c r="E63" s="229">
        <f t="shared" si="1"/>
        <v>26962.162320947951</v>
      </c>
      <c r="F63" s="229">
        <f t="shared" si="2"/>
        <v>350901.14523992408</v>
      </c>
      <c r="G63" s="229">
        <f t="shared" si="3"/>
        <v>25798.487459772092</v>
      </c>
      <c r="H63" s="229">
        <f t="shared" si="4"/>
        <v>678582.12957162503</v>
      </c>
      <c r="J63" s="234">
        <f t="shared" si="11"/>
        <v>-32612.285018164388</v>
      </c>
      <c r="K63" s="249">
        <f t="shared" si="8"/>
        <v>-40765.356272705481</v>
      </c>
      <c r="L63" s="221">
        <f t="shared" si="9"/>
        <v>1090612.0356754232</v>
      </c>
      <c r="M63" s="213">
        <f t="shared" si="6"/>
        <v>1049846.6794027179</v>
      </c>
      <c r="P63" s="222" t="str">
        <f t="shared" ca="1" si="5"/>
        <v>2047-48</v>
      </c>
      <c r="Q63" s="226">
        <f t="shared" si="10"/>
        <v>9593804.3765182961</v>
      </c>
      <c r="R63" s="250">
        <v>0.17408538773148097</v>
      </c>
      <c r="S63" s="226">
        <f t="shared" si="10"/>
        <v>12245281.704703405</v>
      </c>
      <c r="T63" s="250">
        <v>0.16657194029392935</v>
      </c>
      <c r="V63" s="227">
        <f t="shared" si="12"/>
        <v>2.865602880374268E-2</v>
      </c>
      <c r="X63" s="228">
        <f t="shared" si="12"/>
        <v>154878.95148635851</v>
      </c>
    </row>
    <row r="64" spans="2:24" s="190" customFormat="1" ht="12.5" x14ac:dyDescent="0.25">
      <c r="B64">
        <f t="shared" si="7"/>
        <v>26</v>
      </c>
      <c r="C64" s="190" t="str">
        <f ca="1">OFFSET('MP Calculations'!$D$38,MATCH($C$38,'MP Calculations'!$D$39:$D$129)+'Reduction amount'!B64,)</f>
        <v>2048-49</v>
      </c>
      <c r="D64" s="229">
        <f t="shared" si="0"/>
        <v>274920.33455098089</v>
      </c>
      <c r="E64" s="229">
        <f t="shared" si="1"/>
        <v>26925.565657138941</v>
      </c>
      <c r="F64" s="229">
        <f t="shared" si="2"/>
        <v>350901.14523992408</v>
      </c>
      <c r="G64" s="229">
        <f t="shared" si="3"/>
        <v>25763.470291597387</v>
      </c>
      <c r="H64" s="229">
        <f t="shared" si="4"/>
        <v>678510.51573964127</v>
      </c>
      <c r="J64" s="234">
        <f t="shared" si="11"/>
        <v>-32612.285018164388</v>
      </c>
      <c r="K64" s="249">
        <f t="shared" si="8"/>
        <v>-40765.356272705481</v>
      </c>
      <c r="L64" s="221">
        <f t="shared" si="9"/>
        <v>1090612.0356754232</v>
      </c>
      <c r="M64" s="213">
        <f t="shared" si="6"/>
        <v>1049846.6794027179</v>
      </c>
      <c r="P64" s="222" t="str">
        <f t="shared" ca="1" si="5"/>
        <v>2048-49</v>
      </c>
      <c r="Q64" s="226">
        <f t="shared" si="10"/>
        <v>9593804.3765182961</v>
      </c>
      <c r="R64" s="250">
        <v>0.17384909568883866</v>
      </c>
      <c r="S64" s="226">
        <f t="shared" si="10"/>
        <v>12245281.704703405</v>
      </c>
      <c r="T64" s="250">
        <v>0.1663458465101153</v>
      </c>
      <c r="V64" s="227">
        <f t="shared" si="12"/>
        <v>2.865602880374268E-2</v>
      </c>
      <c r="X64" s="228">
        <f t="shared" si="12"/>
        <v>154878.95148635851</v>
      </c>
    </row>
    <row r="65" spans="2:24" s="190" customFormat="1" ht="12.5" x14ac:dyDescent="0.25">
      <c r="B65">
        <f t="shared" si="7"/>
        <v>27</v>
      </c>
      <c r="C65" s="190" t="str">
        <f ca="1">OFFSET('MP Calculations'!$D$38,MATCH($C$38,'MP Calculations'!$D$39:$D$129)+'Reduction amount'!B65,)</f>
        <v>2049-50</v>
      </c>
      <c r="D65" s="229">
        <f t="shared" si="0"/>
        <v>274920.33455098089</v>
      </c>
      <c r="E65" s="229">
        <f t="shared" si="1"/>
        <v>26889.068206468044</v>
      </c>
      <c r="F65" s="229">
        <f t="shared" si="2"/>
        <v>350901.14523992408</v>
      </c>
      <c r="G65" s="229">
        <f t="shared" si="3"/>
        <v>25728.548054566152</v>
      </c>
      <c r="H65" s="229">
        <f t="shared" si="4"/>
        <v>678439.09605193918</v>
      </c>
      <c r="J65" s="234">
        <f t="shared" si="11"/>
        <v>-32612.285018164388</v>
      </c>
      <c r="K65" s="249">
        <f t="shared" si="8"/>
        <v>-40765.356272705481</v>
      </c>
      <c r="L65" s="221">
        <f t="shared" si="9"/>
        <v>1090612.0356754232</v>
      </c>
      <c r="M65" s="213">
        <f t="shared" si="6"/>
        <v>1049846.6794027179</v>
      </c>
      <c r="P65" s="222" t="str">
        <f t="shared" ca="1" si="5"/>
        <v>2049-50</v>
      </c>
      <c r="Q65" s="226">
        <f t="shared" si="10"/>
        <v>9593804.3765182961</v>
      </c>
      <c r="R65" s="250">
        <v>0.17361344423122849</v>
      </c>
      <c r="S65" s="226">
        <f t="shared" si="10"/>
        <v>12245281.704703405</v>
      </c>
      <c r="T65" s="250">
        <v>0.16612036566397004</v>
      </c>
      <c r="V65" s="227">
        <f t="shared" si="12"/>
        <v>2.865602880374268E-2</v>
      </c>
      <c r="X65" s="228">
        <f t="shared" si="12"/>
        <v>154878.95148635851</v>
      </c>
    </row>
    <row r="66" spans="2:24" s="190" customFormat="1" ht="12.5" x14ac:dyDescent="0.25">
      <c r="B66">
        <f t="shared" si="7"/>
        <v>28</v>
      </c>
      <c r="C66" s="190" t="str">
        <f ca="1">OFFSET('MP Calculations'!$D$38,MATCH($C$38,'MP Calculations'!$D$39:$D$129)+'Reduction amount'!B66,)</f>
        <v>2050-51</v>
      </c>
      <c r="D66" s="229">
        <f t="shared" si="0"/>
        <v>274920.33455098089</v>
      </c>
      <c r="E66" s="229">
        <f t="shared" si="1"/>
        <v>26852.669566032855</v>
      </c>
      <c r="F66" s="229">
        <f t="shared" si="2"/>
        <v>350901.14523992408</v>
      </c>
      <c r="G66" s="229">
        <f t="shared" si="3"/>
        <v>25693.720363165066</v>
      </c>
      <c r="H66" s="229">
        <f t="shared" si="4"/>
        <v>678367.86972010287</v>
      </c>
      <c r="J66" s="234">
        <f t="shared" si="11"/>
        <v>-32612.285018164388</v>
      </c>
      <c r="K66" s="249">
        <f t="shared" si="8"/>
        <v>-40765.356272705481</v>
      </c>
      <c r="L66" s="221">
        <f t="shared" si="9"/>
        <v>1090612.0356754232</v>
      </c>
      <c r="M66" s="213">
        <f t="shared" si="6"/>
        <v>1049846.6794027179</v>
      </c>
      <c r="P66" s="222" t="str">
        <f t="shared" ca="1" si="5"/>
        <v>2050-51</v>
      </c>
      <c r="Q66" s="226">
        <f t="shared" si="10"/>
        <v>9593804.3765182961</v>
      </c>
      <c r="R66" s="250">
        <v>0.17337843075724849</v>
      </c>
      <c r="S66" s="226">
        <f t="shared" si="10"/>
        <v>12245281.704703405</v>
      </c>
      <c r="T66" s="250">
        <v>0.16589549526636696</v>
      </c>
      <c r="V66" s="227">
        <f t="shared" si="12"/>
        <v>2.865602880374268E-2</v>
      </c>
      <c r="X66" s="228">
        <f t="shared" si="12"/>
        <v>154878.95148635851</v>
      </c>
    </row>
    <row r="67" spans="2:24" s="190" customFormat="1" ht="12.5" x14ac:dyDescent="0.25">
      <c r="B67">
        <f t="shared" si="7"/>
        <v>29</v>
      </c>
      <c r="C67" s="190" t="str">
        <f ca="1">OFFSET('MP Calculations'!$D$38,MATCH($C$38,'MP Calculations'!$D$39:$D$129)+'Reduction amount'!B67,)</f>
        <v>2051-52</v>
      </c>
      <c r="D67" s="229">
        <f t="shared" si="0"/>
        <v>274920.33455098089</v>
      </c>
      <c r="E67" s="229">
        <f t="shared" si="1"/>
        <v>26822.902682771819</v>
      </c>
      <c r="F67" s="229">
        <f t="shared" si="2"/>
        <v>350901.14523992408</v>
      </c>
      <c r="G67" s="229">
        <f t="shared" si="3"/>
        <v>25665.238205265967</v>
      </c>
      <c r="H67" s="229">
        <f t="shared" si="4"/>
        <v>678309.62067894277</v>
      </c>
      <c r="J67" s="234">
        <f t="shared" si="11"/>
        <v>-32612.285018164388</v>
      </c>
      <c r="K67" s="249">
        <f t="shared" si="8"/>
        <v>-40765.356272705481</v>
      </c>
      <c r="L67" s="221">
        <f t="shared" si="9"/>
        <v>1090612.0356754232</v>
      </c>
      <c r="M67" s="213">
        <f>K67+L67</f>
        <v>1049846.6794027179</v>
      </c>
      <c r="P67" s="222" t="str">
        <f t="shared" ca="1" si="5"/>
        <v>2051-52</v>
      </c>
      <c r="Q67" s="226">
        <f t="shared" si="10"/>
        <v>9593804.3765182961</v>
      </c>
      <c r="R67" s="250">
        <v>0.173186236253248</v>
      </c>
      <c r="S67" s="226">
        <f t="shared" si="10"/>
        <v>12245281.704703405</v>
      </c>
      <c r="T67" s="250">
        <v>0.16571159579115902</v>
      </c>
      <c r="V67" s="227">
        <f t="shared" si="12"/>
        <v>2.865602880374268E-2</v>
      </c>
      <c r="X67" s="228">
        <f t="shared" si="12"/>
        <v>154878.95148635851</v>
      </c>
    </row>
    <row r="68" spans="2:24" s="190" customFormat="1" ht="12.5" x14ac:dyDescent="0.25">
      <c r="P68" s="192"/>
    </row>
    <row r="69" spans="2:24" s="190" customFormat="1" ht="12.5" x14ac:dyDescent="0.25"/>
    <row r="70" spans="2:24" s="190" customFormat="1" ht="12.5" x14ac:dyDescent="0.25"/>
    <row r="71" spans="2:24" s="190" customFormat="1" ht="12.5" x14ac:dyDescent="0.25"/>
    <row r="72" spans="2:24" s="190" customFormat="1" ht="12.5" x14ac:dyDescent="0.25"/>
    <row r="73" spans="2:24" s="190" customFormat="1" ht="12.5" x14ac:dyDescent="0.25"/>
    <row r="74" spans="2:24" s="190" customFormat="1" ht="12.5" x14ac:dyDescent="0.25"/>
    <row r="75" spans="2:24" s="190" customFormat="1" ht="12.5" x14ac:dyDescent="0.25"/>
  </sheetData>
  <hyperlinks>
    <hyperlink ref="H6" r:id="rId1" xr:uid="{00000000-0004-0000-0900-000000000000}"/>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7" tint="0.79998168889431442"/>
  </sheetPr>
  <dimension ref="A3:AD18"/>
  <sheetViews>
    <sheetView showGridLines="0" workbookViewId="0">
      <selection activeCell="G7" sqref="G7"/>
    </sheetView>
  </sheetViews>
  <sheetFormatPr defaultRowHeight="11.5" x14ac:dyDescent="0.25"/>
  <cols>
    <col min="1" max="2" width="2.69921875" customWidth="1"/>
    <col min="13" max="13" width="9.09765625" customWidth="1"/>
    <col min="16" max="16" width="9.09765625" customWidth="1"/>
  </cols>
  <sheetData>
    <row r="3" spans="1:30" ht="20" x14ac:dyDescent="0.4">
      <c r="C3" s="123" t="s">
        <v>391</v>
      </c>
      <c r="M3" s="125"/>
    </row>
    <row r="6" spans="1:30" x14ac:dyDescent="0.25">
      <c r="C6" t="s">
        <v>350</v>
      </c>
      <c r="G6" s="125" t="s">
        <v>28</v>
      </c>
    </row>
    <row r="8" spans="1:30" x14ac:dyDescent="0.25">
      <c r="C8" t="s">
        <v>392</v>
      </c>
    </row>
    <row r="10" spans="1:30" x14ac:dyDescent="0.25">
      <c r="C10" t="s">
        <v>393</v>
      </c>
      <c r="J10" s="156" t="str">
        <f>ADDRESS(ROW('MP Calculations'!$F$22),COLUMN('MP Calculations'!$F$22))</f>
        <v>$F$22</v>
      </c>
      <c r="K10" t="str">
        <f ca="1">"on the "&amp;MID(CELL("filename",'MP Calculations'!$A$1),FIND("]",CELL("filename",'MP Calculations'!$A$1))+1,255)&amp;" worksheet."</f>
        <v>on the MP Calculations worksheet.</v>
      </c>
    </row>
    <row r="12" spans="1:30" x14ac:dyDescent="0.25">
      <c r="C12" s="72" t="s">
        <v>394</v>
      </c>
    </row>
    <row r="13" spans="1:30" x14ac:dyDescent="0.25">
      <c r="D13" s="174" t="s">
        <v>395</v>
      </c>
    </row>
    <row r="14" spans="1:30" x14ac:dyDescent="0.25">
      <c r="D14" s="71"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16" spans="1:30" x14ac:dyDescent="0.25">
      <c r="A16" s="68"/>
      <c r="B16" s="68"/>
      <c r="C16" s="68" t="s">
        <v>370</v>
      </c>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row>
    <row r="18" spans="4:4" x14ac:dyDescent="0.25">
      <c r="D18" s="71"/>
    </row>
  </sheetData>
  <hyperlinks>
    <hyperlink ref="G6"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sheetPr>
  <dimension ref="A3:AD16"/>
  <sheetViews>
    <sheetView showGridLines="0" workbookViewId="0"/>
  </sheetViews>
  <sheetFormatPr defaultRowHeight="11.5" x14ac:dyDescent="0.25"/>
  <cols>
    <col min="1" max="2" width="2.69921875" customWidth="1"/>
    <col min="3" max="3" width="21.3984375" customWidth="1"/>
    <col min="4" max="4" width="12.3984375" customWidth="1"/>
    <col min="13" max="13" width="9.09765625" customWidth="1"/>
    <col min="16" max="16" width="9.09765625" customWidth="1"/>
  </cols>
  <sheetData>
    <row r="3" spans="1:30" ht="20" x14ac:dyDescent="0.4">
      <c r="C3" s="123" t="s">
        <v>396</v>
      </c>
      <c r="M3" s="125"/>
    </row>
    <row r="6" spans="1:30" x14ac:dyDescent="0.25">
      <c r="C6" t="s">
        <v>350</v>
      </c>
      <c r="G6" s="181" t="s">
        <v>29</v>
      </c>
    </row>
    <row r="8" spans="1:30" x14ac:dyDescent="0.25">
      <c r="C8" t="s">
        <v>397</v>
      </c>
    </row>
    <row r="10" spans="1:30" x14ac:dyDescent="0.25">
      <c r="C10" t="s">
        <v>393</v>
      </c>
      <c r="J10" s="156" t="str">
        <f>ADDRESS(ROW('MP Calculations'!$G$22),COLUMN('MP Calculations'!$G$22))</f>
        <v>$G$22</v>
      </c>
      <c r="K10" t="str">
        <f ca="1">"on the "&amp;MID(CELL("filename",'MP Calculations'!$A$1),FIND("]",CELL("filename",'MP Calculations'!$A$1))+1,255)&amp;" worksheet."</f>
        <v>on the MP Calculations worksheet.</v>
      </c>
    </row>
    <row r="12" spans="1:30" x14ac:dyDescent="0.25">
      <c r="C12" s="72" t="s">
        <v>394</v>
      </c>
    </row>
    <row r="13" spans="1:30" x14ac:dyDescent="0.25">
      <c r="D13" s="71" t="s">
        <v>398</v>
      </c>
    </row>
    <row r="14" spans="1:30" x14ac:dyDescent="0.25">
      <c r="D14" s="71"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16" spans="1:30" x14ac:dyDescent="0.25">
      <c r="A16" s="68"/>
      <c r="B16" s="68"/>
      <c r="C16" s="68" t="s">
        <v>370</v>
      </c>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row>
  </sheetData>
  <hyperlinks>
    <hyperlink ref="G6"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C3:G32"/>
  <sheetViews>
    <sheetView showGridLines="0" workbookViewId="0"/>
  </sheetViews>
  <sheetFormatPr defaultRowHeight="11.5" x14ac:dyDescent="0.25"/>
  <cols>
    <col min="1" max="2" width="2.69921875" customWidth="1"/>
    <col min="3" max="3" width="5.69921875" customWidth="1"/>
  </cols>
  <sheetData>
    <row r="3" spans="3:7" ht="20" x14ac:dyDescent="0.4">
      <c r="C3" s="57" t="s">
        <v>399</v>
      </c>
    </row>
    <row r="6" spans="3:7" x14ac:dyDescent="0.25">
      <c r="C6" t="s">
        <v>350</v>
      </c>
      <c r="G6" s="125" t="s">
        <v>28</v>
      </c>
    </row>
    <row r="8" spans="3:7" x14ac:dyDescent="0.25">
      <c r="C8" s="6" t="s">
        <v>400</v>
      </c>
      <c r="G8" s="125"/>
    </row>
    <row r="10" spans="3:7" x14ac:dyDescent="0.25">
      <c r="C10" t="s">
        <v>401</v>
      </c>
      <c r="D10" t="s">
        <v>402</v>
      </c>
    </row>
    <row r="12" spans="3:7" x14ac:dyDescent="0.25">
      <c r="C12" t="s">
        <v>403</v>
      </c>
      <c r="D12" t="s">
        <v>404</v>
      </c>
    </row>
    <row r="14" spans="3:7" x14ac:dyDescent="0.25">
      <c r="C14" t="s">
        <v>405</v>
      </c>
      <c r="D14" t="s">
        <v>406</v>
      </c>
    </row>
    <row r="16" spans="3:7" x14ac:dyDescent="0.25">
      <c r="C16" t="s">
        <v>407</v>
      </c>
      <c r="D16" t="s">
        <v>408</v>
      </c>
    </row>
    <row r="18" spans="3:4" x14ac:dyDescent="0.25">
      <c r="C18" t="s">
        <v>409</v>
      </c>
      <c r="D18" t="s">
        <v>410</v>
      </c>
    </row>
    <row r="20" spans="3:4" x14ac:dyDescent="0.25">
      <c r="C20" t="s">
        <v>411</v>
      </c>
      <c r="D20" t="s">
        <v>412</v>
      </c>
    </row>
    <row r="22" spans="3:4" x14ac:dyDescent="0.25">
      <c r="D22" t="s">
        <v>81</v>
      </c>
    </row>
    <row r="24" spans="3:4" x14ac:dyDescent="0.25">
      <c r="C24" s="6" t="s">
        <v>413</v>
      </c>
    </row>
    <row r="26" spans="3:4" x14ac:dyDescent="0.25">
      <c r="C26" t="s">
        <v>414</v>
      </c>
    </row>
    <row r="28" spans="3:4" x14ac:dyDescent="0.25">
      <c r="C28" t="s">
        <v>415</v>
      </c>
      <c r="D28" t="s">
        <v>416</v>
      </c>
    </row>
    <row r="30" spans="3:4" x14ac:dyDescent="0.25">
      <c r="C30" t="s">
        <v>417</v>
      </c>
      <c r="D30" t="s">
        <v>418</v>
      </c>
    </row>
    <row r="32" spans="3:4" x14ac:dyDescent="0.25">
      <c r="C32" t="s">
        <v>419</v>
      </c>
      <c r="D32" t="s">
        <v>420</v>
      </c>
    </row>
  </sheetData>
  <hyperlinks>
    <hyperlink ref="G6" r:id="rId1" xr:uid="{00000000-0004-0000-0C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G23"/>
  <sheetViews>
    <sheetView showGridLines="0" workbookViewId="0"/>
  </sheetViews>
  <sheetFormatPr defaultRowHeight="11.5" x14ac:dyDescent="0.25"/>
  <cols>
    <col min="1" max="2" width="2.69921875" customWidth="1"/>
    <col min="3" max="5" width="40.59765625" customWidth="1"/>
    <col min="6" max="6" width="20.59765625" customWidth="1"/>
    <col min="7" max="7" width="17.59765625" customWidth="1"/>
  </cols>
  <sheetData>
    <row r="3" spans="3:7" ht="20.25" customHeight="1" x14ac:dyDescent="0.35">
      <c r="C3" s="2" t="s">
        <v>42</v>
      </c>
    </row>
    <row r="5" spans="3:7" x14ac:dyDescent="0.25">
      <c r="C5" s="6" t="s">
        <v>43</v>
      </c>
      <c r="D5" s="6" t="s">
        <v>44</v>
      </c>
      <c r="E5" s="6" t="s">
        <v>45</v>
      </c>
      <c r="F5" s="6" t="s">
        <v>46</v>
      </c>
      <c r="G5" s="6" t="s">
        <v>47</v>
      </c>
    </row>
    <row r="6" spans="3:7" ht="34.5" x14ac:dyDescent="0.25">
      <c r="C6" s="176" t="s">
        <v>48</v>
      </c>
      <c r="D6" s="176" t="s">
        <v>49</v>
      </c>
      <c r="E6" s="176" t="s">
        <v>50</v>
      </c>
      <c r="F6" s="179" t="s">
        <v>51</v>
      </c>
      <c r="G6" s="180">
        <v>43678</v>
      </c>
    </row>
    <row r="7" spans="3:7" ht="23" x14ac:dyDescent="0.25">
      <c r="C7" s="176" t="s">
        <v>48</v>
      </c>
      <c r="D7" s="176" t="s">
        <v>52</v>
      </c>
      <c r="E7" s="176" t="s">
        <v>53</v>
      </c>
      <c r="F7" s="179" t="s">
        <v>51</v>
      </c>
      <c r="G7" s="180">
        <v>43678</v>
      </c>
    </row>
    <row r="8" spans="3:7" ht="46" x14ac:dyDescent="0.25">
      <c r="C8" s="178" t="s">
        <v>54</v>
      </c>
      <c r="D8" s="178" t="s">
        <v>55</v>
      </c>
      <c r="E8" s="178" t="s">
        <v>56</v>
      </c>
      <c r="F8" s="179" t="s">
        <v>51</v>
      </c>
      <c r="G8" s="180">
        <v>43678</v>
      </c>
    </row>
    <row r="9" spans="3:7" x14ac:dyDescent="0.25">
      <c r="C9" s="177"/>
      <c r="D9" s="177"/>
      <c r="E9" s="177"/>
      <c r="F9" s="179"/>
      <c r="G9" s="180"/>
    </row>
    <row r="10" spans="3:7" x14ac:dyDescent="0.25">
      <c r="C10" s="177"/>
      <c r="D10" s="177"/>
      <c r="E10" s="177"/>
      <c r="F10" s="179"/>
      <c r="G10" s="180"/>
    </row>
    <row r="11" spans="3:7" x14ac:dyDescent="0.25">
      <c r="C11" s="177"/>
      <c r="D11" s="177"/>
      <c r="E11" s="177"/>
      <c r="F11" s="179"/>
      <c r="G11" s="180"/>
    </row>
    <row r="12" spans="3:7" x14ac:dyDescent="0.25">
      <c r="C12" s="177"/>
      <c r="D12" s="177"/>
      <c r="E12" s="177"/>
      <c r="F12" s="179"/>
      <c r="G12" s="180"/>
    </row>
    <row r="13" spans="3:7" x14ac:dyDescent="0.25">
      <c r="C13" s="177"/>
      <c r="D13" s="177"/>
      <c r="E13" s="177"/>
      <c r="F13" s="179"/>
      <c r="G13" s="180"/>
    </row>
    <row r="14" spans="3:7" x14ac:dyDescent="0.25">
      <c r="C14" s="177"/>
      <c r="D14" s="177"/>
      <c r="E14" s="177"/>
      <c r="F14" s="179"/>
      <c r="G14" s="180"/>
    </row>
    <row r="15" spans="3:7" x14ac:dyDescent="0.25">
      <c r="C15" s="177"/>
      <c r="D15" s="177"/>
      <c r="E15" s="177"/>
      <c r="F15" s="179"/>
      <c r="G15" s="180"/>
    </row>
    <row r="16" spans="3:7" x14ac:dyDescent="0.25">
      <c r="C16" s="177"/>
      <c r="D16" s="177"/>
      <c r="E16" s="177"/>
      <c r="F16" s="179"/>
      <c r="G16" s="180"/>
    </row>
    <row r="17" spans="3:7" x14ac:dyDescent="0.25">
      <c r="C17" s="177"/>
      <c r="D17" s="177"/>
      <c r="E17" s="177"/>
      <c r="F17" s="179"/>
      <c r="G17" s="180"/>
    </row>
    <row r="18" spans="3:7" x14ac:dyDescent="0.25">
      <c r="C18" s="177"/>
      <c r="D18" s="177"/>
      <c r="E18" s="177"/>
      <c r="F18" s="179"/>
      <c r="G18" s="180"/>
    </row>
    <row r="19" spans="3:7" x14ac:dyDescent="0.25">
      <c r="C19" s="177"/>
      <c r="D19" s="177"/>
      <c r="E19" s="177"/>
      <c r="F19" s="179"/>
      <c r="G19" s="180"/>
    </row>
    <row r="20" spans="3:7" x14ac:dyDescent="0.25">
      <c r="C20" s="177"/>
      <c r="D20" s="177"/>
      <c r="E20" s="177"/>
      <c r="F20" s="179"/>
      <c r="G20" s="180"/>
    </row>
    <row r="21" spans="3:7" x14ac:dyDescent="0.25">
      <c r="C21" s="177"/>
      <c r="D21" s="177"/>
      <c r="E21" s="177"/>
      <c r="F21" s="179"/>
      <c r="G21" s="180"/>
    </row>
    <row r="22" spans="3:7" x14ac:dyDescent="0.25">
      <c r="C22" s="177"/>
      <c r="D22" s="177"/>
      <c r="E22" s="177"/>
      <c r="F22" s="179"/>
      <c r="G22" s="180"/>
    </row>
    <row r="23" spans="3:7" x14ac:dyDescent="0.25">
      <c r="C23" s="177"/>
      <c r="D23" s="177"/>
      <c r="E23" s="177"/>
      <c r="F23" s="179"/>
      <c r="G23" s="18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7"/>
  </sheetPr>
  <dimension ref="A3:U27"/>
  <sheetViews>
    <sheetView showGridLines="0" zoomScaleNormal="100" workbookViewId="0">
      <selection activeCell="N17" sqref="N17"/>
    </sheetView>
  </sheetViews>
  <sheetFormatPr defaultRowHeight="11.5" outlineLevelRow="1" x14ac:dyDescent="0.25"/>
  <cols>
    <col min="1" max="3" width="2.69921875" customWidth="1"/>
    <col min="4" max="4" width="23.8984375" customWidth="1"/>
    <col min="5" max="5" width="8" customWidth="1"/>
    <col min="6" max="6" width="2.69921875" customWidth="1"/>
    <col min="7" max="7" width="24.59765625" customWidth="1"/>
    <col min="9" max="9" width="18.19921875" customWidth="1"/>
    <col min="10" max="10" width="17.59765625" customWidth="1"/>
    <col min="14" max="14" width="9.8984375" bestFit="1" customWidth="1"/>
    <col min="16" max="16" width="8.8984375" customWidth="1"/>
    <col min="17" max="17" width="4.09765625" customWidth="1"/>
    <col min="20" max="20" width="14.8984375" customWidth="1"/>
  </cols>
  <sheetData>
    <row r="3" spans="1:17" ht="20" x14ac:dyDescent="0.4">
      <c r="C3" s="169" t="s">
        <v>57</v>
      </c>
    </row>
    <row r="5" spans="1:17" hidden="1" outlineLevel="1" x14ac:dyDescent="0.25">
      <c r="D5" t="s">
        <v>58</v>
      </c>
      <c r="Q5" s="182" t="s">
        <v>29</v>
      </c>
    </row>
    <row r="6" spans="1:17" hidden="1" outlineLevel="1" x14ac:dyDescent="0.25">
      <c r="Q6" s="182"/>
    </row>
    <row r="7" spans="1:17" hidden="1" outlineLevel="1" x14ac:dyDescent="0.25"/>
    <row r="8" spans="1:17" collapsed="1" x14ac:dyDescent="0.25">
      <c r="D8" s="1" t="str">
        <f>"The maximum price for the new development area '"&amp;'General inputs'!H7&amp;"' is:"</f>
        <v>The maximum price for the new development area 'Berowra Creek Wastewater' is:</v>
      </c>
      <c r="J8" s="70">
        <f>G19</f>
        <v>6482.1175599972503</v>
      </c>
      <c r="K8" t="str">
        <f>"per ET ($"&amp;'General inputs'!$I$40&amp;")."</f>
        <v>per ET ($2022-23).</v>
      </c>
    </row>
    <row r="10" spans="1:17" x14ac:dyDescent="0.25">
      <c r="A10" s="106"/>
      <c r="B10" s="106"/>
      <c r="C10" s="1"/>
      <c r="D10" s="107" t="s">
        <v>59</v>
      </c>
      <c r="E10" s="1"/>
      <c r="F10" s="1"/>
      <c r="G10" s="1"/>
      <c r="H10" s="1"/>
      <c r="J10" s="158">
        <f>IF($J$8&lt;=0,0,IF('General inputs'!$H$42='General inputs'!$L$37,'MP Calculations'!F22,IF('General inputs'!$H$42='General inputs'!$L$38,'MP Calculations'!F22*1000,'MP Calculations'!F22*1000000)))</f>
        <v>0</v>
      </c>
      <c r="K10" s="1" t="s">
        <v>60</v>
      </c>
      <c r="L10" s="1"/>
      <c r="M10" s="1"/>
    </row>
    <row r="12" spans="1:17" x14ac:dyDescent="0.25">
      <c r="G12" s="1"/>
    </row>
    <row r="13" spans="1:17" x14ac:dyDescent="0.25">
      <c r="D13" s="107" t="s">
        <v>61</v>
      </c>
      <c r="G13" s="1"/>
    </row>
    <row r="14" spans="1:17" x14ac:dyDescent="0.25">
      <c r="G14" s="1"/>
    </row>
    <row r="15" spans="1:17" x14ac:dyDescent="0.25">
      <c r="G15" s="1"/>
    </row>
    <row r="17" spans="4:21" x14ac:dyDescent="0.25">
      <c r="D17" t="str">
        <f>"in $, $"&amp;'General inputs'!$I$40&amp;", where:"</f>
        <v>in $, $2022-23, where:</v>
      </c>
    </row>
    <row r="19" spans="4:21" x14ac:dyDescent="0.25">
      <c r="E19" t="s">
        <v>62</v>
      </c>
      <c r="F19" s="36" t="s">
        <v>63</v>
      </c>
      <c r="G19" s="124">
        <f>IF('General inputs'!$H$42='General inputs'!$L$37,'MP Calculations'!C22,IF('General inputs'!$H$42='General inputs'!$L$38,'MP Calculations'!C22*1000,'MP Calculations'!C22*1000000))</f>
        <v>6482.1175599972503</v>
      </c>
      <c r="H19" s="36" t="s">
        <v>63</v>
      </c>
      <c r="I19" s="172" t="s">
        <v>64</v>
      </c>
      <c r="J19" s="1"/>
      <c r="K19" s="1"/>
      <c r="L19" s="1"/>
      <c r="M19" s="1"/>
      <c r="N19" s="1"/>
      <c r="O19" s="1"/>
      <c r="P19" s="1"/>
      <c r="Q19" s="1"/>
      <c r="R19" s="1"/>
      <c r="S19" s="1"/>
      <c r="T19" s="1"/>
      <c r="U19" s="1"/>
    </row>
    <row r="20" spans="4:21" ht="13.5" x14ac:dyDescent="0.35">
      <c r="E20" t="s">
        <v>65</v>
      </c>
      <c r="F20" s="36" t="s">
        <v>63</v>
      </c>
      <c r="G20" s="124">
        <f>IF('General inputs'!$H$42='General inputs'!$L$37,'MP Calculations'!H20,IF('General inputs'!$H$42='General inputs'!$L$38,'MP Calculations'!H20*1000,'MP Calculations'!H20*1000000))</f>
        <v>17670875.315961726</v>
      </c>
      <c r="H20" s="36" t="s">
        <v>63</v>
      </c>
      <c r="I20" s="1" t="s">
        <v>66</v>
      </c>
      <c r="J20" s="1"/>
      <c r="K20" s="1"/>
      <c r="L20" s="1"/>
      <c r="M20" s="1"/>
      <c r="N20" s="1"/>
      <c r="O20" s="1"/>
      <c r="P20" s="1"/>
      <c r="Q20" s="1"/>
      <c r="R20" s="1"/>
      <c r="S20" s="1"/>
      <c r="T20" s="1"/>
      <c r="U20" s="1"/>
    </row>
    <row r="21" spans="4:21" ht="13.5" x14ac:dyDescent="0.35">
      <c r="E21" t="s">
        <v>67</v>
      </c>
      <c r="F21" s="36" t="s">
        <v>63</v>
      </c>
      <c r="G21" s="124">
        <f>IF('General inputs'!$H$42='General inputs'!$L$37,SUM('MP Calculations'!I20:K20),IF('General inputs'!$H$42='General inputs'!$L$38,SUM('MP Calculations'!I20:K20)*1000,SUM('MP Calculations'!I20:K20)*1000000))</f>
        <v>218798458.32598099</v>
      </c>
      <c r="H21" s="36" t="s">
        <v>63</v>
      </c>
      <c r="I21" s="1" t="s">
        <v>68</v>
      </c>
      <c r="J21" s="1"/>
      <c r="K21" s="1"/>
      <c r="L21" s="1"/>
      <c r="M21" s="1"/>
      <c r="N21" s="1"/>
      <c r="O21" s="1"/>
      <c r="P21" s="1"/>
      <c r="Q21" s="1"/>
      <c r="R21" s="1"/>
      <c r="S21" s="1"/>
      <c r="T21" s="1"/>
      <c r="U21" s="1"/>
    </row>
    <row r="22" spans="4:21" ht="13.5" x14ac:dyDescent="0.35">
      <c r="E22" t="s">
        <v>69</v>
      </c>
      <c r="F22" s="36" t="s">
        <v>63</v>
      </c>
      <c r="G22" s="69">
        <f>'MP Calculations'!H21</f>
        <v>23926.834767277414</v>
      </c>
      <c r="H22" s="36" t="s">
        <v>63</v>
      </c>
      <c r="I22" s="170" t="s">
        <v>70</v>
      </c>
      <c r="J22" s="171"/>
      <c r="K22" s="171"/>
      <c r="L22" s="171"/>
      <c r="M22" s="171"/>
      <c r="N22" s="171"/>
      <c r="O22" s="171"/>
      <c r="P22" s="171"/>
      <c r="Q22" s="171"/>
      <c r="R22" s="171"/>
      <c r="S22" s="171"/>
      <c r="T22" s="171"/>
      <c r="U22" s="171"/>
    </row>
    <row r="23" spans="4:21" ht="13.5" x14ac:dyDescent="0.35">
      <c r="E23" t="s">
        <v>71</v>
      </c>
      <c r="F23" s="36" t="s">
        <v>63</v>
      </c>
      <c r="G23" s="69">
        <f>'MP Calculations'!J21</f>
        <v>28770.603092501635</v>
      </c>
      <c r="H23" s="36" t="s">
        <v>63</v>
      </c>
      <c r="I23" s="170" t="s">
        <v>72</v>
      </c>
      <c r="J23" s="171"/>
      <c r="K23" s="171"/>
      <c r="L23" s="171"/>
      <c r="M23" s="171"/>
      <c r="N23" s="171"/>
      <c r="O23" s="171"/>
      <c r="P23" s="171"/>
      <c r="Q23" s="171"/>
      <c r="R23" s="171"/>
      <c r="S23" s="171"/>
      <c r="T23" s="171"/>
      <c r="U23" s="171"/>
    </row>
    <row r="24" spans="4:21" ht="13.5" x14ac:dyDescent="0.35">
      <c r="E24" t="s">
        <v>73</v>
      </c>
      <c r="F24" s="36" t="s">
        <v>63</v>
      </c>
      <c r="G24" s="69">
        <f>'MP Calculations'!L21</f>
        <v>2591.9901459889502</v>
      </c>
      <c r="H24" s="36" t="s">
        <v>63</v>
      </c>
      <c r="I24" s="170" t="s">
        <v>74</v>
      </c>
      <c r="J24" s="171"/>
      <c r="K24" s="171"/>
      <c r="L24" s="171"/>
      <c r="M24" s="171"/>
      <c r="N24" s="171"/>
      <c r="O24" s="171"/>
      <c r="P24" s="171"/>
      <c r="Q24" s="171"/>
      <c r="R24" s="171"/>
      <c r="S24" s="171"/>
      <c r="T24" s="171"/>
      <c r="U24" s="171"/>
    </row>
    <row r="25" spans="4:21" ht="13.5" x14ac:dyDescent="0.35">
      <c r="E25" t="s">
        <v>75</v>
      </c>
      <c r="F25" s="36" t="s">
        <v>63</v>
      </c>
      <c r="G25" s="124">
        <f>'MP Calculations'!R29</f>
        <v>12087795.231301446</v>
      </c>
      <c r="H25" s="36" t="s">
        <v>63</v>
      </c>
      <c r="I25" s="1" t="s">
        <v>76</v>
      </c>
      <c r="J25" s="1"/>
      <c r="K25" s="1"/>
      <c r="L25" s="1"/>
      <c r="M25" s="1"/>
      <c r="N25" s="1"/>
      <c r="O25" s="1"/>
      <c r="P25" s="1"/>
      <c r="Q25" s="1"/>
      <c r="R25" s="1"/>
      <c r="S25" s="1"/>
      <c r="T25" s="1"/>
      <c r="U25" s="1"/>
    </row>
    <row r="26" spans="4:21" ht="13.5" x14ac:dyDescent="0.35">
      <c r="E26" t="s">
        <v>77</v>
      </c>
      <c r="F26" s="36" t="s">
        <v>63</v>
      </c>
      <c r="G26" s="124">
        <f>'MP Calculations'!U29</f>
        <v>7263190.1612613294</v>
      </c>
      <c r="H26" s="36" t="s">
        <v>63</v>
      </c>
      <c r="I26" s="1" t="s">
        <v>78</v>
      </c>
      <c r="J26" s="1"/>
      <c r="K26" s="1"/>
      <c r="L26" s="1"/>
      <c r="M26" s="1"/>
      <c r="N26" s="1"/>
      <c r="O26" s="1"/>
      <c r="P26" s="1"/>
      <c r="Q26" s="1"/>
      <c r="R26" s="1"/>
      <c r="S26" s="1"/>
      <c r="T26" s="1"/>
      <c r="U26" s="1"/>
    </row>
    <row r="27" spans="4:21" x14ac:dyDescent="0.25">
      <c r="E27" t="s">
        <v>79</v>
      </c>
      <c r="F27" s="36" t="s">
        <v>63</v>
      </c>
      <c r="G27" s="28" t="str">
        <f>INDEX('MP Calculations'!$D$39:$D$129,MATCH('General inputs'!$H$38-1,'MP Calculations'!C39:C129))</f>
        <v>2051-52</v>
      </c>
      <c r="H27" s="36" t="s">
        <v>63</v>
      </c>
      <c r="I27" s="1" t="s">
        <v>80</v>
      </c>
      <c r="J27" s="1"/>
      <c r="K27" s="1"/>
      <c r="L27" s="1"/>
      <c r="M27" s="1"/>
      <c r="N27" s="1"/>
      <c r="O27" s="1"/>
      <c r="P27" s="1"/>
      <c r="Q27" s="1"/>
      <c r="R27" s="1"/>
      <c r="S27" s="1"/>
      <c r="T27" s="1"/>
      <c r="U27" s="1"/>
    </row>
  </sheetData>
  <hyperlinks>
    <hyperlink ref="Q5" r:id="rId1" xr:uid="{00000000-0004-0000-0200-000000000000}"/>
  </hyperlinks>
  <pageMargins left="0.7" right="0.7" top="0.75" bottom="0.75" header="0.3" footer="0.3"/>
  <pageSetup paperSize="9" orientation="portrait" horizontalDpi="200" verticalDpi="200"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theme="7"/>
  </sheetPr>
  <dimension ref="A1:AA130"/>
  <sheetViews>
    <sheetView showGridLines="0" tabSelected="1" zoomScale="70" zoomScaleNormal="70" workbookViewId="0"/>
  </sheetViews>
  <sheetFormatPr defaultRowHeight="11.5" outlineLevelRow="1" x14ac:dyDescent="0.25"/>
  <cols>
    <col min="1" max="2" width="2.69921875" customWidth="1"/>
    <col min="3" max="3" width="20.09765625" customWidth="1"/>
    <col min="4" max="4" width="21.59765625" customWidth="1"/>
    <col min="5" max="5" width="28.19921875" customWidth="1"/>
    <col min="6" max="8" width="15.69921875" customWidth="1"/>
    <col min="9" max="9" width="2.69921875" customWidth="1"/>
    <col min="10" max="15" width="15.69921875" customWidth="1"/>
    <col min="16" max="16" width="2.69921875" customWidth="1"/>
    <col min="17" max="18" width="15.69921875" customWidth="1"/>
    <col min="19" max="19" width="2.69921875" customWidth="1"/>
    <col min="20" max="21" width="15.69921875" customWidth="1"/>
    <col min="22" max="22" width="2.69921875" customWidth="1"/>
    <col min="23" max="23" width="15.69921875" customWidth="1"/>
  </cols>
  <sheetData>
    <row r="1" spans="1:11" x14ac:dyDescent="0.25">
      <c r="A1" t="s">
        <v>81</v>
      </c>
    </row>
    <row r="3" spans="1:11" ht="20" x14ac:dyDescent="0.4">
      <c r="C3" s="57" t="s">
        <v>82</v>
      </c>
    </row>
    <row r="5" spans="1:11" hidden="1" outlineLevel="1" x14ac:dyDescent="0.25"/>
    <row r="6" spans="1:11" ht="15.5" hidden="1" outlineLevel="1" x14ac:dyDescent="0.35">
      <c r="C6" s="2" t="s">
        <v>83</v>
      </c>
      <c r="E6" s="41"/>
    </row>
    <row r="7" spans="1:11" hidden="1" outlineLevel="1" x14ac:dyDescent="0.25">
      <c r="B7" s="51"/>
      <c r="C7" s="40"/>
      <c r="D7" s="40"/>
      <c r="E7" s="40"/>
      <c r="F7" s="40"/>
      <c r="G7" s="40"/>
      <c r="H7" s="40"/>
      <c r="I7" s="40"/>
      <c r="J7" s="40"/>
      <c r="K7" s="52"/>
    </row>
    <row r="8" spans="1:11" hidden="1" outlineLevel="1" x14ac:dyDescent="0.25">
      <c r="B8" s="53"/>
      <c r="J8" s="28" t="s">
        <v>84</v>
      </c>
      <c r="K8" s="54"/>
    </row>
    <row r="9" spans="1:11" hidden="1" outlineLevel="1" x14ac:dyDescent="0.25">
      <c r="A9" s="59">
        <v>1</v>
      </c>
      <c r="B9" s="53"/>
      <c r="C9" t="str">
        <f>"Table "&amp;A9&amp;":  Calculation of maximum price ("&amp;'General inputs'!H42&amp;", $"&amp;'General inputs'!I40&amp;")"</f>
        <v>Table 1:  Calculation of maximum price ($, $2022-23)</v>
      </c>
      <c r="J9">
        <f>ROW(C17)</f>
        <v>17</v>
      </c>
      <c r="K9" s="54"/>
    </row>
    <row r="10" spans="1:11" hidden="1" outlineLevel="1" x14ac:dyDescent="0.25">
      <c r="A10" s="76">
        <f>A9+1</f>
        <v>2</v>
      </c>
      <c r="B10" s="53"/>
      <c r="C10" t="str">
        <f>"Table "&amp;A10&amp;":  Key variables used in maximum price calculation ("&amp;'General inputs'!H42&amp;", $"&amp;'General inputs'!I40&amp;")"</f>
        <v>Table 2:  Key variables used in maximum price calculation ($, $2022-23)</v>
      </c>
      <c r="J10">
        <f>ROW(C26)</f>
        <v>26</v>
      </c>
      <c r="K10" s="54"/>
    </row>
    <row r="11" spans="1:11" hidden="1" outlineLevel="1" x14ac:dyDescent="0.25">
      <c r="A11" s="76">
        <f>A10+1</f>
        <v>3</v>
      </c>
      <c r="B11" s="53"/>
      <c r="C11" t="str">
        <f>"Table "&amp;A11&amp;":  Annual calculation over analysis horizon ("&amp;'General inputs'!H42&amp;", $"&amp;'General inputs'!I40&amp;")"</f>
        <v>Table 3:  Annual calculation over analysis horizon ($, $2022-23)</v>
      </c>
      <c r="J11">
        <f>ROW(C35)</f>
        <v>35</v>
      </c>
      <c r="K11" s="54"/>
    </row>
    <row r="12" spans="1:11" hidden="1" outlineLevel="1" x14ac:dyDescent="0.25">
      <c r="B12" s="55"/>
      <c r="C12" s="41"/>
      <c r="D12" s="41"/>
      <c r="E12" s="41"/>
      <c r="F12" s="41"/>
      <c r="G12" s="41"/>
      <c r="H12" s="41"/>
      <c r="I12" s="41"/>
      <c r="J12" s="41"/>
      <c r="K12" s="56"/>
    </row>
    <row r="13" spans="1:11" hidden="1" outlineLevel="1" x14ac:dyDescent="0.25">
      <c r="E13" s="40"/>
    </row>
    <row r="14" spans="1:11" hidden="1" outlineLevel="1" x14ac:dyDescent="0.25">
      <c r="B14" s="128" t="str">
        <f>"Note:  an input is required in "&amp;ADDRESS(ROW($G$22),COLUMN($G$22))&amp;" to incorporate the Headwork costs per ET into the maximum price."</f>
        <v>Note:  an input is required in $G$22 to incorporate the Headwork costs per ET into the maximum price.</v>
      </c>
    </row>
    <row r="15" spans="1:11" hidden="1" outlineLevel="1" x14ac:dyDescent="0.25">
      <c r="B15" s="128" t="str">
        <f>"Note:  an input is required in "&amp;ADDRESS(ROW($F$22),COLUMN($F$22))&amp;" to incorporate the Scheme cost allocation per ET into the maximum price."</f>
        <v>Note:  an input is required in $F$22 to incorporate the Scheme cost allocation per ET into the maximum price.</v>
      </c>
    </row>
    <row r="16" spans="1:11" collapsed="1" x14ac:dyDescent="0.25"/>
    <row r="17" spans="2:22" ht="18" x14ac:dyDescent="0.4">
      <c r="C17" s="75" t="str">
        <f>C9</f>
        <v>Table 1:  Calculation of maximum price ($, $2022-23)</v>
      </c>
      <c r="E17" s="41"/>
    </row>
    <row r="18" spans="2:22" x14ac:dyDescent="0.25">
      <c r="B18" s="51"/>
      <c r="C18" s="139"/>
      <c r="D18" s="126"/>
      <c r="E18" s="126"/>
      <c r="F18" s="139"/>
      <c r="G18" s="139"/>
      <c r="H18" s="139"/>
      <c r="I18" s="126"/>
      <c r="J18" s="139"/>
      <c r="K18" s="139"/>
      <c r="L18" s="40"/>
      <c r="M18" s="52"/>
    </row>
    <row r="19" spans="2:22" ht="46" x14ac:dyDescent="0.25">
      <c r="B19" s="53"/>
      <c r="C19" s="46" t="s">
        <v>85</v>
      </c>
      <c r="F19" s="146" t="s">
        <v>86</v>
      </c>
      <c r="G19" s="146" t="s">
        <v>87</v>
      </c>
      <c r="H19" s="145" t="s">
        <v>88</v>
      </c>
      <c r="I19" s="147"/>
      <c r="J19" s="145" t="s">
        <v>89</v>
      </c>
      <c r="K19" s="145" t="s">
        <v>90</v>
      </c>
      <c r="L19" s="145" t="s">
        <v>91</v>
      </c>
      <c r="M19" s="54"/>
    </row>
    <row r="20" spans="2:22" x14ac:dyDescent="0.25">
      <c r="B20" s="53"/>
      <c r="E20" s="6" t="s">
        <v>92</v>
      </c>
      <c r="H20" s="148">
        <f>K29</f>
        <v>17670875.315961726</v>
      </c>
      <c r="I20" s="150"/>
      <c r="J20" s="151">
        <f>M29</f>
        <v>43796985.179497577</v>
      </c>
      <c r="K20" s="151">
        <f>O29</f>
        <v>175001473.14648342</v>
      </c>
      <c r="L20" s="148">
        <f>R29-U29</f>
        <v>4824605.0700401161</v>
      </c>
      <c r="M20" s="54"/>
    </row>
    <row r="21" spans="2:22" x14ac:dyDescent="0.25">
      <c r="B21" s="53"/>
      <c r="E21" s="6" t="s">
        <v>93</v>
      </c>
      <c r="F21" s="41"/>
      <c r="H21" s="148">
        <f>F29</f>
        <v>23926.834767277414</v>
      </c>
      <c r="I21" s="150"/>
      <c r="J21" s="151">
        <f>G29</f>
        <v>28770.603092501635</v>
      </c>
      <c r="K21" s="151">
        <f>G29</f>
        <v>28770.603092501635</v>
      </c>
      <c r="L21" s="148">
        <f>H29</f>
        <v>2591.9901459889502</v>
      </c>
      <c r="M21" s="54"/>
    </row>
    <row r="22" spans="2:22" ht="12" customHeight="1" x14ac:dyDescent="0.25">
      <c r="B22" s="53"/>
      <c r="C22" s="261">
        <f>IF(SUM(F22:K22,-L22)&lt;0,0,SUM(F22:K22,-L22))</f>
        <v>6482.1175599972503</v>
      </c>
      <c r="E22" s="6" t="s">
        <v>94</v>
      </c>
      <c r="F22" s="149"/>
      <c r="G22" s="149"/>
      <c r="H22" s="262">
        <f>H20/H21</f>
        <v>738.53794234950783</v>
      </c>
      <c r="I22" s="263"/>
      <c r="J22" s="264">
        <f>J20/J21</f>
        <v>1522.2824853091872</v>
      </c>
      <c r="K22" s="264">
        <f>K20/K21</f>
        <v>6082.6487572689548</v>
      </c>
      <c r="L22" s="262">
        <f>L20/L21</f>
        <v>1861.3516249303996</v>
      </c>
      <c r="M22" s="54"/>
    </row>
    <row r="23" spans="2:22" x14ac:dyDescent="0.25">
      <c r="B23" s="55"/>
      <c r="C23" s="58"/>
      <c r="D23" s="41"/>
      <c r="E23" s="41"/>
      <c r="F23" s="41"/>
      <c r="G23" s="41"/>
      <c r="H23" s="41"/>
      <c r="I23" s="41"/>
      <c r="J23" s="41"/>
      <c r="K23" s="41"/>
      <c r="L23" s="41"/>
      <c r="M23" s="56"/>
    </row>
    <row r="24" spans="2:22" x14ac:dyDescent="0.25">
      <c r="E24" s="40"/>
    </row>
    <row r="25" spans="2:22" x14ac:dyDescent="0.25">
      <c r="C25" s="39"/>
      <c r="D25" s="50"/>
    </row>
    <row r="26" spans="2:22" ht="18" x14ac:dyDescent="0.4">
      <c r="C26" s="75" t="str">
        <f>C10</f>
        <v>Table 2:  Key variables used in maximum price calculation ($, $2022-23)</v>
      </c>
      <c r="D26" s="50"/>
    </row>
    <row r="27" spans="2:22" ht="18" x14ac:dyDescent="0.4">
      <c r="B27" s="51"/>
      <c r="C27" s="78"/>
      <c r="D27" s="79"/>
      <c r="E27" s="40"/>
      <c r="F27" s="40"/>
      <c r="G27" s="40"/>
      <c r="H27" s="40"/>
      <c r="I27" s="40"/>
      <c r="J27" s="40"/>
      <c r="K27" s="40"/>
      <c r="L27" s="40"/>
      <c r="M27" s="40"/>
      <c r="N27" s="40"/>
      <c r="O27" s="40"/>
      <c r="P27" s="40"/>
      <c r="Q27" s="40"/>
      <c r="R27" s="40"/>
      <c r="S27" s="40"/>
      <c r="T27" s="40"/>
      <c r="U27" s="40"/>
      <c r="V27" s="52"/>
    </row>
    <row r="28" spans="2:22" ht="92" x14ac:dyDescent="0.25">
      <c r="B28" s="53"/>
      <c r="E28" s="152" t="s">
        <v>95</v>
      </c>
      <c r="F28" s="152" t="s">
        <v>96</v>
      </c>
      <c r="G28" s="152" t="s">
        <v>97</v>
      </c>
      <c r="H28" s="152" t="s">
        <v>98</v>
      </c>
      <c r="I28" s="153"/>
      <c r="J28" s="153"/>
      <c r="K28" s="152" t="s">
        <v>99</v>
      </c>
      <c r="L28" s="153"/>
      <c r="M28" s="152" t="s">
        <v>100</v>
      </c>
      <c r="N28" s="153"/>
      <c r="O28" s="152" t="s">
        <v>101</v>
      </c>
      <c r="P28" s="153"/>
      <c r="Q28" s="153"/>
      <c r="R28" s="152" t="s">
        <v>102</v>
      </c>
      <c r="U28" s="152" t="s">
        <v>103</v>
      </c>
      <c r="V28" s="54"/>
    </row>
    <row r="29" spans="2:22" x14ac:dyDescent="0.25">
      <c r="B29" s="53"/>
      <c r="E29" s="138">
        <f>SUM(E39:E129)</f>
        <v>16052.71733672857</v>
      </c>
      <c r="F29" s="80">
        <f t="shared" ref="F29:H29" si="0">SUM(F39:F129)</f>
        <v>23926.834767277414</v>
      </c>
      <c r="G29" s="80">
        <f t="shared" si="0"/>
        <v>28770.603092501635</v>
      </c>
      <c r="H29" s="77">
        <f t="shared" si="0"/>
        <v>2591.9901459889502</v>
      </c>
      <c r="K29" s="80">
        <f>K39</f>
        <v>17670875.315961726</v>
      </c>
      <c r="M29" s="80">
        <f>SUM(M39:M129)</f>
        <v>43796985.179497577</v>
      </c>
      <c r="O29" s="80">
        <f>SUM(O39:O129)</f>
        <v>175001473.14648342</v>
      </c>
      <c r="R29" s="80">
        <f>SUM(R39:R129)</f>
        <v>12087795.231301446</v>
      </c>
      <c r="U29" s="80">
        <f>SUM(U39:U129)</f>
        <v>7263190.1612613294</v>
      </c>
      <c r="V29" s="54"/>
    </row>
    <row r="30" spans="2:22" x14ac:dyDescent="0.25">
      <c r="B30" s="55"/>
      <c r="C30" s="41"/>
      <c r="D30" s="41"/>
      <c r="E30" s="41"/>
      <c r="F30" s="41"/>
      <c r="G30" s="41"/>
      <c r="H30" s="41"/>
      <c r="I30" s="41"/>
      <c r="J30" s="41"/>
      <c r="K30" s="41"/>
      <c r="L30" s="41"/>
      <c r="M30" s="41"/>
      <c r="N30" s="41"/>
      <c r="O30" s="41"/>
      <c r="P30" s="41"/>
      <c r="Q30" s="41"/>
      <c r="R30" s="41"/>
      <c r="S30" s="41"/>
      <c r="T30" s="41"/>
      <c r="U30" s="41"/>
      <c r="V30" s="56"/>
    </row>
    <row r="32" spans="2:22" x14ac:dyDescent="0.25">
      <c r="K32" s="36" t="s">
        <v>104</v>
      </c>
    </row>
    <row r="33" spans="2:27" x14ac:dyDescent="0.25">
      <c r="B33" s="128" t="str">
        <f>"Note:  inputs are required in "&amp;'Reduction amount'!D17&amp;" and "&amp;'Reduction amount'!D18&amp;" to calculate the 'Reduction amount'."</f>
        <v>Note:  inputs are required in $Q$66:$Q$95 and $T$66:$T$95 to calculate the 'Reduction amount'.</v>
      </c>
      <c r="J33" t="s">
        <v>105</v>
      </c>
      <c r="K33" s="223">
        <v>3.7999999999999999E-2</v>
      </c>
      <c r="L33" t="s">
        <v>106</v>
      </c>
    </row>
    <row r="34" spans="2:27" x14ac:dyDescent="0.25">
      <c r="J34" t="s">
        <v>107</v>
      </c>
      <c r="K34" s="223">
        <v>6.0999999999999999E-2</v>
      </c>
      <c r="L34" t="s">
        <v>106</v>
      </c>
    </row>
    <row r="35" spans="2:27" ht="18" x14ac:dyDescent="0.4">
      <c r="C35" s="75" t="str">
        <f>C11</f>
        <v>Table 3:  Annual calculation over analysis horizon ($, $2022-23)</v>
      </c>
      <c r="D35" s="140"/>
      <c r="E35" s="140"/>
      <c r="F35" s="140"/>
      <c r="G35" s="140"/>
      <c r="H35" s="140"/>
      <c r="I35" s="140"/>
      <c r="J35" t="s">
        <v>108</v>
      </c>
      <c r="K35" s="240">
        <v>0.06</v>
      </c>
      <c r="L35" s="140" t="s">
        <v>106</v>
      </c>
      <c r="M35" s="1"/>
      <c r="N35" s="140"/>
      <c r="O35" s="140"/>
      <c r="P35" s="1"/>
      <c r="Q35" s="140"/>
      <c r="R35" s="140"/>
      <c r="S35" s="1"/>
      <c r="T35" s="140"/>
      <c r="U35" s="140"/>
    </row>
    <row r="36" spans="2:27" ht="18" x14ac:dyDescent="0.4">
      <c r="B36" s="51"/>
      <c r="C36" s="78"/>
      <c r="D36" s="139"/>
      <c r="E36" s="139"/>
      <c r="F36" s="139"/>
      <c r="G36" s="139"/>
      <c r="H36" s="139"/>
      <c r="I36" s="139"/>
      <c r="J36" s="139"/>
      <c r="K36" s="40"/>
      <c r="L36" s="139"/>
      <c r="M36" s="40"/>
      <c r="N36" s="40"/>
      <c r="O36" s="40"/>
      <c r="P36" s="40"/>
      <c r="Q36" s="141"/>
      <c r="R36" s="126"/>
      <c r="S36" s="40"/>
      <c r="T36" s="141"/>
      <c r="U36" s="40"/>
      <c r="V36" s="52"/>
    </row>
    <row r="37" spans="2:27" ht="18" x14ac:dyDescent="0.4">
      <c r="B37" s="53"/>
      <c r="C37" s="75"/>
      <c r="D37" s="140"/>
      <c r="E37" s="143" t="s">
        <v>109</v>
      </c>
      <c r="F37" s="140"/>
      <c r="G37" s="140"/>
      <c r="H37" s="140"/>
      <c r="I37" s="140"/>
      <c r="J37" s="143" t="s">
        <v>110</v>
      </c>
      <c r="L37" s="140"/>
      <c r="Q37" s="143" t="s">
        <v>111</v>
      </c>
      <c r="R37" s="127"/>
      <c r="T37" s="143" t="s">
        <v>112</v>
      </c>
      <c r="V37" s="54"/>
    </row>
    <row r="38" spans="2:27" ht="82" x14ac:dyDescent="0.4">
      <c r="B38" s="53"/>
      <c r="C38" s="75"/>
      <c r="D38" s="159" t="s">
        <v>113</v>
      </c>
      <c r="E38" s="142" t="s">
        <v>114</v>
      </c>
      <c r="F38" s="142" t="s">
        <v>115</v>
      </c>
      <c r="G38" s="142" t="s">
        <v>116</v>
      </c>
      <c r="H38" s="24" t="s">
        <v>117</v>
      </c>
      <c r="I38" s="36"/>
      <c r="J38" s="24" t="s">
        <v>118</v>
      </c>
      <c r="K38" s="142" t="s">
        <v>119</v>
      </c>
      <c r="L38" s="24" t="s">
        <v>120</v>
      </c>
      <c r="M38" s="24" t="s">
        <v>121</v>
      </c>
      <c r="N38" s="24" t="s">
        <v>122</v>
      </c>
      <c r="O38" s="24" t="s">
        <v>123</v>
      </c>
      <c r="P38" s="36"/>
      <c r="Q38" s="24" t="s">
        <v>124</v>
      </c>
      <c r="R38" s="24" t="s">
        <v>125</v>
      </c>
      <c r="S38" s="144"/>
      <c r="T38" s="24" t="s">
        <v>126</v>
      </c>
      <c r="U38" s="24" t="s">
        <v>127</v>
      </c>
      <c r="V38" s="54"/>
    </row>
    <row r="39" spans="2:27" ht="12" thickBot="1" x14ac:dyDescent="0.3">
      <c r="B39" s="53"/>
      <c r="C39" s="28">
        <f>IF(D39='General inputs'!$I$16,0,IF(D39&lt;'General inputs'!$I$16,C40-1,C38+1))</f>
        <v>-27</v>
      </c>
      <c r="D39" s="160" t="str">
        <f>RIGHT(YEAR('General inputs'!$H$24),4)&amp;"-"&amp;RIGHT(YEAR('General inputs'!H24),2)+1</f>
        <v>1995-96</v>
      </c>
      <c r="E39" s="82">
        <f>IF(LEFT(D39,4)*1&gt;LEFT('General inputs'!$I$16,4)+'General inputs'!$H$38-1,"",'ET inputs'!D12)</f>
        <v>289.99134426879152</v>
      </c>
      <c r="F39" s="82">
        <f>IF(LEFT(D39,4)*1&gt;LEFT('General inputs'!$I$16,4)+'General inputs'!$H$38-1,"",E39/(1+'General inputs'!$H$30)^C39)</f>
        <v>644.15458473477656</v>
      </c>
      <c r="G39" s="82">
        <f>IF(LEFT(D39,4)*1&gt;LEFT('General inputs'!$I$16,4)+'General inputs'!$H$38-1,"",E39/(1+'General inputs'!$H$32)^C39)</f>
        <v>880.67049644215263</v>
      </c>
      <c r="H39" s="81" t="str">
        <f>IF(LEFT(D39,4)*1&lt;LEFT('General inputs'!$I$16,4)*1,"",IF(LEFT(D39,4)*1&gt;LEFT('General inputs'!$I$16,4)+'General inputs'!$H$38-1,"",E39/(1+'General inputs'!$H$34)^C39))</f>
        <v/>
      </c>
      <c r="J39" s="82">
        <f>'Pre-1996 assets'!P791*(1+$K$34)*(1+$K$35)</f>
        <v>7955234.6730433693</v>
      </c>
      <c r="K39" s="82">
        <f>J39/(1+'General inputs'!$H$30)^C39</f>
        <v>17670875.315961726</v>
      </c>
      <c r="L39" s="161">
        <f>IF(LEFT(D39,4)*1&gt;LEFT('General inputs'!$I$18,4)*1,"",SUMIF('Post-1996 commissioned assets'!$F$22:$F$1500,$D39,'Post-1996 commissioned assets'!$P$22:$P$1500)*(1+$K$34)*(1+$K$35))</f>
        <v>4122984.0867570504</v>
      </c>
      <c r="M39" s="161">
        <f>IF(L39="","",L39/(1+'General inputs'!$H$32)^C39)</f>
        <v>12521030.417866128</v>
      </c>
      <c r="N39" s="82" t="str">
        <f>IF(LEFT(D39,4)*1&lt;LEFT('General inputs'!$I$18,4)*1+1,"",SUMIF('Uncommissioned assets'!$F$22:$F$1500,$D39,'Uncommissioned assets'!$P$22:$P$1500))</f>
        <v/>
      </c>
      <c r="O39" s="82" t="str">
        <f>IF(N39="","",N39/(1+'General inputs'!$H$32)^C39)</f>
        <v/>
      </c>
      <c r="Q39" s="38"/>
      <c r="R39" s="81" t="str">
        <f>IF(OR(LEFT(D39,4)*1&lt;LEFT('General inputs'!$I$16,4)*1,LEFT(D39,4)*1&gt;LEFT('General inputs'!$I$16,4)+'General inputs'!$H$38-1),"",Q39/(1+'General inputs'!$H$34)^C39)</f>
        <v/>
      </c>
      <c r="T39" s="38"/>
      <c r="U39" s="81" t="str">
        <f>IF(OR(LEFT(D39,4)*1&lt;LEFT('General inputs'!$I$16,4)*1,LEFT(D39,4)*1&gt;LEFT('General inputs'!$I$16,4)+'General inputs'!$H$38-1),"",T39/(1+'General inputs'!$H$34)^C39)</f>
        <v/>
      </c>
      <c r="V39" s="54"/>
      <c r="X39" s="49"/>
      <c r="Y39" s="49"/>
      <c r="Z39" s="49"/>
      <c r="AA39" s="49"/>
    </row>
    <row r="40" spans="2:27" ht="12" thickTop="1" x14ac:dyDescent="0.25">
      <c r="B40" s="53"/>
      <c r="C40" s="28">
        <f>IF(D40='General inputs'!$I$16,0,IF(D40&lt;'General inputs'!$I$16,C41-1,C39+1))</f>
        <v>-26</v>
      </c>
      <c r="D40" s="28" t="str">
        <f>LEFT(D39,4)+1&amp;"-"&amp;RIGHT(D39,2)+1</f>
        <v>1996-97</v>
      </c>
      <c r="E40" s="81">
        <f>IF(LEFT(D40,4)*1&gt;LEFT('General inputs'!$I$16,4)+'General inputs'!$H$38-1,"",'ET inputs'!D13)</f>
        <v>1202.2992627852734</v>
      </c>
      <c r="F40" s="81">
        <f>IF(LEFT(D40,4)*1&gt;LEFT('General inputs'!$I$16,4)+'General inputs'!$H$38-1,"",E40/(1+'General inputs'!$H$30)^C40)</f>
        <v>2592.8680910971179</v>
      </c>
      <c r="G40" s="81">
        <f>IF(LEFT(D40,4)*1&gt;LEFT('General inputs'!$I$16,4)+'General inputs'!$H$38-1,"",E40/(1+'General inputs'!$H$32)^C40)</f>
        <v>3504.0740380757011</v>
      </c>
      <c r="H40" s="81" t="str">
        <f>IF(LEFT(D40,4)*1&lt;LEFT('General inputs'!$I$16,4)*1,"",IF(LEFT(D40,4)*1&gt;LEFT('General inputs'!$I$16,4)+'General inputs'!$H$38-1,"",E40/(1+'General inputs'!$H$34)^C40))</f>
        <v/>
      </c>
      <c r="J40" s="110"/>
      <c r="K40" s="110"/>
      <c r="L40" s="81">
        <f>IF(LEFT(D40,4)*1&gt;LEFT('General inputs'!$I$18,4)*1,"",SUMIF('Post-1996 commissioned assets'!$F$22:$F$1500,$D40,'Post-1996 commissioned assets'!$P$22:$P$1500)*(1+$K$34)*(1+$K$35))</f>
        <v>0</v>
      </c>
      <c r="M40" s="81">
        <f>IF(L40="","",L40/(1+'General inputs'!$H$32)^C40)</f>
        <v>0</v>
      </c>
      <c r="N40" s="81" t="str">
        <f>IF(LEFT(D40,4)*1&lt;LEFT('General inputs'!$I$18,4)*1+1,"",SUMIF('Uncommissioned assets'!$F$22:$F$1500,$D40,'Uncommissioned assets'!$P$22:$P$1500))</f>
        <v/>
      </c>
      <c r="O40" s="81" t="str">
        <f>IF(N40="","",N40/(1+'General inputs'!$H$32)^C40)</f>
        <v/>
      </c>
      <c r="Q40" s="38"/>
      <c r="R40" s="81" t="str">
        <f>IF(OR(LEFT(D40,4)*1&lt;LEFT('General inputs'!$I$16,4)*1,LEFT(D40,4)*1&gt;LEFT('General inputs'!$I$16,4)+'General inputs'!$H$38-1),"",Q40/(1+'General inputs'!$H$34)^C40)</f>
        <v/>
      </c>
      <c r="T40" s="38"/>
      <c r="U40" s="81" t="str">
        <f>IF(OR(LEFT(D40,4)*1&lt;LEFT('General inputs'!$I$16,4)*1,LEFT(D40,4)*1&gt;LEFT('General inputs'!$I$16,4)+'General inputs'!$H$38-1),"",T40/(1+'General inputs'!$H$34)^C40)</f>
        <v/>
      </c>
      <c r="V40" s="54"/>
    </row>
    <row r="41" spans="2:27" x14ac:dyDescent="0.25">
      <c r="B41" s="53"/>
      <c r="C41" s="28">
        <f>IF(D41='General inputs'!$I$16,0,IF(D41&lt;'General inputs'!$I$16,C42-1,C40+1))</f>
        <v>-25</v>
      </c>
      <c r="D41" s="28" t="str">
        <f t="shared" ref="D41:D99" si="1">LEFT(D40,4)+1&amp;"-"&amp;RIGHT(D40,2)+1</f>
        <v>1997-98</v>
      </c>
      <c r="E41" s="81">
        <f>IF(LEFT(D41,4)*1&gt;LEFT('General inputs'!$I$16,4)+'General inputs'!$H$38-1,"",'ET inputs'!D14)</f>
        <v>1139.6009764326222</v>
      </c>
      <c r="F41" s="81">
        <f>IF(LEFT(D41,4)*1&gt;LEFT('General inputs'!$I$16,4)+'General inputs'!$H$38-1,"",E41/(1+'General inputs'!$H$30)^C41)</f>
        <v>2386.0713730670163</v>
      </c>
      <c r="G41" s="81">
        <f>IF(LEFT(D41,4)*1&gt;LEFT('General inputs'!$I$16,4)+'General inputs'!$H$38-1,"",E41/(1+'General inputs'!$H$32)^C41)</f>
        <v>3187.4676574193986</v>
      </c>
      <c r="H41" s="81" t="str">
        <f>IF(LEFT(D41,4)*1&lt;LEFT('General inputs'!$I$16,4)*1,"",IF(LEFT(D41,4)*1&gt;LEFT('General inputs'!$I$16,4)+'General inputs'!$H$38-1,"",E41/(1+'General inputs'!$H$34)^C41))</f>
        <v/>
      </c>
      <c r="J41" s="110"/>
      <c r="K41" s="110"/>
      <c r="L41" s="81">
        <f>IF(LEFT(D41,4)*1&gt;LEFT('General inputs'!$I$18,4)*1,"",SUMIF('Post-1996 commissioned assets'!$F$22:$F$1500,$D41,'Post-1996 commissioned assets'!$P$22:$P$1500)*(1+$K$34)*(1+$K$35))</f>
        <v>22131.12209077357</v>
      </c>
      <c r="M41" s="81">
        <f>IF(L41="","",L41/(1+'General inputs'!$H$32)^C41)</f>
        <v>61900.820853597674</v>
      </c>
      <c r="N41" s="81" t="str">
        <f>IF(LEFT(D41,4)*1&lt;LEFT('General inputs'!$I$18,4)*1+1,"",SUMIF('Uncommissioned assets'!$F$22:$F$1500,$D41,'Uncommissioned assets'!$P$22:$P$1500))</f>
        <v/>
      </c>
      <c r="O41" s="81" t="str">
        <f>IF(N41="","",N41/(1+'General inputs'!$H$32)^C41)</f>
        <v/>
      </c>
      <c r="Q41" s="38"/>
      <c r="R41" s="81" t="str">
        <f>IF(OR(LEFT(D41,4)*1&lt;LEFT('General inputs'!$I$16,4)*1,LEFT(D41,4)*1&gt;LEFT('General inputs'!$I$16,4)+'General inputs'!$H$38-1),"",Q41/(1+'General inputs'!$H$34)^C41)</f>
        <v/>
      </c>
      <c r="T41" s="38"/>
      <c r="U41" s="81" t="str">
        <f>IF(OR(LEFT(D41,4)*1&lt;LEFT('General inputs'!$I$16,4)*1,LEFT(D41,4)*1&gt;LEFT('General inputs'!$I$16,4)+'General inputs'!$H$38-1),"",T41/(1+'General inputs'!$H$34)^C41)</f>
        <v/>
      </c>
      <c r="V41" s="54"/>
      <c r="X41" s="37"/>
      <c r="Y41" s="37"/>
      <c r="Z41" s="37"/>
    </row>
    <row r="42" spans="2:27" ht="12" thickBot="1" x14ac:dyDescent="0.3">
      <c r="B42" s="53"/>
      <c r="C42" s="28">
        <f>IF(D42='General inputs'!$I$16,0,IF(D42&lt;'General inputs'!$I$16,C43-1,C41+1))</f>
        <v>-24</v>
      </c>
      <c r="D42" s="83" t="str">
        <f t="shared" si="1"/>
        <v>1998-99</v>
      </c>
      <c r="E42" s="81">
        <f>IF(LEFT(D42,4)*1&gt;LEFT('General inputs'!$I$16,4)+'General inputs'!$H$38-1,"",'ET inputs'!D15)</f>
        <v>493.85353627954476</v>
      </c>
      <c r="F42" s="81">
        <f>IF(LEFT(D42,4)*1&gt;LEFT('General inputs'!$I$16,4)+'General inputs'!$H$38-1,"",E42/(1+'General inputs'!$H$30)^C42)</f>
        <v>1003.9025580036869</v>
      </c>
      <c r="G42" s="81">
        <f>IF(LEFT(D42,4)*1&gt;LEFT('General inputs'!$I$16,4)+'General inputs'!$H$38-1,"",E42/(1+'General inputs'!$H$32)^C42)</f>
        <v>1325.6333549007197</v>
      </c>
      <c r="H42" s="81" t="str">
        <f>IF(LEFT(D42,4)*1&lt;LEFT('General inputs'!$I$16,4)*1,"",IF(LEFT(D42,4)*1&gt;LEFT('General inputs'!$I$16,4)+'General inputs'!$H$38-1,"",E42/(1+'General inputs'!$H$34)^C42))</f>
        <v/>
      </c>
      <c r="J42" s="110"/>
      <c r="K42" s="110"/>
      <c r="L42" s="81">
        <f>IF(LEFT(D42,4)*1&gt;LEFT('General inputs'!$I$18,4)*1,"",SUMIF('Post-1996 commissioned assets'!$F$22:$F$1500,$D42,'Post-1996 commissioned assets'!$P$22:$P$1500)*(1+$K$34)*(1+$K$35))</f>
        <v>122115.09579564782</v>
      </c>
      <c r="M42" s="81">
        <f>IF(L42="","",L42/(1+'General inputs'!$H$32)^C42)</f>
        <v>327789.1768137014</v>
      </c>
      <c r="N42" s="81" t="str">
        <f>IF(LEFT(D42,4)*1&lt;LEFT('General inputs'!$I$18,4)*1+1,"",SUMIF('Uncommissioned assets'!$F$22:$F$1500,$D42,'Uncommissioned assets'!$P$22:$P$1500))</f>
        <v/>
      </c>
      <c r="O42" s="81" t="str">
        <f>IF(N42="","",N42/(1+'General inputs'!$H$32)^C42)</f>
        <v/>
      </c>
      <c r="Q42" s="38"/>
      <c r="R42" s="81" t="str">
        <f>IF(OR(LEFT(D42,4)*1&lt;LEFT('General inputs'!$I$16,4)*1,LEFT(D42,4)*1&gt;LEFT('General inputs'!$I$16,4)+'General inputs'!$H$38-1),"",Q42/(1+'General inputs'!$H$34)^C42)</f>
        <v/>
      </c>
      <c r="T42" s="38"/>
      <c r="U42" s="81" t="str">
        <f>IF(OR(LEFT(D42,4)*1&lt;LEFT('General inputs'!$I$16,4)*1,LEFT(D42,4)*1&gt;LEFT('General inputs'!$I$16,4)+'General inputs'!$H$38-1),"",T42/(1+'General inputs'!$H$34)^C42)</f>
        <v/>
      </c>
      <c r="V42" s="54"/>
      <c r="X42" s="37"/>
      <c r="Y42" s="37"/>
      <c r="Z42" s="37"/>
    </row>
    <row r="43" spans="2:27" ht="12.5" thickTop="1" thickBot="1" x14ac:dyDescent="0.3">
      <c r="B43" s="53"/>
      <c r="C43" s="28">
        <f>IF(D43='General inputs'!$I$16,0,IF(D43&lt;'General inputs'!$I$16,C44-1,C42+1))</f>
        <v>-23</v>
      </c>
      <c r="D43" s="84" t="str">
        <f>LEFT(D42,4)+1&amp;"-00"</f>
        <v>1999-00</v>
      </c>
      <c r="E43" s="81">
        <f>IF(LEFT(D43,4)*1&gt;LEFT('General inputs'!$I$16,4)+'General inputs'!$H$38-1,"",'ET inputs'!D16)</f>
        <v>708.28224765339905</v>
      </c>
      <c r="F43" s="81">
        <f>IF(LEFT(D43,4)*1&gt;LEFT('General inputs'!$I$16,4)+'General inputs'!$H$38-1,"",E43/(1+'General inputs'!$H$30)^C43)</f>
        <v>1397.8562900391812</v>
      </c>
      <c r="G43" s="81">
        <f>IF(LEFT(D43,4)*1&gt;LEFT('General inputs'!$I$16,4)+'General inputs'!$H$38-1,"",E43/(1+'General inputs'!$H$32)^C43)</f>
        <v>1824.5841293977394</v>
      </c>
      <c r="H43" s="81" t="str">
        <f>IF(LEFT(D43,4)*1&lt;LEFT('General inputs'!$I$16,4)*1,"",IF(LEFT(D43,4)*1&gt;LEFT('General inputs'!$I$16,4)+'General inputs'!$H$38-1,"",E43/(1+'General inputs'!$H$34)^C43))</f>
        <v/>
      </c>
      <c r="J43" s="110"/>
      <c r="K43" s="110"/>
      <c r="L43" s="81">
        <f>IF(LEFT(D43,4)*1&gt;LEFT('General inputs'!$I$18,4)*1,"",SUMIF('Post-1996 commissioned assets'!$F$22:$F$1500,$D43,'Post-1996 commissioned assets'!$P$22:$P$1500)*(1+$K$34)*(1+$K$35))</f>
        <v>0</v>
      </c>
      <c r="M43" s="81">
        <f>IF(L43="","",L43/(1+'General inputs'!$H$32)^C43)</f>
        <v>0</v>
      </c>
      <c r="N43" s="81" t="str">
        <f>IF(LEFT(D43,4)*1&lt;LEFT('General inputs'!$I$18,4)*1+1,"",SUMIF('Uncommissioned assets'!$F$22:$F$1500,$D43,'Uncommissioned assets'!$P$22:$P$1500))</f>
        <v/>
      </c>
      <c r="O43" s="81" t="str">
        <f>IF(N43="","",N43/(1+'General inputs'!$H$32)^C43)</f>
        <v/>
      </c>
      <c r="Q43" s="38"/>
      <c r="R43" s="81" t="str">
        <f>IF(OR(LEFT(D43,4)*1&lt;LEFT('General inputs'!$I$16,4)*1,LEFT(D43,4)*1&gt;LEFT('General inputs'!$I$16,4)+'General inputs'!$H$38-1),"",Q43/(1+'General inputs'!$H$34)^C43)</f>
        <v/>
      </c>
      <c r="T43" s="38"/>
      <c r="U43" s="81" t="str">
        <f>IF(OR(LEFT(D43,4)*1&lt;LEFT('General inputs'!$I$16,4)*1,LEFT(D43,4)*1&gt;LEFT('General inputs'!$I$16,4)+'General inputs'!$H$38-1),"",T43/(1+'General inputs'!$H$34)^C43)</f>
        <v/>
      </c>
      <c r="V43" s="54"/>
      <c r="X43" s="37"/>
      <c r="Y43" s="37"/>
      <c r="Z43" s="37"/>
    </row>
    <row r="44" spans="2:27" ht="12" thickTop="1" x14ac:dyDescent="0.25">
      <c r="B44" s="53"/>
      <c r="C44" s="28">
        <f>IF(D44='General inputs'!$I$16,0,IF(D44&lt;'General inputs'!$I$16,C45-1,C43+1))</f>
        <v>-22</v>
      </c>
      <c r="D44" s="85" t="str">
        <f>LEFT(D43,4)+1&amp;"-0"&amp;RIGHT(D43,2)+1</f>
        <v>2000-01</v>
      </c>
      <c r="E44" s="81">
        <f>IF(LEFT(D44,4)*1&gt;LEFT('General inputs'!$I$16,4)+'General inputs'!$H$38-1,"",'ET inputs'!D17)</f>
        <v>692.70405596028809</v>
      </c>
      <c r="F44" s="81">
        <f>IF(LEFT(D44,4)*1&gt;LEFT('General inputs'!$I$16,4)+'General inputs'!$H$38-1,"",E44/(1+'General inputs'!$H$30)^C44)</f>
        <v>1327.2926029571968</v>
      </c>
      <c r="G44" s="81">
        <f>IF(LEFT(D44,4)*1&gt;LEFT('General inputs'!$I$16,4)+'General inputs'!$H$38-1,"",E44/(1+'General inputs'!$H$32)^C44)</f>
        <v>1712.5274746322843</v>
      </c>
      <c r="H44" s="81" t="str">
        <f>IF(LEFT(D44,4)*1&lt;LEFT('General inputs'!$I$16,4)*1,"",IF(LEFT(D44,4)*1&gt;LEFT('General inputs'!$I$16,4)+'General inputs'!$H$38-1,"",E44/(1+'General inputs'!$H$34)^C44))</f>
        <v/>
      </c>
      <c r="J44" s="110"/>
      <c r="K44" s="110"/>
      <c r="L44" s="81">
        <f>IF(LEFT(D44,4)*1&gt;LEFT('General inputs'!$I$18,4)*1,"",SUMIF('Post-1996 commissioned assets'!$F$22:$F$1500,$D44,'Post-1996 commissioned assets'!$P$22:$P$1500)*(1+$K$34)*(1+$K$35))</f>
        <v>1137142.0885747832</v>
      </c>
      <c r="M44" s="81">
        <f>IF(L44="","",L44/(1+'General inputs'!$H$32)^C44)</f>
        <v>2811282.9028341887</v>
      </c>
      <c r="N44" s="81" t="str">
        <f>IF(LEFT(D44,4)*1&lt;LEFT('General inputs'!$I$18,4)*1+1,"",SUMIF('Uncommissioned assets'!$F$22:$F$1500,$D44,'Uncommissioned assets'!$P$22:$P$1500))</f>
        <v/>
      </c>
      <c r="O44" s="81" t="str">
        <f>IF(N44="","",N44/(1+'General inputs'!$H$32)^C44)</f>
        <v/>
      </c>
      <c r="Q44" s="38"/>
      <c r="R44" s="81" t="str">
        <f>IF(OR(LEFT(D44,4)*1&lt;LEFT('General inputs'!$I$16,4)*1,LEFT(D44,4)*1&gt;LEFT('General inputs'!$I$16,4)+'General inputs'!$H$38-1),"",Q44/(1+'General inputs'!$H$34)^C44)</f>
        <v/>
      </c>
      <c r="T44" s="38"/>
      <c r="U44" s="81" t="str">
        <f>IF(OR(LEFT(D44,4)*1&lt;LEFT('General inputs'!$I$16,4)*1,LEFT(D44,4)*1&gt;LEFT('General inputs'!$I$16,4)+'General inputs'!$H$38-1),"",T44/(1+'General inputs'!$H$34)^C44)</f>
        <v/>
      </c>
      <c r="V44" s="54"/>
      <c r="X44" s="37"/>
      <c r="Y44" s="37"/>
      <c r="Z44" s="37"/>
    </row>
    <row r="45" spans="2:27" x14ac:dyDescent="0.25">
      <c r="B45" s="53"/>
      <c r="C45" s="28">
        <f>IF(D45='General inputs'!$I$16,0,IF(D45&lt;'General inputs'!$I$16,C46-1,C44+1))</f>
        <v>-21</v>
      </c>
      <c r="D45" s="28" t="str">
        <f t="shared" ref="D45:D52" si="2">LEFT(D44,4)+1&amp;"-0"&amp;RIGHT(D44,2)+1</f>
        <v>2001-02</v>
      </c>
      <c r="E45" s="81">
        <f>IF(LEFT(D45,4)*1&gt;LEFT('General inputs'!$I$16,4)+'General inputs'!$H$38-1,"",'ET inputs'!D18)</f>
        <v>425.65173572228446</v>
      </c>
      <c r="F45" s="81">
        <f>IF(LEFT(D45,4)*1&gt;LEFT('General inputs'!$I$16,4)+'General inputs'!$H$38-1,"",E45/(1+'General inputs'!$H$30)^C45)</f>
        <v>791.83761340289061</v>
      </c>
      <c r="G45" s="81">
        <f>IF(LEFT(D45,4)*1&gt;LEFT('General inputs'!$I$16,4)+'General inputs'!$H$38-1,"",E45/(1+'General inputs'!$H$32)^C45)</f>
        <v>1009.8956625491011</v>
      </c>
      <c r="H45" s="81" t="str">
        <f>IF(LEFT(D45,4)*1&lt;LEFT('General inputs'!$I$16,4)*1,"",IF(LEFT(D45,4)*1&gt;LEFT('General inputs'!$I$16,4)+'General inputs'!$H$38-1,"",E45/(1+'General inputs'!$H$34)^C45))</f>
        <v/>
      </c>
      <c r="J45" s="110"/>
      <c r="K45" s="110"/>
      <c r="L45" s="81">
        <f>IF(LEFT(D45,4)*1&gt;LEFT('General inputs'!$I$18,4)*1,"",SUMIF('Post-1996 commissioned assets'!$F$22:$F$1500,$D45,'Post-1996 commissioned assets'!$P$22:$P$1500)*(1+$K$34)*(1+$K$35))</f>
        <v>11704178.525359107</v>
      </c>
      <c r="M45" s="81">
        <f>IF(L45="","",L45/(1+'General inputs'!$H$32)^C45)</f>
        <v>27769178.731065784</v>
      </c>
      <c r="N45" s="81" t="str">
        <f>IF(LEFT(D45,4)*1&lt;LEFT('General inputs'!$I$18,4)*1+1,"",SUMIF('Uncommissioned assets'!$F$22:$F$1500,$D45,'Uncommissioned assets'!$P$22:$P$1500))</f>
        <v/>
      </c>
      <c r="O45" s="81" t="str">
        <f>IF(N45="","",N45/(1+'General inputs'!$H$32)^C45)</f>
        <v/>
      </c>
      <c r="Q45" s="38"/>
      <c r="R45" s="81" t="str">
        <f>IF(OR(LEFT(D45,4)*1&lt;LEFT('General inputs'!$I$16,4)*1,LEFT(D45,4)*1&gt;LEFT('General inputs'!$I$16,4)+'General inputs'!$H$38-1),"",Q45/(1+'General inputs'!$H$34)^C45)</f>
        <v/>
      </c>
      <c r="T45" s="38"/>
      <c r="U45" s="81" t="str">
        <f>IF(OR(LEFT(D45,4)*1&lt;LEFT('General inputs'!$I$16,4)*1,LEFT(D45,4)*1&gt;LEFT('General inputs'!$I$16,4)+'General inputs'!$H$38-1),"",T45/(1+'General inputs'!$H$34)^C45)</f>
        <v/>
      </c>
      <c r="V45" s="54"/>
      <c r="X45" s="37"/>
      <c r="Y45" s="37"/>
      <c r="Z45" s="37"/>
    </row>
    <row r="46" spans="2:27" x14ac:dyDescent="0.25">
      <c r="B46" s="53"/>
      <c r="C46" s="28">
        <f>IF(D46='General inputs'!$I$16,0,IF(D46&lt;'General inputs'!$I$16,C47-1,C45+1))</f>
        <v>-20</v>
      </c>
      <c r="D46" s="28" t="str">
        <f t="shared" si="2"/>
        <v>2002-03</v>
      </c>
      <c r="E46" s="81">
        <f>IF(LEFT(D46,4)*1&gt;LEFT('General inputs'!$I$16,4)+'General inputs'!$H$38-1,"",'ET inputs'!D19)</f>
        <v>1368.7861841832471</v>
      </c>
      <c r="F46" s="81">
        <f>IF(LEFT(D46,4)*1&gt;LEFT('General inputs'!$I$16,4)+'General inputs'!$H$38-1,"",E46/(1+'General inputs'!$H$30)^C46)</f>
        <v>2472.1801051136395</v>
      </c>
      <c r="G46" s="81">
        <f>IF(LEFT(D46,4)*1&gt;LEFT('General inputs'!$I$16,4)+'General inputs'!$H$38-1,"",E46/(1+'General inputs'!$H$32)^C46)</f>
        <v>3116.6640553911461</v>
      </c>
      <c r="H46" s="81" t="str">
        <f>IF(LEFT(D46,4)*1&lt;LEFT('General inputs'!$I$16,4)*1,"",IF(LEFT(D46,4)*1&gt;LEFT('General inputs'!$I$16,4)+'General inputs'!$H$38-1,"",E46/(1+'General inputs'!$H$34)^C46))</f>
        <v/>
      </c>
      <c r="J46" s="110"/>
      <c r="K46" s="110"/>
      <c r="L46" s="81">
        <f>IF(LEFT(D46,4)*1&gt;LEFT('General inputs'!$I$18,4)*1,"",SUMIF('Post-1996 commissioned assets'!$F$22:$F$1500,$D46,'Post-1996 commissioned assets'!$P$22:$P$1500)*(1+$K$34)*(1+$K$35))</f>
        <v>112415.17494215287</v>
      </c>
      <c r="M46" s="81">
        <f>IF(L46="","",L46/(1+'General inputs'!$H$32)^C46)</f>
        <v>255964.25436729172</v>
      </c>
      <c r="N46" s="81" t="str">
        <f>IF(LEFT(D46,4)*1&lt;LEFT('General inputs'!$I$18,4)*1+1,"",SUMIF('Uncommissioned assets'!$F$22:$F$1500,$D46,'Uncommissioned assets'!$P$22:$P$1500))</f>
        <v/>
      </c>
      <c r="O46" s="81" t="str">
        <f>IF(N46="","",N46/(1+'General inputs'!$H$32)^C46)</f>
        <v/>
      </c>
      <c r="Q46" s="38"/>
      <c r="R46" s="81" t="str">
        <f>IF(OR(LEFT(D46,4)*1&lt;LEFT('General inputs'!$I$16,4)*1,LEFT(D46,4)*1&gt;LEFT('General inputs'!$I$16,4)+'General inputs'!$H$38-1),"",Q46/(1+'General inputs'!$H$34)^C46)</f>
        <v/>
      </c>
      <c r="T46" s="38"/>
      <c r="U46" s="81" t="str">
        <f>IF(OR(LEFT(D46,4)*1&lt;LEFT('General inputs'!$I$16,4)*1,LEFT(D46,4)*1&gt;LEFT('General inputs'!$I$16,4)+'General inputs'!$H$38-1),"",T46/(1+'General inputs'!$H$34)^C46)</f>
        <v/>
      </c>
      <c r="V46" s="54"/>
      <c r="X46" s="37"/>
      <c r="Y46" s="37"/>
      <c r="Z46" s="37"/>
    </row>
    <row r="47" spans="2:27" x14ac:dyDescent="0.25">
      <c r="B47" s="53"/>
      <c r="C47" s="28">
        <f>IF(D47='General inputs'!$I$16,0,IF(D47&lt;'General inputs'!$I$16,C48-1,C46+1))</f>
        <v>-19</v>
      </c>
      <c r="D47" s="28" t="str">
        <f t="shared" si="2"/>
        <v>2003-04</v>
      </c>
      <c r="E47" s="81">
        <f>IF(LEFT(D47,4)*1&gt;LEFT('General inputs'!$I$16,4)+'General inputs'!$H$38-1,"",'ET inputs'!D20)</f>
        <v>389.38027223294245</v>
      </c>
      <c r="F47" s="81">
        <f>IF(LEFT(D47,4)*1&gt;LEFT('General inputs'!$I$16,4)+'General inputs'!$H$38-1,"",E47/(1+'General inputs'!$H$30)^C47)</f>
        <v>682.78066430927379</v>
      </c>
      <c r="G47" s="81">
        <f>IF(LEFT(D47,4)*1&gt;LEFT('General inputs'!$I$16,4)+'General inputs'!$H$38-1,"",E47/(1+'General inputs'!$H$32)^C47)</f>
        <v>850.86489270257186</v>
      </c>
      <c r="H47" s="81" t="str">
        <f>IF(LEFT(D47,4)*1&lt;LEFT('General inputs'!$I$16,4)*1,"",IF(LEFT(D47,4)*1&gt;LEFT('General inputs'!$I$16,4)+'General inputs'!$H$38-1,"",E47/(1+'General inputs'!$H$34)^C47))</f>
        <v/>
      </c>
      <c r="J47" s="110"/>
      <c r="K47" s="110"/>
      <c r="L47" s="81">
        <f>IF(LEFT(D47,4)*1&gt;LEFT('General inputs'!$I$18,4)*1,"",SUMIF('Post-1996 commissioned assets'!$F$22:$F$1500,$D47,'Post-1996 commissioned assets'!$P$22:$P$1500)*(1+$K$34)*(1+$K$35))</f>
        <v>0</v>
      </c>
      <c r="M47" s="81">
        <f>IF(L47="","",L47/(1+'General inputs'!$H$32)^C47)</f>
        <v>0</v>
      </c>
      <c r="N47" s="81" t="str">
        <f>IF(LEFT(D47,4)*1&lt;LEFT('General inputs'!$I$18,4)*1+1,"",SUMIF('Uncommissioned assets'!$F$22:$F$1500,$D47,'Uncommissioned assets'!$P$22:$P$1500))</f>
        <v/>
      </c>
      <c r="O47" s="81" t="str">
        <f>IF(N47="","",N47/(1+'General inputs'!$H$32)^C47)</f>
        <v/>
      </c>
      <c r="Q47" s="38"/>
      <c r="R47" s="81" t="str">
        <f>IF(OR(LEFT(D47,4)*1&lt;LEFT('General inputs'!$I$16,4)*1,LEFT(D47,4)*1&gt;LEFT('General inputs'!$I$16,4)+'General inputs'!$H$38-1),"",Q47/(1+'General inputs'!$H$34)^C47)</f>
        <v/>
      </c>
      <c r="T47" s="38"/>
      <c r="U47" s="81" t="str">
        <f>IF(OR(LEFT(D47,4)*1&lt;LEFT('General inputs'!$I$16,4)*1,LEFT(D47,4)*1&gt;LEFT('General inputs'!$I$16,4)+'General inputs'!$H$38-1),"",T47/(1+'General inputs'!$H$34)^C47)</f>
        <v/>
      </c>
      <c r="V47" s="54"/>
      <c r="X47" s="37"/>
      <c r="Y47" s="37"/>
      <c r="Z47" s="37"/>
    </row>
    <row r="48" spans="2:27" x14ac:dyDescent="0.25">
      <c r="B48" s="53"/>
      <c r="C48" s="28">
        <f>IF(D48='General inputs'!$I$16,0,IF(D48&lt;'General inputs'!$I$16,C49-1,C47+1))</f>
        <v>-18</v>
      </c>
      <c r="D48" s="28" t="str">
        <f t="shared" si="2"/>
        <v>2004-05</v>
      </c>
      <c r="E48" s="81">
        <f>IF(LEFT(D48,4)*1&gt;LEFT('General inputs'!$I$16,4)+'General inputs'!$H$38-1,"",'ET inputs'!D21)</f>
        <v>433.00357843067059</v>
      </c>
      <c r="F48" s="81">
        <f>IF(LEFT(D48,4)*1&gt;LEFT('General inputs'!$I$16,4)+'General inputs'!$H$38-1,"",E48/(1+'General inputs'!$H$30)^C48)</f>
        <v>737.15960755555909</v>
      </c>
      <c r="G48" s="81">
        <f>IF(LEFT(D48,4)*1&gt;LEFT('General inputs'!$I$16,4)+'General inputs'!$H$38-1,"",E48/(1+'General inputs'!$H$32)^C48)</f>
        <v>908.05138844497458</v>
      </c>
      <c r="H48" s="81" t="str">
        <f>IF(LEFT(D48,4)*1&lt;LEFT('General inputs'!$I$16,4)*1,"",IF(LEFT(D48,4)*1&gt;LEFT('General inputs'!$I$16,4)+'General inputs'!$H$38-1,"",E48/(1+'General inputs'!$H$34)^C48))</f>
        <v/>
      </c>
      <c r="J48" s="110"/>
      <c r="K48" s="110"/>
      <c r="L48" s="81">
        <f>IF(LEFT(D48,4)*1&gt;LEFT('General inputs'!$I$18,4)*1,"",SUMIF('Post-1996 commissioned assets'!$F$22:$F$1500,$D48,'Post-1996 commissioned assets'!$P$22:$P$1500)*(1+$K$34)*(1+$K$35))</f>
        <v>0</v>
      </c>
      <c r="M48" s="81">
        <f>IF(L48="","",L48/(1+'General inputs'!$H$32)^C48)</f>
        <v>0</v>
      </c>
      <c r="N48" s="81" t="str">
        <f>IF(LEFT(D48,4)*1&lt;LEFT('General inputs'!$I$18,4)*1+1,"",SUMIF('Uncommissioned assets'!$F$22:$F$1500,$D48,'Uncommissioned assets'!$P$22:$P$1500))</f>
        <v/>
      </c>
      <c r="O48" s="81" t="str">
        <f>IF(N48="","",N48/(1+'General inputs'!$H$32)^C48)</f>
        <v/>
      </c>
      <c r="Q48" s="86"/>
      <c r="R48" s="81" t="str">
        <f>IF(OR(LEFT(D48,4)*1&lt;LEFT('General inputs'!$I$16,4)*1,LEFT(D48,4)*1&gt;LEFT('General inputs'!$I$16,4)+'General inputs'!$H$38-1),"",Q48/(1+'General inputs'!$H$34)^C48)</f>
        <v/>
      </c>
      <c r="T48" s="86"/>
      <c r="U48" s="81" t="str">
        <f>IF(OR(LEFT(D48,4)*1&lt;LEFT('General inputs'!$I$16,4)*1,LEFT(D48,4)*1&gt;LEFT('General inputs'!$I$16,4)+'General inputs'!$H$38-1),"",T48/(1+'General inputs'!$H$34)^C48)</f>
        <v/>
      </c>
      <c r="V48" s="54"/>
      <c r="X48" s="37"/>
      <c r="Y48" s="37"/>
      <c r="Z48" s="37"/>
    </row>
    <row r="49" spans="2:26" x14ac:dyDescent="0.25">
      <c r="B49" s="53"/>
      <c r="C49" s="28">
        <f>IF(D49='General inputs'!$I$16,0,IF(D49&lt;'General inputs'!$I$16,C50-1,C48+1))</f>
        <v>-17</v>
      </c>
      <c r="D49" s="28" t="str">
        <f t="shared" si="2"/>
        <v>2005-06</v>
      </c>
      <c r="E49" s="81">
        <f>IF(LEFT(D49,4)*1&gt;LEFT('General inputs'!$I$16,4)+'General inputs'!$H$38-1,"",'ET inputs'!D22)</f>
        <v>191.83925871805474</v>
      </c>
      <c r="F49" s="81">
        <f>IF(LEFT(D49,4)*1&gt;LEFT('General inputs'!$I$16,4)+'General inputs'!$H$38-1,"",E49/(1+'General inputs'!$H$30)^C49)</f>
        <v>317.08106454890458</v>
      </c>
      <c r="G49" s="81">
        <f>IF(LEFT(D49,4)*1&gt;LEFT('General inputs'!$I$16,4)+'General inputs'!$H$38-1,"",E49/(1+'General inputs'!$H$32)^C49)</f>
        <v>386.09013935122664</v>
      </c>
      <c r="H49" s="81" t="str">
        <f>IF(LEFT(D49,4)*1&lt;LEFT('General inputs'!$I$16,4)*1,"",IF(LEFT(D49,4)*1&gt;LEFT('General inputs'!$I$16,4)+'General inputs'!$H$38-1,"",E49/(1+'General inputs'!$H$34)^C49))</f>
        <v/>
      </c>
      <c r="J49" s="110"/>
      <c r="K49" s="110"/>
      <c r="L49" s="81">
        <f>IF(LEFT(D49,4)*1&gt;LEFT('General inputs'!$I$18,4)*1,"",SUMIF('Post-1996 commissioned assets'!$F$22:$F$1500,$D49,'Post-1996 commissioned assets'!$P$22:$P$1500)*(1+$K$34)*(1+$K$35))</f>
        <v>0</v>
      </c>
      <c r="M49" s="81">
        <f>IF(L49="","",L49/(1+'General inputs'!$H$32)^C49)</f>
        <v>0</v>
      </c>
      <c r="N49" s="81" t="str">
        <f>IF(LEFT(D49,4)*1&lt;LEFT('General inputs'!$I$18,4)*1+1,"",SUMIF('Uncommissioned assets'!$F$22:$F$1500,$D49,'Uncommissioned assets'!$P$22:$P$1500))</f>
        <v/>
      </c>
      <c r="O49" s="81" t="str">
        <f>IF(N49="","",N49/(1+'General inputs'!$H$32)^C49)</f>
        <v/>
      </c>
      <c r="Q49" s="86"/>
      <c r="R49" s="81" t="str">
        <f>IF(OR(LEFT(D49,4)*1&lt;LEFT('General inputs'!$I$16,4)*1,LEFT(D49,4)*1&gt;LEFT('General inputs'!$I$16,4)+'General inputs'!$H$38-1),"",Q49/(1+'General inputs'!$H$34)^C49)</f>
        <v/>
      </c>
      <c r="T49" s="86"/>
      <c r="U49" s="81" t="str">
        <f>IF(OR(LEFT(D49,4)*1&lt;LEFT('General inputs'!$I$16,4)*1,LEFT(D49,4)*1&gt;LEFT('General inputs'!$I$16,4)+'General inputs'!$H$38-1),"",T49/(1+'General inputs'!$H$34)^C49)</f>
        <v/>
      </c>
      <c r="V49" s="54"/>
      <c r="X49" s="37"/>
      <c r="Y49" s="37"/>
      <c r="Z49" s="37"/>
    </row>
    <row r="50" spans="2:26" x14ac:dyDescent="0.25">
      <c r="B50" s="53"/>
      <c r="C50" s="28">
        <f>IF(D50='General inputs'!$I$16,0,IF(D50&lt;'General inputs'!$I$16,C51-1,C49+1))</f>
        <v>-16</v>
      </c>
      <c r="D50" s="28" t="str">
        <f t="shared" si="2"/>
        <v>2006-07</v>
      </c>
      <c r="E50" s="81">
        <f>IF(LEFT(D50,4)*1&gt;LEFT('General inputs'!$I$16,4)+'General inputs'!$H$38-1,"",'ET inputs'!D23)</f>
        <v>206.61363848835151</v>
      </c>
      <c r="F50" s="81">
        <f>IF(LEFT(D50,4)*1&gt;LEFT('General inputs'!$I$16,4)+'General inputs'!$H$38-1,"",E50/(1+'General inputs'!$H$30)^C50)</f>
        <v>331.55423608788669</v>
      </c>
      <c r="G50" s="81">
        <f>IF(LEFT(D50,4)*1&gt;LEFT('General inputs'!$I$16,4)+'General inputs'!$H$38-1,"",E50/(1+'General inputs'!$H$32)^C50)</f>
        <v>399.06394283664611</v>
      </c>
      <c r="H50" s="81" t="str">
        <f>IF(LEFT(D50,4)*1&lt;LEFT('General inputs'!$I$16,4)*1,"",IF(LEFT(D50,4)*1&gt;LEFT('General inputs'!$I$16,4)+'General inputs'!$H$38-1,"",E50/(1+'General inputs'!$H$34)^C50))</f>
        <v/>
      </c>
      <c r="J50" s="110"/>
      <c r="K50" s="110"/>
      <c r="L50" s="81">
        <f>IF(LEFT(D50,4)*1&gt;LEFT('General inputs'!$I$18,4)*1,"",SUMIF('Post-1996 commissioned assets'!$F$22:$F$1500,$D50,'Post-1996 commissioned assets'!$P$22:$P$1500)*(1+$K$34)*(1+$K$35))</f>
        <v>23688.09192589884</v>
      </c>
      <c r="M50" s="81">
        <f>IF(L50="","",L50/(1+'General inputs'!$H$32)^C50)</f>
        <v>45752.368678987565</v>
      </c>
      <c r="N50" s="81" t="str">
        <f>IF(LEFT(D50,4)*1&lt;LEFT('General inputs'!$I$18,4)*1+1,"",SUMIF('Uncommissioned assets'!$F$22:$F$1500,$D50,'Uncommissioned assets'!$P$22:$P$1500))</f>
        <v/>
      </c>
      <c r="O50" s="81" t="str">
        <f>IF(N50="","",N50/(1+'General inputs'!$H$32)^C50)</f>
        <v/>
      </c>
      <c r="Q50" s="86"/>
      <c r="R50" s="81" t="str">
        <f>IF(OR(LEFT(D50,4)*1&lt;LEFT('General inputs'!$I$16,4)*1,LEFT(D50,4)*1&gt;LEFT('General inputs'!$I$16,4)+'General inputs'!$H$38-1),"",Q50/(1+'General inputs'!$H$34)^C50)</f>
        <v/>
      </c>
      <c r="T50" s="86"/>
      <c r="U50" s="81" t="str">
        <f>IF(OR(LEFT(D50,4)*1&lt;LEFT('General inputs'!$I$16,4)*1,LEFT(D50,4)*1&gt;LEFT('General inputs'!$I$16,4)+'General inputs'!$H$38-1),"",T50/(1+'General inputs'!$H$34)^C50)</f>
        <v/>
      </c>
      <c r="V50" s="54"/>
      <c r="X50" s="37"/>
      <c r="Y50" s="37"/>
      <c r="Z50" s="37"/>
    </row>
    <row r="51" spans="2:26" x14ac:dyDescent="0.25">
      <c r="B51" s="53"/>
      <c r="C51" s="28">
        <f>IF(D51='General inputs'!$I$16,0,IF(D51&lt;'General inputs'!$I$16,C52-1,C50+1))</f>
        <v>-15</v>
      </c>
      <c r="D51" s="28" t="str">
        <f t="shared" si="2"/>
        <v>2007-08</v>
      </c>
      <c r="E51" s="81">
        <f>IF(LEFT(D51,4)*1&gt;LEFT('General inputs'!$I$16,4)+'General inputs'!$H$38-1,"",'ET inputs'!D24)</f>
        <v>129.9248786347184</v>
      </c>
      <c r="F51" s="81">
        <f>IF(LEFT(D51,4)*1&gt;LEFT('General inputs'!$I$16,4)+'General inputs'!$H$38-1,"",E51/(1+'General inputs'!$H$30)^C51)</f>
        <v>202.41872751870008</v>
      </c>
      <c r="G51" s="81">
        <f>IF(LEFT(D51,4)*1&gt;LEFT('General inputs'!$I$16,4)+'General inputs'!$H$38-1,"",E51/(1+'General inputs'!$H$32)^C51)</f>
        <v>240.82862398595122</v>
      </c>
      <c r="H51" s="81" t="str">
        <f>IF(LEFT(D51,4)*1&lt;LEFT('General inputs'!$I$16,4)*1,"",IF(LEFT(D51,4)*1&gt;LEFT('General inputs'!$I$16,4)+'General inputs'!$H$38-1,"",E51/(1+'General inputs'!$H$34)^C51))</f>
        <v/>
      </c>
      <c r="J51" s="110"/>
      <c r="K51" s="110"/>
      <c r="L51" s="81">
        <f>IF(LEFT(D51,4)*1&gt;LEFT('General inputs'!$I$18,4)*1,"",SUMIF('Post-1996 commissioned assets'!$F$22:$F$1500,$D51,'Post-1996 commissioned assets'!$P$22:$P$1500)*(1+$K$34)*(1+$K$35))</f>
        <v>0</v>
      </c>
      <c r="M51" s="81">
        <f>IF(L51="","",L51/(1+'General inputs'!$H$32)^C51)</f>
        <v>0</v>
      </c>
      <c r="N51" s="81" t="str">
        <f>IF(LEFT(D51,4)*1&lt;LEFT('General inputs'!$I$18,4)*1+1,"",SUMIF('Uncommissioned assets'!$F$22:$F$1500,$D51,'Uncommissioned assets'!$P$22:$P$1500))</f>
        <v/>
      </c>
      <c r="O51" s="81" t="str">
        <f>IF(N51="","",N51/(1+'General inputs'!$H$32)^C51)</f>
        <v/>
      </c>
      <c r="Q51" s="86"/>
      <c r="R51" s="81" t="str">
        <f>IF(OR(LEFT(D51,4)*1&lt;LEFT('General inputs'!$I$16,4)*1,LEFT(D51,4)*1&gt;LEFT('General inputs'!$I$16,4)+'General inputs'!$H$38-1),"",Q51/(1+'General inputs'!$H$34)^C51)</f>
        <v/>
      </c>
      <c r="T51" s="86"/>
      <c r="U51" s="81" t="str">
        <f>IF(OR(LEFT(D51,4)*1&lt;LEFT('General inputs'!$I$16,4)*1,LEFT(D51,4)*1&gt;LEFT('General inputs'!$I$16,4)+'General inputs'!$H$38-1),"",T51/(1+'General inputs'!$H$34)^C51)</f>
        <v/>
      </c>
      <c r="V51" s="54"/>
      <c r="X51" s="37"/>
      <c r="Y51" s="37"/>
      <c r="Z51" s="37"/>
    </row>
    <row r="52" spans="2:26" ht="12" thickBot="1" x14ac:dyDescent="0.3">
      <c r="B52" s="53"/>
      <c r="C52" s="28">
        <f>IF(D52='General inputs'!$I$16,0,IF(D52&lt;'General inputs'!$I$16,C53-1,C51+1))</f>
        <v>-14</v>
      </c>
      <c r="D52" s="83" t="str">
        <f t="shared" si="2"/>
        <v>2008-09</v>
      </c>
      <c r="E52" s="81">
        <f>IF(LEFT(D52,4)*1&gt;LEFT('General inputs'!$I$16,4)+'General inputs'!$H$38-1,"",'ET inputs'!D25)</f>
        <v>304.75875055754631</v>
      </c>
      <c r="F52" s="81">
        <f>IF(LEFT(D52,4)*1&gt;LEFT('General inputs'!$I$16,4)+'General inputs'!$H$38-1,"",E52/(1+'General inputs'!$H$30)^C52)</f>
        <v>460.97495465302637</v>
      </c>
      <c r="G52" s="81">
        <f>IF(LEFT(D52,4)*1&gt;LEFT('General inputs'!$I$16,4)+'General inputs'!$H$38-1,"",E52/(1+'General inputs'!$H$32)^C52)</f>
        <v>542.13101020381544</v>
      </c>
      <c r="H52" s="81" t="str">
        <f>IF(LEFT(D52,4)*1&lt;LEFT('General inputs'!$I$16,4)*1,"",IF(LEFT(D52,4)*1&gt;LEFT('General inputs'!$I$16,4)+'General inputs'!$H$38-1,"",E52/(1+'General inputs'!$H$34)^C52))</f>
        <v/>
      </c>
      <c r="J52" s="110"/>
      <c r="K52" s="110"/>
      <c r="L52" s="81">
        <f>IF(LEFT(D52,4)*1&gt;LEFT('General inputs'!$I$18,4)*1,"",SUMIF('Post-1996 commissioned assets'!$F$22:$F$1500,$D52,'Post-1996 commissioned assets'!$P$22:$P$1500)*(1+$K$34)*(1+$K$35))</f>
        <v>0</v>
      </c>
      <c r="M52" s="81">
        <f>IF(L52="","",L52/(1+'General inputs'!$H$32)^C52)</f>
        <v>0</v>
      </c>
      <c r="N52" s="81" t="str">
        <f>IF(LEFT(D52,4)*1&lt;LEFT('General inputs'!$I$18,4)*1+1,"",SUMIF('Uncommissioned assets'!$F$22:$F$1500,$D52,'Uncommissioned assets'!$P$22:$P$1500))</f>
        <v/>
      </c>
      <c r="O52" s="81" t="str">
        <f>IF(N52="","",N52/(1+'General inputs'!$H$32)^C52)</f>
        <v/>
      </c>
      <c r="Q52" s="86"/>
      <c r="R52" s="81" t="str">
        <f>IF(OR(LEFT(D52,4)*1&lt;LEFT('General inputs'!$I$16,4)*1,LEFT(D52,4)*1&gt;LEFT('General inputs'!$I$16,4)+'General inputs'!$H$38-1),"",Q52/(1+'General inputs'!$H$34)^C52)</f>
        <v/>
      </c>
      <c r="T52" s="86"/>
      <c r="U52" s="81" t="str">
        <f>IF(OR(LEFT(D52,4)*1&lt;LEFT('General inputs'!$I$16,4)*1,LEFT(D52,4)*1&gt;LEFT('General inputs'!$I$16,4)+'General inputs'!$H$38-1),"",T52/(1+'General inputs'!$H$34)^C52)</f>
        <v/>
      </c>
      <c r="V52" s="54"/>
      <c r="X52" s="37"/>
      <c r="Y52" s="37"/>
      <c r="Z52" s="37"/>
    </row>
    <row r="53" spans="2:26" ht="12" thickTop="1" x14ac:dyDescent="0.25">
      <c r="B53" s="53"/>
      <c r="C53" s="28">
        <f>IF(D53='General inputs'!$I$16,0,IF(D53&lt;'General inputs'!$I$16,C54-1,C52+1))</f>
        <v>-13</v>
      </c>
      <c r="D53" s="85" t="str">
        <f t="shared" si="1"/>
        <v>2009-10</v>
      </c>
      <c r="E53" s="81">
        <f>IF(LEFT(D53,4)*1&gt;LEFT('General inputs'!$I$16,4)+'General inputs'!$H$38-1,"",'ET inputs'!D26)</f>
        <v>216.55699668822919</v>
      </c>
      <c r="F53" s="81">
        <f>IF(LEFT(D53,4)*1&gt;LEFT('General inputs'!$I$16,4)+'General inputs'!$H$38-1,"",E53/(1+'General inputs'!$H$30)^C53)</f>
        <v>318.02125052048325</v>
      </c>
      <c r="G53" s="81">
        <f>IF(LEFT(D53,4)*1&gt;LEFT('General inputs'!$I$16,4)+'General inputs'!$H$38-1,"",E53/(1+'General inputs'!$H$32)^C53)</f>
        <v>369.70265235050766</v>
      </c>
      <c r="H53" s="81" t="str">
        <f>IF(LEFT(D53,4)*1&lt;LEFT('General inputs'!$I$16,4)*1,"",IF(LEFT(D53,4)*1&gt;LEFT('General inputs'!$I$16,4)+'General inputs'!$H$38-1,"",E53/(1+'General inputs'!$H$34)^C53))</f>
        <v/>
      </c>
      <c r="J53" s="110"/>
      <c r="K53" s="110"/>
      <c r="L53" s="81">
        <f>IF(LEFT(D53,4)*1&gt;LEFT('General inputs'!$I$18,4)*1,"",SUMIF('Post-1996 commissioned assets'!$F$22:$F$1500,$D53,'Post-1996 commissioned assets'!$P$22:$P$1500)*(1+$K$34)*(1+$K$35))</f>
        <v>0</v>
      </c>
      <c r="M53" s="81">
        <f>IF(L53="","",L53/(1+'General inputs'!$H$32)^C53)</f>
        <v>0</v>
      </c>
      <c r="N53" s="81" t="str">
        <f>IF(LEFT(D53,4)*1&lt;LEFT('General inputs'!$I$18,4)*1+1,"",SUMIF('Uncommissioned assets'!$F$22:$F$1500,$D53,'Uncommissioned assets'!$P$22:$P$1500))</f>
        <v/>
      </c>
      <c r="O53" s="81" t="str">
        <f>IF(N53="","",N53/(1+'General inputs'!$H$32)^C53)</f>
        <v/>
      </c>
      <c r="Q53" s="86"/>
      <c r="R53" s="81" t="str">
        <f>IF(OR(LEFT(D53,4)*1&lt;LEFT('General inputs'!$I$16,4)*1,LEFT(D53,4)*1&gt;LEFT('General inputs'!$I$16,4)+'General inputs'!$H$38-1),"",Q53/(1+'General inputs'!$H$34)^C53)</f>
        <v/>
      </c>
      <c r="T53" s="86"/>
      <c r="U53" s="81" t="str">
        <f>IF(OR(LEFT(D53,4)*1&lt;LEFT('General inputs'!$I$16,4)*1,LEFT(D53,4)*1&gt;LEFT('General inputs'!$I$16,4)+'General inputs'!$H$38-1),"",T53/(1+'General inputs'!$H$34)^C53)</f>
        <v/>
      </c>
      <c r="V53" s="54"/>
      <c r="X53" s="37"/>
      <c r="Y53" s="37"/>
      <c r="Z53" s="37"/>
    </row>
    <row r="54" spans="2:26" x14ac:dyDescent="0.25">
      <c r="B54" s="53"/>
      <c r="C54" s="28">
        <f>IF(D54='General inputs'!$I$16,0,IF(D54&lt;'General inputs'!$I$16,C55-1,C53+1))</f>
        <v>-12</v>
      </c>
      <c r="D54" s="28" t="str">
        <f t="shared" si="1"/>
        <v>2010-11</v>
      </c>
      <c r="E54" s="81">
        <f>IF(LEFT(D54,4)*1&gt;LEFT('General inputs'!$I$16,4)+'General inputs'!$H$38-1,"",'ET inputs'!D27)</f>
        <v>113.03135498320269</v>
      </c>
      <c r="F54" s="81">
        <f>IF(LEFT(D54,4)*1&gt;LEFT('General inputs'!$I$16,4)+'General inputs'!$H$38-1,"",E54/(1+'General inputs'!$H$30)^C54)</f>
        <v>161.15568492227629</v>
      </c>
      <c r="G54" s="81">
        <f>IF(LEFT(D54,4)*1&gt;LEFT('General inputs'!$I$16,4)+'General inputs'!$H$38-1,"",E54/(1+'General inputs'!$H$32)^C54)</f>
        <v>185.1874541828204</v>
      </c>
      <c r="H54" s="81" t="str">
        <f>IF(LEFT(D54,4)*1&lt;LEFT('General inputs'!$I$16,4)*1,"",IF(LEFT(D54,4)*1&gt;LEFT('General inputs'!$I$16,4)+'General inputs'!$H$38-1,"",E54/(1+'General inputs'!$H$34)^C54))</f>
        <v/>
      </c>
      <c r="J54" s="110"/>
      <c r="K54" s="110"/>
      <c r="L54" s="81">
        <f>IF(LEFT(D54,4)*1&gt;LEFT('General inputs'!$I$18,4)*1,"",SUMIF('Post-1996 commissioned assets'!$F$22:$F$1500,$D54,'Post-1996 commissioned assets'!$P$22:$P$1500)*(1+$K$34)*(1+$K$35))</f>
        <v>0</v>
      </c>
      <c r="M54" s="81">
        <f>IF(L54="","",L54/(1+'General inputs'!$H$32)^C54)</f>
        <v>0</v>
      </c>
      <c r="N54" s="81" t="str">
        <f>IF(LEFT(D54,4)*1&lt;LEFT('General inputs'!$I$18,4)*1+1,"",SUMIF('Uncommissioned assets'!$F$22:$F$1500,$D54,'Uncommissioned assets'!$P$22:$P$1500))</f>
        <v/>
      </c>
      <c r="O54" s="81" t="str">
        <f>IF(N54="","",N54/(1+'General inputs'!$H$32)^C54)</f>
        <v/>
      </c>
      <c r="Q54" s="86"/>
      <c r="R54" s="81" t="str">
        <f>IF(OR(LEFT(D54,4)*1&lt;LEFT('General inputs'!$I$16,4)*1,LEFT(D54,4)*1&gt;LEFT('General inputs'!$I$16,4)+'General inputs'!$H$38-1),"",Q54/(1+'General inputs'!$H$34)^C54)</f>
        <v/>
      </c>
      <c r="T54" s="86"/>
      <c r="U54" s="81" t="str">
        <f>IF(OR(LEFT(D54,4)*1&lt;LEFT('General inputs'!$I$16,4)*1,LEFT(D54,4)*1&gt;LEFT('General inputs'!$I$16,4)+'General inputs'!$H$38-1),"",T54/(1+'General inputs'!$H$34)^C54)</f>
        <v/>
      </c>
      <c r="V54" s="54"/>
      <c r="X54" s="37"/>
      <c r="Y54" s="37"/>
      <c r="Z54" s="37"/>
    </row>
    <row r="55" spans="2:26" x14ac:dyDescent="0.25">
      <c r="B55" s="53"/>
      <c r="C55" s="28">
        <f>IF(D55='General inputs'!$I$16,0,IF(D55&lt;'General inputs'!$I$16,C56-1,C54+1))</f>
        <v>-11</v>
      </c>
      <c r="D55" s="28" t="str">
        <f t="shared" si="1"/>
        <v>2011-12</v>
      </c>
      <c r="E55" s="81">
        <f>IF(LEFT(D55,4)*1&gt;LEFT('General inputs'!$I$16,4)+'General inputs'!$H$38-1,"",'ET inputs'!D28)</f>
        <v>179.31103008108687</v>
      </c>
      <c r="F55" s="81">
        <f>IF(LEFT(D55,4)*1&gt;LEFT('General inputs'!$I$16,4)+'General inputs'!$H$38-1,"",E55/(1+'General inputs'!$H$30)^C55)</f>
        <v>248.20840123273035</v>
      </c>
      <c r="G55" s="81">
        <f>IF(LEFT(D55,4)*1&gt;LEFT('General inputs'!$I$16,4)+'General inputs'!$H$38-1,"",E55/(1+'General inputs'!$H$32)^C55)</f>
        <v>281.93689599356844</v>
      </c>
      <c r="H55" s="81" t="str">
        <f>IF(LEFT(D55,4)*1&lt;LEFT('General inputs'!$I$16,4)*1,"",IF(LEFT(D55,4)*1&gt;LEFT('General inputs'!$I$16,4)+'General inputs'!$H$38-1,"",E55/(1+'General inputs'!$H$34)^C55))</f>
        <v/>
      </c>
      <c r="J55" s="110"/>
      <c r="K55" s="110"/>
      <c r="L55" s="81">
        <f>IF(LEFT(D55,4)*1&gt;LEFT('General inputs'!$I$18,4)*1,"",SUMIF('Post-1996 commissioned assets'!$F$22:$F$1500,$D55,'Post-1996 commissioned assets'!$P$22:$P$1500)*(1+$K$34)*(1+$K$35))</f>
        <v>0</v>
      </c>
      <c r="M55" s="81">
        <f>IF(L55="","",L55/(1+'General inputs'!$H$32)^C55)</f>
        <v>0</v>
      </c>
      <c r="N55" s="81" t="str">
        <f>IF(LEFT(D55,4)*1&lt;LEFT('General inputs'!$I$18,4)*1+1,"",SUMIF('Uncommissioned assets'!$F$22:$F$1500,$D55,'Uncommissioned assets'!$P$22:$P$1500))</f>
        <v/>
      </c>
      <c r="O55" s="81" t="str">
        <f>IF(N55="","",N55/(1+'General inputs'!$H$32)^C55)</f>
        <v/>
      </c>
      <c r="Q55" s="86"/>
      <c r="R55" s="81" t="str">
        <f>IF(OR(LEFT(D55,4)*1&lt;LEFT('General inputs'!$I$16,4)*1,LEFT(D55,4)*1&gt;LEFT('General inputs'!$I$16,4)+'General inputs'!$H$38-1),"",Q55/(1+'General inputs'!$H$34)^C55)</f>
        <v/>
      </c>
      <c r="T55" s="86"/>
      <c r="U55" s="81" t="str">
        <f>IF(OR(LEFT(D55,4)*1&lt;LEFT('General inputs'!$I$16,4)*1,LEFT(D55,4)*1&gt;LEFT('General inputs'!$I$16,4)+'General inputs'!$H$38-1),"",T55/(1+'General inputs'!$H$34)^C55)</f>
        <v/>
      </c>
      <c r="V55" s="54"/>
      <c r="X55" s="37"/>
      <c r="Y55" s="37"/>
      <c r="Z55" s="37"/>
    </row>
    <row r="56" spans="2:26" x14ac:dyDescent="0.25">
      <c r="B56" s="53"/>
      <c r="C56" s="28">
        <f>IF(D56='General inputs'!$I$16,0,IF(D56&lt;'General inputs'!$I$16,C57-1,C55+1))</f>
        <v>-10</v>
      </c>
      <c r="D56" s="28" t="str">
        <f t="shared" si="1"/>
        <v>2012-13</v>
      </c>
      <c r="E56" s="81">
        <f>IF(LEFT(D56,4)*1&gt;LEFT('General inputs'!$I$16,4)+'General inputs'!$H$38-1,"",'ET inputs'!D29)</f>
        <v>314.63395528356989</v>
      </c>
      <c r="F56" s="81">
        <f>IF(LEFT(D56,4)*1&gt;LEFT('General inputs'!$I$16,4)+'General inputs'!$H$38-1,"",E56/(1+'General inputs'!$H$30)^C56)</f>
        <v>422.8417260034156</v>
      </c>
      <c r="G56" s="81">
        <f>IF(LEFT(D56,4)*1&gt;LEFT('General inputs'!$I$16,4)+'General inputs'!$H$38-1,"",E56/(1+'General inputs'!$H$32)^C56)</f>
        <v>474.76946516154885</v>
      </c>
      <c r="H56" s="81" t="str">
        <f>IF(LEFT(D56,4)*1&lt;LEFT('General inputs'!$I$16,4)*1,"",IF(LEFT(D56,4)*1&gt;LEFT('General inputs'!$I$16,4)+'General inputs'!$H$38-1,"",E56/(1+'General inputs'!$H$34)^C56))</f>
        <v/>
      </c>
      <c r="J56" s="110"/>
      <c r="K56" s="110"/>
      <c r="L56" s="81">
        <f>IF(LEFT(D56,4)*1&gt;LEFT('General inputs'!$I$18,4)*1,"",SUMIF('Post-1996 commissioned assets'!$F$22:$F$1500,$D56,'Post-1996 commissioned assets'!$P$22:$P$1500)*(1+$K$34)*(1+$K$35))</f>
        <v>0</v>
      </c>
      <c r="M56" s="81">
        <f>IF(L56="","",L56/(1+'General inputs'!$H$32)^C56)</f>
        <v>0</v>
      </c>
      <c r="N56" s="81" t="str">
        <f>IF(LEFT(D56,4)*1&lt;LEFT('General inputs'!$I$18,4)*1+1,"",SUMIF('Uncommissioned assets'!$F$22:$F$1500,$D56,'Uncommissioned assets'!$P$22:$P$1500))</f>
        <v/>
      </c>
      <c r="O56" s="81" t="str">
        <f>IF(N56="","",N56/(1+'General inputs'!$H$32)^C56)</f>
        <v/>
      </c>
      <c r="Q56" s="86"/>
      <c r="R56" s="81" t="str">
        <f>IF(OR(LEFT(D56,4)*1&lt;LEFT('General inputs'!$I$16,4)*1,LEFT(D56,4)*1&gt;LEFT('General inputs'!$I$16,4)+'General inputs'!$H$38-1),"",Q56/(1+'General inputs'!$H$34)^C56)</f>
        <v/>
      </c>
      <c r="T56" s="86"/>
      <c r="U56" s="81" t="str">
        <f>IF(OR(LEFT(D56,4)*1&lt;LEFT('General inputs'!$I$16,4)*1,LEFT(D56,4)*1&gt;LEFT('General inputs'!$I$16,4)+'General inputs'!$H$38-1),"",T56/(1+'General inputs'!$H$34)^C56)</f>
        <v/>
      </c>
      <c r="V56" s="54"/>
      <c r="X56" s="37"/>
      <c r="Y56" s="37"/>
      <c r="Z56" s="37"/>
    </row>
    <row r="57" spans="2:26" x14ac:dyDescent="0.25">
      <c r="B57" s="53"/>
      <c r="C57" s="28">
        <f>IF(D57='General inputs'!$I$16,0,IF(D57&lt;'General inputs'!$I$16,C58-1,C56+1))</f>
        <v>-9</v>
      </c>
      <c r="D57" s="28" t="str">
        <f t="shared" si="1"/>
        <v>2013-14</v>
      </c>
      <c r="E57" s="81">
        <f>IF(LEFT(D57,4)*1&gt;LEFT('General inputs'!$I$16,4)+'General inputs'!$H$38-1,"",'ET inputs'!D30)</f>
        <v>295.20104558454284</v>
      </c>
      <c r="F57" s="81">
        <f>IF(LEFT(D57,4)*1&gt;LEFT('General inputs'!$I$16,4)+'General inputs'!$H$38-1,"",E57/(1+'General inputs'!$H$30)^C57)</f>
        <v>385.1704081170659</v>
      </c>
      <c r="G57" s="81">
        <f>IF(LEFT(D57,4)*1&gt;LEFT('General inputs'!$I$16,4)+'General inputs'!$H$38-1,"",E57/(1+'General inputs'!$H$32)^C57)</f>
        <v>427.49138009526496</v>
      </c>
      <c r="H57" s="81" t="str">
        <f>IF(LEFT(D57,4)*1&lt;LEFT('General inputs'!$I$16,4)*1,"",IF(LEFT(D57,4)*1&gt;LEFT('General inputs'!$I$16,4)+'General inputs'!$H$38-1,"",E57/(1+'General inputs'!$H$34)^C57))</f>
        <v/>
      </c>
      <c r="J57" s="110"/>
      <c r="K57" s="110"/>
      <c r="L57" s="81">
        <f>IF(LEFT(D57,4)*1&gt;LEFT('General inputs'!$I$18,4)*1,"",SUMIF('Post-1996 commissioned assets'!$F$22:$F$1500,$D57,'Post-1996 commissioned assets'!$P$22:$P$1500)*(1+$K$34)*(1+$K$35))</f>
        <v>0</v>
      </c>
      <c r="M57" s="81">
        <f>IF(L57="","",L57/(1+'General inputs'!$H$32)^C57)</f>
        <v>0</v>
      </c>
      <c r="N57" s="81" t="str">
        <f>IF(LEFT(D57,4)*1&lt;LEFT('General inputs'!$I$18,4)*1+1,"",SUMIF('Uncommissioned assets'!$F$22:$F$1500,$D57,'Uncommissioned assets'!$P$22:$P$1500))</f>
        <v/>
      </c>
      <c r="O57" s="81" t="str">
        <f>IF(N57="","",N57/(1+'General inputs'!$H$32)^C57)</f>
        <v/>
      </c>
      <c r="Q57" s="86"/>
      <c r="R57" s="81" t="str">
        <f>IF(OR(LEFT(D57,4)*1&lt;LEFT('General inputs'!$I$16,4)*1,LEFT(D57,4)*1&gt;LEFT('General inputs'!$I$16,4)+'General inputs'!$H$38-1),"",Q57/(1+'General inputs'!$H$34)^C57)</f>
        <v/>
      </c>
      <c r="T57" s="86"/>
      <c r="U57" s="81" t="str">
        <f>IF(OR(LEFT(D57,4)*1&lt;LEFT('General inputs'!$I$16,4)*1,LEFT(D57,4)*1&gt;LEFT('General inputs'!$I$16,4)+'General inputs'!$H$38-1),"",T57/(1+'General inputs'!$H$34)^C57)</f>
        <v/>
      </c>
      <c r="V57" s="54"/>
      <c r="X57" s="37"/>
      <c r="Y57" s="37"/>
      <c r="Z57" s="37"/>
    </row>
    <row r="58" spans="2:26" x14ac:dyDescent="0.25">
      <c r="B58" s="53"/>
      <c r="C58" s="28">
        <f>IF(D58='General inputs'!$I$16,0,IF(D58&lt;'General inputs'!$I$16,C59-1,C57+1))</f>
        <v>-8</v>
      </c>
      <c r="D58" s="28" t="str">
        <f t="shared" si="1"/>
        <v>2014-15</v>
      </c>
      <c r="E58" s="81">
        <f>IF(LEFT(D58,4)*1&gt;LEFT('General inputs'!$I$16,4)+'General inputs'!$H$38-1,"",'ET inputs'!D31)</f>
        <v>306.78180713398979</v>
      </c>
      <c r="F58" s="81">
        <f>IF(LEFT(D58,4)*1&gt;LEFT('General inputs'!$I$16,4)+'General inputs'!$H$38-1,"",E58/(1+'General inputs'!$H$30)^C58)</f>
        <v>388.62201479136417</v>
      </c>
      <c r="G58" s="81">
        <f>IF(LEFT(D58,4)*1&gt;LEFT('General inputs'!$I$16,4)+'General inputs'!$H$38-1,"",E58/(1+'General inputs'!$H$32)^C58)</f>
        <v>426.35499276475593</v>
      </c>
      <c r="H58" s="81" t="str">
        <f>IF(LEFT(D58,4)*1&lt;LEFT('General inputs'!$I$16,4)*1,"",IF(LEFT(D58,4)*1&gt;LEFT('General inputs'!$I$16,4)+'General inputs'!$H$38-1,"",E58/(1+'General inputs'!$H$34)^C58))</f>
        <v/>
      </c>
      <c r="J58" s="110"/>
      <c r="K58" s="110"/>
      <c r="L58" s="81">
        <f>IF(LEFT(D58,4)*1&gt;LEFT('General inputs'!$I$18,4)*1,"",SUMIF('Post-1996 commissioned assets'!$F$22:$F$1500,$D58,'Post-1996 commissioned assets'!$P$22:$P$1500)*(1+$K$34)*(1+$K$35))</f>
        <v>0</v>
      </c>
      <c r="M58" s="81">
        <f>IF(L58="","",L58/(1+'General inputs'!$H$32)^C58)</f>
        <v>0</v>
      </c>
      <c r="N58" s="81" t="str">
        <f>IF(LEFT(D58,4)*1&lt;LEFT('General inputs'!$I$18,4)*1+1,"",SUMIF('Uncommissioned assets'!$F$22:$F$1500,$D58,'Uncommissioned assets'!$P$22:$P$1500))</f>
        <v/>
      </c>
      <c r="O58" s="81" t="str">
        <f>IF(N58="","",N58/(1+'General inputs'!$H$32)^C58)</f>
        <v/>
      </c>
      <c r="Q58" s="86"/>
      <c r="R58" s="81" t="str">
        <f>IF(OR(LEFT(D58,4)*1&lt;LEFT('General inputs'!$I$16,4)*1,LEFT(D58,4)*1&gt;LEFT('General inputs'!$I$16,4)+'General inputs'!$H$38-1),"",Q58/(1+'General inputs'!$H$34)^C58)</f>
        <v/>
      </c>
      <c r="T58" s="86"/>
      <c r="U58" s="81" t="str">
        <f>IF(OR(LEFT(D58,4)*1&lt;LEFT('General inputs'!$I$16,4)*1,LEFT(D58,4)*1&gt;LEFT('General inputs'!$I$16,4)+'General inputs'!$H$38-1),"",T58/(1+'General inputs'!$H$34)^C58)</f>
        <v/>
      </c>
      <c r="V58" s="54"/>
      <c r="X58" s="37"/>
      <c r="Y58" s="37"/>
      <c r="Z58" s="37"/>
    </row>
    <row r="59" spans="2:26" x14ac:dyDescent="0.25">
      <c r="B59" s="53"/>
      <c r="C59" s="28">
        <f>IF(D59='General inputs'!$I$16,0,IF(D59&lt;'General inputs'!$I$16,C60-1,C58+1))</f>
        <v>-7</v>
      </c>
      <c r="D59" s="28" t="str">
        <f t="shared" si="1"/>
        <v>2015-16</v>
      </c>
      <c r="E59" s="81">
        <f>IF(LEFT(D59,4)*1&gt;LEFT('General inputs'!$I$16,4)+'General inputs'!$H$38-1,"",'ET inputs'!D32)</f>
        <v>901.52146423549732</v>
      </c>
      <c r="F59" s="81">
        <f>IF(LEFT(D59,4)*1&gt;LEFT('General inputs'!$I$16,4)+'General inputs'!$H$38-1,"",E59/(1+'General inputs'!$H$30)^C59)</f>
        <v>1108.7576879827998</v>
      </c>
      <c r="G59" s="81">
        <f>IF(LEFT(D59,4)*1&gt;LEFT('General inputs'!$I$16,4)+'General inputs'!$H$38-1,"",E59/(1+'General inputs'!$H$32)^C59)</f>
        <v>1202.403146333213</v>
      </c>
      <c r="H59" s="81" t="str">
        <f>IF(LEFT(D59,4)*1&lt;LEFT('General inputs'!$I$16,4)*1,"",IF(LEFT(D59,4)*1&gt;LEFT('General inputs'!$I$16,4)+'General inputs'!$H$38-1,"",E59/(1+'General inputs'!$H$34)^C59))</f>
        <v/>
      </c>
      <c r="J59" s="110"/>
      <c r="K59" s="110"/>
      <c r="L59" s="81">
        <f>IF(LEFT(D59,4)*1&gt;LEFT('General inputs'!$I$18,4)*1,"",SUMIF('Post-1996 commissioned assets'!$F$22:$F$1500,$D59,'Post-1996 commissioned assets'!$P$22:$P$1500)*(1+$K$34)*(1+$K$35))</f>
        <v>3063.9256073313454</v>
      </c>
      <c r="M59" s="81">
        <f>IF(L59="","",L59/(1+'General inputs'!$H$32)^C59)</f>
        <v>4086.5070179002964</v>
      </c>
      <c r="N59" s="81" t="str">
        <f>IF(LEFT(D59,4)*1&lt;LEFT('General inputs'!$I$18,4)*1+1,"",SUMIF('Uncommissioned assets'!$F$22:$F$1500,$D59,'Uncommissioned assets'!$P$22:$P$1500))</f>
        <v/>
      </c>
      <c r="O59" s="81" t="str">
        <f>IF(N59="","",N59/(1+'General inputs'!$H$32)^C59)</f>
        <v/>
      </c>
      <c r="Q59" s="86"/>
      <c r="R59" s="81" t="str">
        <f>IF(OR(LEFT(D59,4)*1&lt;LEFT('General inputs'!$I$16,4)*1,LEFT(D59,4)*1&gt;LEFT('General inputs'!$I$16,4)+'General inputs'!$H$38-1),"",Q59/(1+'General inputs'!$H$34)^C59)</f>
        <v/>
      </c>
      <c r="T59" s="86"/>
      <c r="U59" s="81" t="str">
        <f>IF(OR(LEFT(D59,4)*1&lt;LEFT('General inputs'!$I$16,4)*1,LEFT(D59,4)*1&gt;LEFT('General inputs'!$I$16,4)+'General inputs'!$H$38-1),"",T59/(1+'General inputs'!$H$34)^C59)</f>
        <v/>
      </c>
      <c r="V59" s="54"/>
      <c r="X59" s="37"/>
      <c r="Y59" s="37"/>
      <c r="Z59" s="37"/>
    </row>
    <row r="60" spans="2:26" x14ac:dyDescent="0.25">
      <c r="B60" s="53"/>
      <c r="C60" s="28">
        <f>IF(D60='General inputs'!$I$16,0,IF(D60&lt;'General inputs'!$I$16,C61-1,C59+1))</f>
        <v>-6</v>
      </c>
      <c r="D60" s="28" t="str">
        <f t="shared" si="1"/>
        <v>2016-17</v>
      </c>
      <c r="E60" s="81">
        <f>IF(LEFT(D60,4)*1&gt;LEFT('General inputs'!$I$16,4)+'General inputs'!$H$38-1,"",'ET inputs'!D33)</f>
        <v>372.64980041941533</v>
      </c>
      <c r="F60" s="81">
        <f>IF(LEFT(D60,4)*1&gt;LEFT('General inputs'!$I$16,4)+'General inputs'!$H$38-1,"",E60/(1+'General inputs'!$H$30)^C60)</f>
        <v>444.96334999187633</v>
      </c>
      <c r="G60" s="81">
        <f>IF(LEFT(D60,4)*1&gt;LEFT('General inputs'!$I$16,4)+'General inputs'!$H$38-1,"",E60/(1+'General inputs'!$H$32)^C60)</f>
        <v>476.98772926373164</v>
      </c>
      <c r="H60" s="81" t="str">
        <f>IF(LEFT(D60,4)*1&lt;LEFT('General inputs'!$I$16,4)*1,"",IF(LEFT(D60,4)*1&gt;LEFT('General inputs'!$I$16,4)+'General inputs'!$H$38-1,"",E60/(1+'General inputs'!$H$34)^C60))</f>
        <v/>
      </c>
      <c r="J60" s="110"/>
      <c r="K60" s="110"/>
      <c r="L60" s="81">
        <f>IF(LEFT(D60,4)*1&gt;LEFT('General inputs'!$I$18,4)*1,"",SUMIF('Post-1996 commissioned assets'!$F$22:$F$1500,$D60,'Post-1996 commissioned assets'!$P$22:$P$1500)*(1+$K$34)*(1+$K$35))</f>
        <v>0</v>
      </c>
      <c r="M60" s="81">
        <f>IF(L60="","",L60/(1+'General inputs'!$H$32)^C60)</f>
        <v>0</v>
      </c>
      <c r="N60" s="81" t="str">
        <f>IF(LEFT(D60,4)*1&lt;LEFT('General inputs'!$I$18,4)*1+1,"",SUMIF('Uncommissioned assets'!$F$22:$F$1500,$D60,'Uncommissioned assets'!$P$22:$P$1500))</f>
        <v/>
      </c>
      <c r="O60" s="81" t="str">
        <f>IF(N60="","",N60/(1+'General inputs'!$H$32)^C60)</f>
        <v/>
      </c>
      <c r="Q60" s="86"/>
      <c r="R60" s="81" t="str">
        <f>IF(OR(LEFT(D60,4)*1&lt;LEFT('General inputs'!$I$16,4)*1,LEFT(D60,4)*1&gt;LEFT('General inputs'!$I$16,4)+'General inputs'!$H$38-1),"",Q60/(1+'General inputs'!$H$34)^C60)</f>
        <v/>
      </c>
      <c r="T60" s="86"/>
      <c r="U60" s="81" t="str">
        <f>IF(OR(LEFT(D60,4)*1&lt;LEFT('General inputs'!$I$16,4)*1,LEFT(D60,4)*1&gt;LEFT('General inputs'!$I$16,4)+'General inputs'!$H$38-1),"",T60/(1+'General inputs'!$H$34)^C60)</f>
        <v/>
      </c>
      <c r="V60" s="54"/>
      <c r="X60" s="37"/>
      <c r="Y60" s="37"/>
      <c r="Z60" s="37"/>
    </row>
    <row r="61" spans="2:26" x14ac:dyDescent="0.25">
      <c r="B61" s="53"/>
      <c r="C61" s="28">
        <f>IF(D61='General inputs'!$I$16,0,IF(D61&lt;'General inputs'!$I$16,C62-1,C60+1))</f>
        <v>-5</v>
      </c>
      <c r="D61" s="28" t="str">
        <f t="shared" si="1"/>
        <v>2017-18</v>
      </c>
      <c r="E61" s="81">
        <f>IF(LEFT(D61,4)*1&gt;LEFT('General inputs'!$I$16,4)+'General inputs'!$H$38-1,"",'ET inputs'!D34)</f>
        <v>1018.857199805665</v>
      </c>
      <c r="F61" s="81">
        <f>IF(LEFT(D61,4)*1&gt;LEFT('General inputs'!$I$16,4)+'General inputs'!$H$38-1,"",E61/(1+'General inputs'!$H$30)^C61)</f>
        <v>1181.1347371486022</v>
      </c>
      <c r="G61" s="81">
        <f>IF(LEFT(D61,4)*1&gt;LEFT('General inputs'!$I$16,4)+'General inputs'!$H$38-1,"",E61/(1+'General inputs'!$H$32)^C61)</f>
        <v>1251.5606887166878</v>
      </c>
      <c r="H61" s="81" t="str">
        <f>IF(LEFT(D61,4)*1&lt;LEFT('General inputs'!$I$16,4)*1,"",IF(LEFT(D61,4)*1&gt;LEFT('General inputs'!$I$16,4)+'General inputs'!$H$38-1,"",E61/(1+'General inputs'!$H$34)^C61))</f>
        <v/>
      </c>
      <c r="J61" s="110"/>
      <c r="K61" s="110"/>
      <c r="L61" s="81">
        <f>IF(LEFT(D61,4)*1&gt;LEFT('General inputs'!$I$18,4)*1,"",SUMIF('Post-1996 commissioned assets'!$F$22:$F$1500,$D61,'Post-1996 commissioned assets'!$P$22:$P$1500)*(1+$K$34)*(1+$K$35))</f>
        <v>0</v>
      </c>
      <c r="M61" s="81">
        <f>IF(L61="","",L61/(1+'General inputs'!$H$32)^C61)</f>
        <v>0</v>
      </c>
      <c r="N61" s="81" t="str">
        <f>IF(LEFT(D61,4)*1&lt;LEFT('General inputs'!$I$18,4)*1+1,"",SUMIF('Uncommissioned assets'!$F$22:$F$1500,$D61,'Uncommissioned assets'!$P$22:$P$1500))</f>
        <v/>
      </c>
      <c r="O61" s="81" t="str">
        <f>IF(N61="","",N61/(1+'General inputs'!$H$32)^C61)</f>
        <v/>
      </c>
      <c r="Q61" s="86"/>
      <c r="R61" s="81" t="str">
        <f>IF(OR(LEFT(D61,4)*1&lt;LEFT('General inputs'!$I$16,4)*1,LEFT(D61,4)*1&gt;LEFT('General inputs'!$I$16,4)+'General inputs'!$H$38-1),"",Q61/(1+'General inputs'!$H$34)^C61)</f>
        <v/>
      </c>
      <c r="T61" s="86"/>
      <c r="U61" s="81" t="str">
        <f>IF(OR(LEFT(D61,4)*1&lt;LEFT('General inputs'!$I$16,4)*1,LEFT(D61,4)*1&gt;LEFT('General inputs'!$I$16,4)+'General inputs'!$H$38-1),"",T61/(1+'General inputs'!$H$34)^C61)</f>
        <v/>
      </c>
      <c r="V61" s="54"/>
    </row>
    <row r="62" spans="2:26" x14ac:dyDescent="0.25">
      <c r="B62" s="53"/>
      <c r="C62" s="28">
        <f>IF(D62='General inputs'!$I$16,0,IF(D62&lt;'General inputs'!$I$16,C63-1,C61+1))</f>
        <v>-4</v>
      </c>
      <c r="D62" s="28" t="str">
        <f t="shared" si="1"/>
        <v>2018-19</v>
      </c>
      <c r="E62" s="81">
        <f>IF(LEFT(D62,4)*1&gt;LEFT('General inputs'!$I$16,4)+'General inputs'!$H$38-1,"",'ET inputs'!D35)</f>
        <v>524.338281340967</v>
      </c>
      <c r="F62" s="81">
        <f>IF(LEFT(D62,4)*1&gt;LEFT('General inputs'!$I$16,4)+'General inputs'!$H$38-1,"",E62/(1+'General inputs'!$H$30)^C62)</f>
        <v>590.14735506951695</v>
      </c>
      <c r="G62" s="81">
        <f>IF(LEFT(D62,4)*1&gt;LEFT('General inputs'!$I$16,4)+'General inputs'!$H$38-1,"",E62/(1+'General inputs'!$H$32)^C62)</f>
        <v>618.13372925564715</v>
      </c>
      <c r="H62" s="81" t="str">
        <f>IF(LEFT(D62,4)*1&lt;LEFT('General inputs'!$I$16,4)*1,"",IF(LEFT(D62,4)*1&gt;LEFT('General inputs'!$I$16,4)+'General inputs'!$H$38-1,"",E62/(1+'General inputs'!$H$34)^C62))</f>
        <v/>
      </c>
      <c r="J62" s="110"/>
      <c r="K62" s="110"/>
      <c r="L62" s="81">
        <f>IF(LEFT(D62,4)*1&gt;LEFT('General inputs'!$I$18,4)*1,"",SUMIF('Post-1996 commissioned assets'!$F$22:$F$1500,$D62,'Post-1996 commissioned assets'!$P$22:$P$1500)*(1+$K$34)*(1+$K$35))</f>
        <v>0</v>
      </c>
      <c r="M62" s="81">
        <f>IF(L62="","",L62/(1+'General inputs'!$H$32)^C62)</f>
        <v>0</v>
      </c>
      <c r="N62" s="81" t="str">
        <f>IF(LEFT(D62,4)*1&lt;LEFT('General inputs'!$I$18,4)*1+1,"",SUMIF('Uncommissioned assets'!$F$22:$F$1500,$D62,'Uncommissioned assets'!$P$22:$P$1500))</f>
        <v/>
      </c>
      <c r="O62" s="81" t="str">
        <f>IF(N62="","",N62/(1+'General inputs'!$H$32)^C62)</f>
        <v/>
      </c>
      <c r="Q62" s="86"/>
      <c r="R62" s="81" t="str">
        <f>IF(OR(LEFT(D62,4)*1&lt;LEFT('General inputs'!$I$16,4)*1,LEFT(D62,4)*1&gt;LEFT('General inputs'!$I$16,4)+'General inputs'!$H$38-1),"",Q62/(1+'General inputs'!$H$34)^C62)</f>
        <v/>
      </c>
      <c r="T62" s="86"/>
      <c r="U62" s="81" t="str">
        <f>IF(OR(LEFT(D62,4)*1&lt;LEFT('General inputs'!$I$16,4)*1,LEFT(D62,4)*1&gt;LEFT('General inputs'!$I$16,4)+'General inputs'!$H$38-1),"",T62/(1+'General inputs'!$H$34)^C62)</f>
        <v/>
      </c>
      <c r="V62" s="54"/>
    </row>
    <row r="63" spans="2:26" x14ac:dyDescent="0.25">
      <c r="B63" s="53"/>
      <c r="C63" s="28">
        <f>IF(D63='General inputs'!$I$16,0,IF(D63&lt;'General inputs'!$I$16,C64-1,C62+1))</f>
        <v>-3</v>
      </c>
      <c r="D63" s="28" t="str">
        <f t="shared" si="1"/>
        <v>2019-20</v>
      </c>
      <c r="E63" s="81">
        <f>IF(LEFT(D63,4)*1&gt;LEFT('General inputs'!$I$16,4)+'General inputs'!$H$38-1,"",'ET inputs'!D36)</f>
        <v>195.30790219409693</v>
      </c>
      <c r="F63" s="81">
        <f>IF(LEFT(D63,4)*1&gt;LEFT('General inputs'!$I$16,4)+'General inputs'!$H$38-1,"",E63/(1+'General inputs'!$H$30)^C63)</f>
        <v>213.41821804084896</v>
      </c>
      <c r="G63" s="81">
        <f>IF(LEFT(D63,4)*1&gt;LEFT('General inputs'!$I$16,4)+'General inputs'!$H$38-1,"",E63/(1+'General inputs'!$H$32)^C63)</f>
        <v>220.96473726082212</v>
      </c>
      <c r="H63" s="81" t="str">
        <f>IF(LEFT(D63,4)*1&lt;LEFT('General inputs'!$I$16,4)*1,"",IF(LEFT(D63,4)*1&gt;LEFT('General inputs'!$I$16,4)+'General inputs'!$H$38-1,"",E63/(1+'General inputs'!$H$34)^C63))</f>
        <v/>
      </c>
      <c r="J63" s="110"/>
      <c r="K63" s="110"/>
      <c r="L63" s="81">
        <f>IF(LEFT(D63,4)*1&gt;LEFT('General inputs'!$I$18,4)*1,"",SUMIF('Post-1996 commissioned assets'!$F$22:$F$1500,$D63,'Post-1996 commissioned assets'!$P$22:$P$1500)*(1+$K$34)*(1+$K$35))</f>
        <v>0</v>
      </c>
      <c r="M63" s="81">
        <f>IF(L63="","",L63/(1+'General inputs'!$H$32)^C63)</f>
        <v>0</v>
      </c>
      <c r="N63" s="81" t="str">
        <f>IF(LEFT(D63,4)*1&lt;LEFT('General inputs'!$I$18,4)*1+1,"",SUMIF('Uncommissioned assets'!$F$22:$F$1500,$D63,'Uncommissioned assets'!$P$22:$P$1500))</f>
        <v/>
      </c>
      <c r="O63" s="81" t="str">
        <f>IF(N63="","",N63/(1+'General inputs'!$H$32)^C63)</f>
        <v/>
      </c>
      <c r="Q63" s="86"/>
      <c r="R63" s="81" t="str">
        <f>IF(OR(LEFT(D63,4)*1&lt;LEFT('General inputs'!$I$16,4)*1,LEFT(D63,4)*1&gt;LEFT('General inputs'!$I$16,4)+'General inputs'!$H$38-1),"",Q63/(1+'General inputs'!$H$34)^C63)</f>
        <v/>
      </c>
      <c r="T63" s="86"/>
      <c r="U63" s="81" t="str">
        <f>IF(OR(LEFT(D63,4)*1&lt;LEFT('General inputs'!$I$16,4)*1,LEFT(D63,4)*1&gt;LEFT('General inputs'!$I$16,4)+'General inputs'!$H$38-1),"",T63/(1+'General inputs'!$H$34)^C63)</f>
        <v/>
      </c>
      <c r="V63" s="54"/>
    </row>
    <row r="64" spans="2:26" x14ac:dyDescent="0.25">
      <c r="B64" s="53"/>
      <c r="C64" s="28">
        <f>IF(D64='General inputs'!$I$16,0,IF(D64&lt;'General inputs'!$I$16,C65-1,C63+1))</f>
        <v>-2</v>
      </c>
      <c r="D64" s="28" t="str">
        <f t="shared" si="1"/>
        <v>2020-21</v>
      </c>
      <c r="E64" s="81">
        <f>IF(LEFT(D64,4)*1&gt;LEFT('General inputs'!$I$16,4)+'General inputs'!$H$38-1,"",'ET inputs'!D37)</f>
        <v>174.42533674634018</v>
      </c>
      <c r="F64" s="81">
        <f>IF(LEFT(D64,4)*1&gt;LEFT('General inputs'!$I$16,4)+'General inputs'!$H$38-1,"",E64/(1+'General inputs'!$H$30)^C64)</f>
        <v>185.0478397541923</v>
      </c>
      <c r="G64" s="81">
        <f>IF(LEFT(D64,4)*1&gt;LEFT('General inputs'!$I$16,4)+'General inputs'!$H$38-1,"",E64/(1+'General inputs'!$H$32)^C64)</f>
        <v>189.38475132705332</v>
      </c>
      <c r="H64" s="81" t="str">
        <f>IF(LEFT(D64,4)*1&lt;LEFT('General inputs'!$I$16,4)*1,"",IF(LEFT(D64,4)*1&gt;LEFT('General inputs'!$I$16,4)+'General inputs'!$H$38-1,"",E64/(1+'General inputs'!$H$34)^C64))</f>
        <v/>
      </c>
      <c r="J64" s="110"/>
      <c r="K64" s="110"/>
      <c r="L64" s="81">
        <f>IF(LEFT(D64,4)*1&gt;LEFT('General inputs'!$I$18,4)*1,"",SUMIF('Post-1996 commissioned assets'!$F$22:$F$1500,$D64,'Post-1996 commissioned assets'!$P$22:$P$1500)*(1+$K$34)*(1+$K$35))</f>
        <v>0</v>
      </c>
      <c r="M64" s="81">
        <f>IF(L64="","",L64/(1+'General inputs'!$H$32)^C64)</f>
        <v>0</v>
      </c>
      <c r="N64" s="81" t="str">
        <f>IF(LEFT(D64,4)*1&lt;LEFT('General inputs'!$I$18,4)*1+1,"",SUMIF('Uncommissioned assets'!$F$22:$F$1500,$D64,'Uncommissioned assets'!$P$22:$P$1500))</f>
        <v/>
      </c>
      <c r="O64" s="81" t="str">
        <f>IF(N64="","",N64/(1+'General inputs'!$H$32)^C64)</f>
        <v/>
      </c>
      <c r="Q64" s="86"/>
      <c r="R64" s="81" t="str">
        <f>IF(OR(LEFT(D64,4)*1&lt;LEFT('General inputs'!$I$16,4)*1,LEFT(D64,4)*1&gt;LEFT('General inputs'!$I$16,4)+'General inputs'!$H$38-1),"",Q64/(1+'General inputs'!$H$34)^C64)</f>
        <v/>
      </c>
      <c r="T64" s="86"/>
      <c r="U64" s="81" t="str">
        <f>IF(OR(LEFT(D64,4)*1&lt;LEFT('General inputs'!$I$16,4)*1,LEFT(D64,4)*1&gt;LEFT('General inputs'!$I$16,4)+'General inputs'!$H$38-1),"",T64/(1+'General inputs'!$H$34)^C64)</f>
        <v/>
      </c>
      <c r="V64" s="54"/>
    </row>
    <row r="65" spans="2:22" x14ac:dyDescent="0.25">
      <c r="B65" s="53"/>
      <c r="C65" s="28">
        <f>IF(D65='General inputs'!$I$16,0,IF(D65&lt;'General inputs'!$I$16,C66-1,C64+1))</f>
        <v>-1</v>
      </c>
      <c r="D65" s="28" t="str">
        <f t="shared" si="1"/>
        <v>2021-22</v>
      </c>
      <c r="E65" s="81">
        <f>IF(LEFT(D65,4)*1&gt;LEFT('General inputs'!$I$16,4)+'General inputs'!$H$38-1,"",'ET inputs'!D38)</f>
        <v>158.53018951404718</v>
      </c>
      <c r="F65" s="81">
        <f>IF(LEFT(D65,4)*1&gt;LEFT('General inputs'!$I$16,4)+'General inputs'!$H$38-1,"",E65/(1+'General inputs'!$H$30)^C65)</f>
        <v>163.2860951994686</v>
      </c>
      <c r="G65" s="81">
        <f>IF(LEFT(D65,4)*1&gt;LEFT('General inputs'!$I$16,4)+'General inputs'!$H$38-1,"",E65/(1+'General inputs'!$H$32)^C65)</f>
        <v>165.18845747363716</v>
      </c>
      <c r="H65" s="81" t="str">
        <f>IF(LEFT(D65,4)*1&lt;LEFT('General inputs'!$I$16,4)*1,"",IF(LEFT(D65,4)*1&gt;LEFT('General inputs'!$I$16,4)+'General inputs'!$H$38-1,"",E65/(1+'General inputs'!$H$34)^C65))</f>
        <v/>
      </c>
      <c r="J65" s="110"/>
      <c r="K65" s="110"/>
      <c r="L65" s="81" t="str">
        <f>IF(LEFT(D65,4)*1&gt;LEFT('General inputs'!$I$18,4)*1,"",SUMIF('Post-1996 commissioned assets'!$F$22:$F$1500,$D65,'Post-1996 commissioned assets'!$P$22:$P$1500)*(1+$K$34)*(1+$K$35))</f>
        <v/>
      </c>
      <c r="M65" s="81" t="str">
        <f>IF(L65="","",L65/(1+'General inputs'!$H$32)^C65)</f>
        <v/>
      </c>
      <c r="N65" s="81">
        <f>IF(LEFT(D65,4)*1&lt;LEFT('General inputs'!$I$18,4)*1+1,"",SUMIF('Uncommissioned assets'!$F$22:$F$1500,$D65,'Uncommissioned assets'!$P$22:$P$1500))</f>
        <v>0</v>
      </c>
      <c r="O65" s="81">
        <f>IF(N65="","",N65/(1+'General inputs'!$H$32)^C65)</f>
        <v>0</v>
      </c>
      <c r="Q65" s="86"/>
      <c r="R65" s="81" t="str">
        <f>IF(OR(LEFT(D65,4)*1&lt;LEFT('General inputs'!$I$16,4)*1,LEFT(D65,4)*1&gt;LEFT('General inputs'!$I$16,4)+'General inputs'!$H$38-1),"",Q65/(1+'General inputs'!$H$34)^C65)</f>
        <v/>
      </c>
      <c r="T65" s="86"/>
      <c r="U65" s="81" t="str">
        <f>IF(OR(LEFT(D65,4)*1&lt;LEFT('General inputs'!$I$16,4)*1,LEFT(D65,4)*1&gt;LEFT('General inputs'!$I$16,4)+'General inputs'!$H$38-1),"",T65/(1+'General inputs'!$H$34)^C65)</f>
        <v/>
      </c>
      <c r="V65" s="54"/>
    </row>
    <row r="66" spans="2:22" x14ac:dyDescent="0.25">
      <c r="B66" s="53"/>
      <c r="C66" s="28">
        <f>IF(D66='General inputs'!$I$16,0,IF(D66&lt;'General inputs'!$I$16,C67-1,C65+1))</f>
        <v>0</v>
      </c>
      <c r="D66" s="28" t="str">
        <f t="shared" si="1"/>
        <v>2022-23</v>
      </c>
      <c r="E66" s="81">
        <f>IF(LEFT(D66,4)*1&gt;LEFT('General inputs'!$I$16,4)+'General inputs'!$H$38-1,"",'ET inputs'!D39)</f>
        <v>94.677461606481117</v>
      </c>
      <c r="F66" s="81">
        <f>IF(LEFT(D66,4)*1&gt;LEFT('General inputs'!$I$16,4)+'General inputs'!$H$38-1,"",E66/(1+'General inputs'!$H$30)^C66)</f>
        <v>94.677461606481117</v>
      </c>
      <c r="G66" s="81">
        <f>IF(LEFT(D66,4)*1&gt;LEFT('General inputs'!$I$16,4)+'General inputs'!$H$38-1,"",E66/(1+'General inputs'!$H$32)^C66)</f>
        <v>94.677461606481117</v>
      </c>
      <c r="H66" s="81">
        <f>IF(LEFT(D66,4)*1&lt;LEFT('General inputs'!$I$16,4)*1,"",IF(LEFT(D66,4)*1&gt;LEFT('General inputs'!$I$16,4)+'General inputs'!$H$38-1,"",E66/(1+'General inputs'!$H$34)^C66))</f>
        <v>94.677461606481117</v>
      </c>
      <c r="J66" s="110"/>
      <c r="K66" s="110"/>
      <c r="L66" s="81" t="str">
        <f>IF(LEFT(D66,4)*1&gt;LEFT('General inputs'!$I$18,4)*1,"",SUMIF('Post-1996 commissioned assets'!$F$22:$F$1500,$D66,'Post-1996 commissioned assets'!$P$22:$P$1500)*(1+$K$34)*(1+$K$35))</f>
        <v/>
      </c>
      <c r="M66" s="81" t="str">
        <f>IF(L66="","",L66/(1+'General inputs'!$H$32)^C66)</f>
        <v/>
      </c>
      <c r="N66" s="81">
        <f>IF(LEFT(D66,4)*1&lt;LEFT('General inputs'!$I$18,4)*1+1,"",SUMIF('Uncommissioned assets'!$F$22:$F$1500,$D66,'Uncommissioned assets'!$P$22:$P$1500))</f>
        <v>0</v>
      </c>
      <c r="O66" s="81">
        <f>IF(N66="","",N66/(1+'General inputs'!$H$32)^C66)</f>
        <v>0</v>
      </c>
      <c r="Q66" s="86">
        <f>'Reduction amount'!M38</f>
        <v>11555.825329904805</v>
      </c>
      <c r="R66" s="81">
        <f>IF(OR(LEFT(D66,4)*1&lt;LEFT('General inputs'!$I$16,4)*1,LEFT(D66,4)*1&gt;LEFT('General inputs'!$I$16,4)+'General inputs'!$H$38-1),"",Q66/(1+'General inputs'!$H$34)^C66)</f>
        <v>11555.825329904805</v>
      </c>
      <c r="T66" s="86">
        <f>'Reduction amount'!H38</f>
        <v>-38327.267079646219</v>
      </c>
      <c r="U66" s="81">
        <f>IF(OR(LEFT(D66,4)*1&lt;LEFT('General inputs'!$I$16,4)*1,LEFT(D66,4)*1&gt;LEFT('General inputs'!$I$16,4)+'General inputs'!$H$38-1),"",T66/(1+'General inputs'!$H$34)^C66)</f>
        <v>-38327.267079646219</v>
      </c>
      <c r="V66" s="54"/>
    </row>
    <row r="67" spans="2:22" x14ac:dyDescent="0.25">
      <c r="B67" s="53"/>
      <c r="C67" s="28">
        <f>IF(D67='General inputs'!$I$16,0,IF(D67&lt;'General inputs'!$I$16,C68-1,C66+1))</f>
        <v>1</v>
      </c>
      <c r="D67" s="28" t="str">
        <f t="shared" si="1"/>
        <v>2023-24</v>
      </c>
      <c r="E67" s="81">
        <f>IF(LEFT(D67,4)*1&gt;LEFT('General inputs'!$I$16,4)+'General inputs'!$H$38-1,"",'ET inputs'!D40)</f>
        <v>151.7601883114034</v>
      </c>
      <c r="F67" s="81">
        <f>IF(LEFT(D67,4)*1&gt;LEFT('General inputs'!$I$16,4)+'General inputs'!$H$38-1,"",E67/(1+'General inputs'!$H$30)^C67)</f>
        <v>147.33998865184796</v>
      </c>
      <c r="G67" s="81">
        <f>IF(LEFT(D67,4)*1&gt;LEFT('General inputs'!$I$16,4)+'General inputs'!$H$38-1,"",E67/(1+'General inputs'!$H$32)^C67)</f>
        <v>145.64317496295911</v>
      </c>
      <c r="H67" s="81">
        <f>IF(LEFT(D67,4)*1&lt;LEFT('General inputs'!$I$16,4)*1,"",IF(LEFT(D67,4)*1&gt;LEFT('General inputs'!$I$16,4)+'General inputs'!$H$38-1,"",E67/(1+'General inputs'!$H$34)^C67))</f>
        <v>145.64317496295911</v>
      </c>
      <c r="J67" s="110"/>
      <c r="K67" s="110"/>
      <c r="L67" s="81" t="str">
        <f>IF(LEFT(D67,4)*1&gt;LEFT('General inputs'!$I$18,4)*1,"",SUMIF('Post-1996 commissioned assets'!$F$22:$F$1500,$D67,'Post-1996 commissioned assets'!$P$22:$P$1500)*(1+$K$34)*(1+$K$35))</f>
        <v/>
      </c>
      <c r="M67" s="81" t="str">
        <f>IF(L67="","",L67/(1+'General inputs'!$H$32)^C67)</f>
        <v/>
      </c>
      <c r="N67" s="81">
        <f>IF(LEFT(D67,4)*1&lt;LEFT('General inputs'!$I$18,4)*1+1,"",SUMIF('Uncommissioned assets'!$F$22:$F$1500,$D67,'Uncommissioned assets'!$P$22:$P$1500))</f>
        <v>0</v>
      </c>
      <c r="O67" s="81">
        <f>IF(N67="","",N67/(1+'General inputs'!$H$32)^C67)</f>
        <v>0</v>
      </c>
      <c r="Q67" s="86">
        <f>'Reduction amount'!M39</f>
        <v>50552.426546392744</v>
      </c>
      <c r="R67" s="81">
        <f>IF(OR(LEFT(D67,4)*1&lt;LEFT('General inputs'!$I$16,4)*1,LEFT(D67,4)*1&gt;LEFT('General inputs'!$I$16,4)+'General inputs'!$H$38-1),"",Q67/(1+'General inputs'!$H$34)^C67)</f>
        <v>48514.804747017988</v>
      </c>
      <c r="T67" s="86">
        <f>'Reduction amount'!H39</f>
        <v>-41958.41889545248</v>
      </c>
      <c r="U67" s="81">
        <f>IF(OR(LEFT(D67,4)*1&lt;LEFT('General inputs'!$I$16,4)*1,LEFT(D67,4)*1&gt;LEFT('General inputs'!$I$16,4)+'General inputs'!$H$38-1),"",T67/(1+'General inputs'!$H$34)^C67)</f>
        <v>-40267.196636710629</v>
      </c>
      <c r="V67" s="54"/>
    </row>
    <row r="68" spans="2:22" x14ac:dyDescent="0.25">
      <c r="B68" s="53"/>
      <c r="C68" s="28">
        <f>IF(D68='General inputs'!$I$16,0,IF(D68&lt;'General inputs'!$I$16,C69-1,C67+1))</f>
        <v>2</v>
      </c>
      <c r="D68" s="28" t="str">
        <f t="shared" si="1"/>
        <v>2024-25</v>
      </c>
      <c r="E68" s="81">
        <f>IF(LEFT(D68,4)*1&gt;LEFT('General inputs'!$I$16,4)+'General inputs'!$H$38-1,"",'ET inputs'!D41)</f>
        <v>129.93778298455521</v>
      </c>
      <c r="F68" s="81">
        <f>IF(LEFT(D68,4)*1&gt;LEFT('General inputs'!$I$16,4)+'General inputs'!$H$38-1,"",E68/(1+'General inputs'!$H$30)^C68)</f>
        <v>122.47882268315131</v>
      </c>
      <c r="G68" s="81">
        <f>IF(LEFT(D68,4)*1&gt;LEFT('General inputs'!$I$16,4)+'General inputs'!$H$38-1,"",E68/(1+'General inputs'!$H$32)^C68)</f>
        <v>119.6740571473683</v>
      </c>
      <c r="H68" s="81">
        <f>IF(LEFT(D68,4)*1&lt;LEFT('General inputs'!$I$16,4)*1,"",IF(LEFT(D68,4)*1&gt;LEFT('General inputs'!$I$16,4)+'General inputs'!$H$38-1,"",E68/(1+'General inputs'!$H$34)^C68))</f>
        <v>119.6740571473683</v>
      </c>
      <c r="J68" s="110"/>
      <c r="K68" s="110"/>
      <c r="L68" s="81" t="str">
        <f>IF(LEFT(D68,4)*1&gt;LEFT('General inputs'!$I$18,4)*1,"",SUMIF('Post-1996 commissioned assets'!$F$22:$F$1500,$D68,'Post-1996 commissioned assets'!$P$22:$P$1500)*(1+$K$34)*(1+$K$35))</f>
        <v/>
      </c>
      <c r="M68" s="81" t="str">
        <f>IF(L68="","",L68/(1+'General inputs'!$H$32)^C68)</f>
        <v/>
      </c>
      <c r="N68" s="81">
        <f>IF(LEFT(D68,4)*1&lt;LEFT('General inputs'!$I$18,4)*1+1,"",SUMIF('Uncommissioned assets'!$F$22:$F$1500,$D68,'Uncommissioned assets'!$P$22:$P$1500))</f>
        <v>0</v>
      </c>
      <c r="O68" s="81">
        <f>IF(N68="","",N68/(1+'General inputs'!$H$32)^C68)</f>
        <v>0</v>
      </c>
      <c r="Q68" s="86">
        <f>'Reduction amount'!M40</f>
        <v>83019.891610549588</v>
      </c>
      <c r="R68" s="81">
        <f>IF(OR(LEFT(D68,4)*1&lt;LEFT('General inputs'!$I$16,4)*1,LEFT(D68,4)*1&gt;LEFT('General inputs'!$I$16,4)+'General inputs'!$H$38-1),"",Q68/(1+'General inputs'!$H$34)^C68)</f>
        <v>76462.188477928517</v>
      </c>
      <c r="T68" s="86">
        <f>'Reduction amount'!H40</f>
        <v>-33773.069989831682</v>
      </c>
      <c r="U68" s="81">
        <f>IF(OR(LEFT(D68,4)*1&lt;LEFT('General inputs'!$I$16,4)*1,LEFT(D68,4)*1&gt;LEFT('General inputs'!$I$16,4)+'General inputs'!$H$38-1),"",T68/(1+'General inputs'!$H$34)^C68)</f>
        <v>-31105.350692997443</v>
      </c>
      <c r="V68" s="54"/>
    </row>
    <row r="69" spans="2:22" x14ac:dyDescent="0.25">
      <c r="B69" s="53"/>
      <c r="C69" s="28">
        <f>IF(D69='General inputs'!$I$16,0,IF(D69&lt;'General inputs'!$I$16,C70-1,C68+1))</f>
        <v>3</v>
      </c>
      <c r="D69" s="28" t="str">
        <f t="shared" si="1"/>
        <v>2025-26</v>
      </c>
      <c r="E69" s="81">
        <f>IF(LEFT(D69,4)*1&gt;LEFT('General inputs'!$I$16,4)+'General inputs'!$H$38-1,"",'ET inputs'!D42)</f>
        <v>580.16548663980313</v>
      </c>
      <c r="F69" s="81">
        <f>IF(LEFT(D69,4)*1&gt;LEFT('General inputs'!$I$16,4)+'General inputs'!$H$38-1,"",E69/(1+'General inputs'!$H$30)^C69)</f>
        <v>530.93360614298274</v>
      </c>
      <c r="G69" s="81">
        <f>IF(LEFT(D69,4)*1&gt;LEFT('General inputs'!$I$16,4)+'General inputs'!$H$38-1,"",E69/(1+'General inputs'!$H$32)^C69)</f>
        <v>512.80084562672789</v>
      </c>
      <c r="H69" s="81">
        <f>IF(LEFT(D69,4)*1&lt;LEFT('General inputs'!$I$16,4)*1,"",IF(LEFT(D69,4)*1&gt;LEFT('General inputs'!$I$16,4)+'General inputs'!$H$38-1,"",E69/(1+'General inputs'!$H$34)^C69))</f>
        <v>512.80084562672789</v>
      </c>
      <c r="J69" s="110"/>
      <c r="K69" s="110"/>
      <c r="L69" s="81" t="str">
        <f>IF(LEFT(D69,4)*1&gt;LEFT('General inputs'!$I$18,4)*1,"",SUMIF('Post-1996 commissioned assets'!$F$22:$F$1500,$D69,'Post-1996 commissioned assets'!$P$22:$P$1500)*(1+$K$34)*(1+$K$35))</f>
        <v/>
      </c>
      <c r="M69" s="81" t="str">
        <f>IF(L69="","",L69/(1+'General inputs'!$H$32)^C69)</f>
        <v/>
      </c>
      <c r="N69" s="81">
        <f>IF(LEFT(D69,4)*1&lt;LEFT('General inputs'!$I$18,4)*1+1,"",SUMIF('Uncommissioned assets'!$F$22:$F$1500,$D69,'Uncommissioned assets'!$P$22:$P$1500))</f>
        <v>0</v>
      </c>
      <c r="O69" s="81">
        <f>IF(N69="","",N69/(1+'General inputs'!$H$32)^C69)</f>
        <v>0</v>
      </c>
      <c r="Q69" s="86">
        <f>'Reduction amount'!M41</f>
        <v>233273.64221215056</v>
      </c>
      <c r="R69" s="81">
        <f>IF(OR(LEFT(D69,4)*1&lt;LEFT('General inputs'!$I$16,4)*1,LEFT(D69,4)*1&gt;LEFT('General inputs'!$I$16,4)+'General inputs'!$H$38-1),"",Q69/(1+'General inputs'!$H$34)^C69)</f>
        <v>206187.58568636759</v>
      </c>
      <c r="T69" s="86">
        <f>'Reduction amount'!H41</f>
        <v>69762.17259581192</v>
      </c>
      <c r="U69" s="81">
        <f>IF(OR(LEFT(D69,4)*1&lt;LEFT('General inputs'!$I$16,4)*1,LEFT(D69,4)*1&gt;LEFT('General inputs'!$I$16,4)+'General inputs'!$H$38-1),"",T69/(1+'General inputs'!$H$34)^C69)</f>
        <v>61661.89117364803</v>
      </c>
      <c r="V69" s="54"/>
    </row>
    <row r="70" spans="2:22" x14ac:dyDescent="0.25">
      <c r="B70" s="53"/>
      <c r="C70" s="28">
        <f>IF(D70='General inputs'!$I$16,0,IF(D70&lt;'General inputs'!$I$16,C71-1,C69+1))</f>
        <v>4</v>
      </c>
      <c r="D70" s="28" t="str">
        <f t="shared" si="1"/>
        <v>2026-27</v>
      </c>
      <c r="E70" s="81">
        <f>IF(LEFT(D70,4)*1&gt;LEFT('General inputs'!$I$16,4)+'General inputs'!$H$38-1,"",'ET inputs'!D43)</f>
        <v>580.16548663980313</v>
      </c>
      <c r="F70" s="81">
        <f>IF(LEFT(D70,4)*1&gt;LEFT('General inputs'!$I$16,4)+'General inputs'!$H$38-1,"",E70/(1+'General inputs'!$H$30)^C70)</f>
        <v>515.46952052716779</v>
      </c>
      <c r="G70" s="81">
        <f>IF(LEFT(D70,4)*1&gt;LEFT('General inputs'!$I$16,4)+'General inputs'!$H$38-1,"",E70/(1+'General inputs'!$H$32)^C70)</f>
        <v>492.13132977613031</v>
      </c>
      <c r="H70" s="81">
        <f>IF(LEFT(D70,4)*1&lt;LEFT('General inputs'!$I$16,4)*1,"",IF(LEFT(D70,4)*1&gt;LEFT('General inputs'!$I$16,4)+'General inputs'!$H$38-1,"",E70/(1+'General inputs'!$H$34)^C70))</f>
        <v>492.13132977613031</v>
      </c>
      <c r="J70" s="110"/>
      <c r="K70" s="110"/>
      <c r="L70" s="81" t="str">
        <f>IF(LEFT(D70,4)*1&gt;LEFT('General inputs'!$I$18,4)*1,"",SUMIF('Post-1996 commissioned assets'!$F$22:$F$1500,$D70,'Post-1996 commissioned assets'!$P$22:$P$1500)*(1+$K$34)*(1+$K$35))</f>
        <v/>
      </c>
      <c r="M70" s="81" t="str">
        <f>IF(L70="","",L70/(1+'General inputs'!$H$32)^C70)</f>
        <v/>
      </c>
      <c r="N70" s="81">
        <f>IF(LEFT(D70,4)*1&lt;LEFT('General inputs'!$I$18,4)*1+1,"",SUMIF('Uncommissioned assets'!$F$22:$F$1500,$D70,'Uncommissioned assets'!$P$22:$P$1500))</f>
        <v>0</v>
      </c>
      <c r="O70" s="81">
        <f>IF(N70="","",N70/(1+'General inputs'!$H$32)^C70)</f>
        <v>0</v>
      </c>
      <c r="Q70" s="86">
        <f>'Reduction amount'!M42</f>
        <v>385537.46776649298</v>
      </c>
      <c r="R70" s="81">
        <f>IF(OR(LEFT(D70,4)*1&lt;LEFT('General inputs'!$I$16,4)*1,LEFT(D70,4)*1&gt;LEFT('General inputs'!$I$16,4)+'General inputs'!$H$38-1),"",Q70/(1+'General inputs'!$H$34)^C70)</f>
        <v>327036.11479778279</v>
      </c>
      <c r="T70" s="86">
        <f>'Reduction amount'!H42</f>
        <v>182525.7009380016</v>
      </c>
      <c r="U70" s="81">
        <f>IF(OR(LEFT(D70,4)*1&lt;LEFT('General inputs'!$I$16,4)*1,LEFT(D70,4)*1&gt;LEFT('General inputs'!$I$16,4)+'General inputs'!$H$38-1),"",T70/(1+'General inputs'!$H$34)^C70)</f>
        <v>154829.29955243619</v>
      </c>
      <c r="V70" s="54"/>
    </row>
    <row r="71" spans="2:22" x14ac:dyDescent="0.25">
      <c r="B71" s="53"/>
      <c r="C71" s="28">
        <f>IF(D71='General inputs'!$I$16,0,IF(D71&lt;'General inputs'!$I$16,C72-1,C70+1))</f>
        <v>5</v>
      </c>
      <c r="D71" s="28" t="str">
        <f t="shared" si="1"/>
        <v>2027-28</v>
      </c>
      <c r="E71" s="81">
        <f>IF(LEFT(D71,4)*1&gt;LEFT('General inputs'!$I$16,4)+'General inputs'!$H$38-1,"",'ET inputs'!D44)</f>
        <v>525.96043101248756</v>
      </c>
      <c r="F71" s="81">
        <f>IF(LEFT(D71,4)*1&gt;LEFT('General inputs'!$I$16,4)+'General inputs'!$H$38-1,"",E71/(1+'General inputs'!$H$30)^C71)</f>
        <v>453.6980880298529</v>
      </c>
      <c r="G71" s="81">
        <f>IF(LEFT(D71,4)*1&gt;LEFT('General inputs'!$I$16,4)+'General inputs'!$H$38-1,"",E71/(1+'General inputs'!$H$32)^C71)</f>
        <v>428.16826765263562</v>
      </c>
      <c r="H71" s="81">
        <f>IF(LEFT(D71,4)*1&lt;LEFT('General inputs'!$I$16,4)*1,"",IF(LEFT(D71,4)*1&gt;LEFT('General inputs'!$I$16,4)+'General inputs'!$H$38-1,"",E71/(1+'General inputs'!$H$34)^C71))</f>
        <v>428.16826765263562</v>
      </c>
      <c r="J71" s="110"/>
      <c r="K71" s="110"/>
      <c r="L71" s="81" t="str">
        <f>IF(LEFT(D71,4)*1&gt;LEFT('General inputs'!$I$18,4)*1,"",SUMIF('Post-1996 commissioned assets'!$F$22:$F$1500,$D71,'Post-1996 commissioned assets'!$P$22:$P$1500)*(1+$K$34)*(1+$K$35))</f>
        <v/>
      </c>
      <c r="M71" s="81" t="str">
        <f>IF(L71="","",L71/(1+'General inputs'!$H$32)^C71)</f>
        <v/>
      </c>
      <c r="N71" s="81">
        <f>IF(LEFT(D71,4)*1&lt;LEFT('General inputs'!$I$18,4)*1+1,"",SUMIF('Uncommissioned assets'!$F$22:$F$1500,$D71,'Uncommissioned assets'!$P$22:$P$1500))</f>
        <v>0</v>
      </c>
      <c r="O71" s="81">
        <f>IF(N71="","",N71/(1+'General inputs'!$H$32)^C71)</f>
        <v>0</v>
      </c>
      <c r="Q71" s="86">
        <f>'Reduction amount'!M43</f>
        <v>538227.56487549527</v>
      </c>
      <c r="R71" s="81">
        <f>IF(OR(LEFT(D71,4)*1&lt;LEFT('General inputs'!$I$16,4)*1,LEFT(D71,4)*1&gt;LEFT('General inputs'!$I$16,4)+'General inputs'!$H$38-1),"",Q71/(1+'General inputs'!$H$34)^C71)</f>
        <v>438154.56537673628</v>
      </c>
      <c r="T71" s="86">
        <f>'Reduction amount'!H43</f>
        <v>292628.12639232934</v>
      </c>
      <c r="U71" s="81">
        <f>IF(OR(LEFT(D71,4)*1&lt;LEFT('General inputs'!$I$16,4)*1,LEFT(D71,4)*1&gt;LEFT('General inputs'!$I$16,4)+'General inputs'!$H$38-1),"",T71/(1+'General inputs'!$H$34)^C71)</f>
        <v>238219.58945209201</v>
      </c>
      <c r="V71" s="54"/>
    </row>
    <row r="72" spans="2:22" x14ac:dyDescent="0.25">
      <c r="B72" s="53"/>
      <c r="C72" s="28">
        <f>IF(D72='General inputs'!$I$16,0,IF(D72&lt;'General inputs'!$I$16,C73-1,C71+1))</f>
        <v>6</v>
      </c>
      <c r="D72" s="28" t="str">
        <f t="shared" si="1"/>
        <v>2028-29</v>
      </c>
      <c r="E72" s="81">
        <f>IF(LEFT(D72,4)*1&gt;LEFT('General inputs'!$I$16,4)+'General inputs'!$H$38-1,"",'ET inputs'!D45)</f>
        <v>101.60765821308705</v>
      </c>
      <c r="F72" s="81">
        <f>IF(LEFT(D72,4)*1&gt;LEFT('General inputs'!$I$16,4)+'General inputs'!$H$38-1,"",E72/(1+'General inputs'!$H$30)^C72)</f>
        <v>85.094814111954022</v>
      </c>
      <c r="G72" s="81">
        <f>IF(LEFT(D72,4)*1&gt;LEFT('General inputs'!$I$16,4)+'General inputs'!$H$38-1,"",E72/(1+'General inputs'!$H$32)^C72)</f>
        <v>79.381651206493828</v>
      </c>
      <c r="H72" s="81">
        <f>IF(LEFT(D72,4)*1&lt;LEFT('General inputs'!$I$16,4)*1,"",IF(LEFT(D72,4)*1&gt;LEFT('General inputs'!$I$16,4)+'General inputs'!$H$38-1,"",E72/(1+'General inputs'!$H$34)^C72))</f>
        <v>79.381651206493828</v>
      </c>
      <c r="J72" s="110"/>
      <c r="K72" s="110"/>
      <c r="L72" s="81" t="str">
        <f>IF(LEFT(D72,4)*1&gt;LEFT('General inputs'!$I$18,4)*1,"",SUMIF('Post-1996 commissioned assets'!$F$22:$F$1500,$D72,'Post-1996 commissioned assets'!$P$22:$P$1500)*(1+$K$34)*(1+$K$35))</f>
        <v/>
      </c>
      <c r="M72" s="81" t="str">
        <f>IF(L72="","",L72/(1+'General inputs'!$H$32)^C72)</f>
        <v/>
      </c>
      <c r="N72" s="81">
        <f>IF(LEFT(D72,4)*1&lt;LEFT('General inputs'!$I$18,4)*1+1,"",SUMIF('Uncommissioned assets'!$F$22:$F$1500,$D72,'Uncommissioned assets'!$P$22:$P$1500))</f>
        <v>224000000</v>
      </c>
      <c r="O72" s="81">
        <f>IF(N72="","",N72/(1+'General inputs'!$H$32)^C72)</f>
        <v>175001473.14648342</v>
      </c>
      <c r="Q72" s="86">
        <f>'Reduction amount'!M44</f>
        <v>578350.53494400438</v>
      </c>
      <c r="R72" s="81">
        <f>IF(OR(LEFT(D72,4)*1&lt;LEFT('General inputs'!$I$16,4)*1,LEFT(D72,4)*1&gt;LEFT('General inputs'!$I$16,4)+'General inputs'!$H$38-1),"",Q72/(1+'General inputs'!$H$34)^C72)</f>
        <v>451840.15897436382</v>
      </c>
      <c r="T72" s="86">
        <f>'Reduction amount'!H44</f>
        <v>325362.96780093113</v>
      </c>
      <c r="U72" s="81">
        <f>IF(OR(LEFT(D72,4)*1&lt;LEFT('General inputs'!$I$16,4)*1,LEFT(D72,4)*1&gt;LEFT('General inputs'!$I$16,4)+'General inputs'!$H$38-1),"",T72/(1+'General inputs'!$H$34)^C72)</f>
        <v>254191.95835926247</v>
      </c>
      <c r="V72" s="54"/>
    </row>
    <row r="73" spans="2:22" x14ac:dyDescent="0.25">
      <c r="B73" s="53"/>
      <c r="C73" s="28">
        <f>IF(D73='General inputs'!$I$16,0,IF(D73&lt;'General inputs'!$I$16,C74-1,C72+1))</f>
        <v>7</v>
      </c>
      <c r="D73" s="28" t="str">
        <f t="shared" si="1"/>
        <v>2029-30</v>
      </c>
      <c r="E73" s="81">
        <f>IF(LEFT(D73,4)*1&gt;LEFT('General inputs'!$I$16,4)+'General inputs'!$H$38-1,"",'ET inputs'!D46)</f>
        <v>101.60765821308705</v>
      </c>
      <c r="F73" s="81">
        <f>IF(LEFT(D73,4)*1&gt;LEFT('General inputs'!$I$16,4)+'General inputs'!$H$38-1,"",E73/(1+'General inputs'!$H$30)^C73)</f>
        <v>82.616324380537876</v>
      </c>
      <c r="G73" s="81">
        <f>IF(LEFT(D73,4)*1&gt;LEFT('General inputs'!$I$16,4)+'General inputs'!$H$38-1,"",E73/(1+'General inputs'!$H$32)^C73)</f>
        <v>76.182006916020953</v>
      </c>
      <c r="H73" s="81">
        <f>IF(LEFT(D73,4)*1&lt;LEFT('General inputs'!$I$16,4)*1,"",IF(LEFT(D73,4)*1&gt;LEFT('General inputs'!$I$16,4)+'General inputs'!$H$38-1,"",E73/(1+'General inputs'!$H$34)^C73))</f>
        <v>76.182006916020953</v>
      </c>
      <c r="J73" s="110"/>
      <c r="K73" s="110"/>
      <c r="L73" s="81" t="str">
        <f>IF(LEFT(D73,4)*1&gt;LEFT('General inputs'!$I$18,4)*1,"",SUMIF('Post-1996 commissioned assets'!$F$22:$F$1500,$D73,'Post-1996 commissioned assets'!$P$22:$P$1500)*(1+$K$34)*(1+$K$35))</f>
        <v/>
      </c>
      <c r="M73" s="81" t="str">
        <f>IF(L73="","",L73/(1+'General inputs'!$H$32)^C73)</f>
        <v/>
      </c>
      <c r="N73" s="81">
        <f>IF(LEFT(D73,4)*1&lt;LEFT('General inputs'!$I$18,4)*1+1,"",SUMIF('Uncommissioned assets'!$F$22:$F$1500,$D73,'Uncommissioned assets'!$P$22:$P$1500))</f>
        <v>0</v>
      </c>
      <c r="O73" s="81">
        <f>IF(N73="","",N73/(1+'General inputs'!$H$32)^C73)</f>
        <v>0</v>
      </c>
      <c r="Q73" s="86">
        <f>'Reduction amount'!M45</f>
        <v>618489.32843024225</v>
      </c>
      <c r="R73" s="81">
        <f>IF(OR(LEFT(D73,4)*1&lt;LEFT('General inputs'!$I$16,4)*1,LEFT(D73,4)*1&gt;LEFT('General inputs'!$I$16,4)+'General inputs'!$H$38-1),"",Q73/(1+'General inputs'!$H$34)^C73)</f>
        <v>463722.50994255382</v>
      </c>
      <c r="T73" s="86">
        <f>'Reduction amount'!H45</f>
        <v>355317.0839494454</v>
      </c>
      <c r="U73" s="81">
        <f>IF(OR(LEFT(D73,4)*1&lt;LEFT('General inputs'!$I$16,4)*1,LEFT(D73,4)*1&gt;LEFT('General inputs'!$I$16,4)+'General inputs'!$H$38-1),"",T73/(1+'General inputs'!$H$34)^C73)</f>
        <v>266404.80671299039</v>
      </c>
      <c r="V73" s="54"/>
    </row>
    <row r="74" spans="2:22" x14ac:dyDescent="0.25">
      <c r="B74" s="53"/>
      <c r="C74" s="28">
        <f>IF(D74='General inputs'!$I$16,0,IF(D74&lt;'General inputs'!$I$16,C75-1,C73+1))</f>
        <v>8</v>
      </c>
      <c r="D74" s="28" t="str">
        <f t="shared" si="1"/>
        <v>2030-31</v>
      </c>
      <c r="E74" s="81">
        <f>IF(LEFT(D74,4)*1&gt;LEFT('General inputs'!$I$16,4)+'General inputs'!$H$38-1,"",'ET inputs'!D47)</f>
        <v>101.60765821308705</v>
      </c>
      <c r="F74" s="81">
        <f>IF(LEFT(D74,4)*1&gt;LEFT('General inputs'!$I$16,4)+'General inputs'!$H$38-1,"",E74/(1+'General inputs'!$H$30)^C74)</f>
        <v>80.21002367042513</v>
      </c>
      <c r="G74" s="81">
        <f>IF(LEFT(D74,4)*1&gt;LEFT('General inputs'!$I$16,4)+'General inputs'!$H$38-1,"",E74/(1+'General inputs'!$H$32)^C74)</f>
        <v>73.111331013455796</v>
      </c>
      <c r="H74" s="81">
        <f>IF(LEFT(D74,4)*1&lt;LEFT('General inputs'!$I$16,4)*1,"",IF(LEFT(D74,4)*1&gt;LEFT('General inputs'!$I$16,4)+'General inputs'!$H$38-1,"",E74/(1+'General inputs'!$H$34)^C74))</f>
        <v>73.111331013455796</v>
      </c>
      <c r="J74" s="110"/>
      <c r="K74" s="110"/>
      <c r="L74" s="81" t="str">
        <f>IF(LEFT(D74,4)*1&gt;LEFT('General inputs'!$I$18,4)*1,"",SUMIF('Post-1996 commissioned assets'!$F$22:$F$1500,$D74,'Post-1996 commissioned assets'!$P$22:$P$1500)*(1+$K$34)*(1+$K$35))</f>
        <v/>
      </c>
      <c r="M74" s="81" t="str">
        <f>IF(L74="","",L74/(1+'General inputs'!$H$32)^C74)</f>
        <v/>
      </c>
      <c r="N74" s="81">
        <f>IF(LEFT(D74,4)*1&lt;LEFT('General inputs'!$I$18,4)*1+1,"",SUMIF('Uncommissioned assets'!$F$22:$F$1500,$D74,'Uncommissioned assets'!$P$22:$P$1500))</f>
        <v>0</v>
      </c>
      <c r="O74" s="81">
        <f>IF(N74="","",N74/(1+'General inputs'!$H$32)^C74)</f>
        <v>0</v>
      </c>
      <c r="Q74" s="86">
        <f>'Reduction amount'!M46</f>
        <v>658993.21259095939</v>
      </c>
      <c r="R74" s="81">
        <f>IF(OR(LEFT(D74,4)*1&lt;LEFT('General inputs'!$I$16,4)*1,LEFT(D74,4)*1&gt;LEFT('General inputs'!$I$16,4)+'General inputs'!$H$38-1),"",Q74/(1+'General inputs'!$H$34)^C74)</f>
        <v>474175.58625667373</v>
      </c>
      <c r="T74" s="86">
        <f>'Reduction amount'!H46</f>
        <v>388261.9172988878</v>
      </c>
      <c r="U74" s="81">
        <f>IF(OR(LEFT(D74,4)*1&lt;LEFT('General inputs'!$I$16,4)*1,LEFT(D74,4)*1&gt;LEFT('General inputs'!$I$16,4)+'General inputs'!$H$38-1),"",T74/(1+'General inputs'!$H$34)^C74)</f>
        <v>279372.1069333909</v>
      </c>
      <c r="V74" s="54"/>
    </row>
    <row r="75" spans="2:22" x14ac:dyDescent="0.25">
      <c r="B75" s="53"/>
      <c r="C75" s="28">
        <f>IF(D75='General inputs'!$I$16,0,IF(D75&lt;'General inputs'!$I$16,C76-1,C74+1))</f>
        <v>9</v>
      </c>
      <c r="D75" s="28" t="str">
        <f t="shared" si="1"/>
        <v>2031-32</v>
      </c>
      <c r="E75" s="81">
        <f>IF(LEFT(D75,4)*1&gt;LEFT('General inputs'!$I$16,4)+'General inputs'!$H$38-1,"",'ET inputs'!D48)</f>
        <v>116.82123266194202</v>
      </c>
      <c r="F75" s="81">
        <f>IF(LEFT(D75,4)*1&gt;LEFT('General inputs'!$I$16,4)+'General inputs'!$H$38-1,"",E75/(1+'General inputs'!$H$30)^C75)</f>
        <v>89.533747405120181</v>
      </c>
      <c r="G75" s="81">
        <f>IF(LEFT(D75,4)*1&gt;LEFT('General inputs'!$I$16,4)+'General inputs'!$H$38-1,"",E75/(1+'General inputs'!$H$32)^C75)</f>
        <v>80.670047710892803</v>
      </c>
      <c r="H75" s="81">
        <f>IF(LEFT(D75,4)*1&lt;LEFT('General inputs'!$I$16,4)*1,"",IF(LEFT(D75,4)*1&gt;LEFT('General inputs'!$I$16,4)+'General inputs'!$H$38-1,"",E75/(1+'General inputs'!$H$34)^C75))</f>
        <v>80.670047710892803</v>
      </c>
      <c r="J75" s="110"/>
      <c r="K75" s="110"/>
      <c r="L75" s="81" t="str">
        <f>IF(LEFT(D75,4)*1&gt;LEFT('General inputs'!$I$18,4)*1,"",SUMIF('Post-1996 commissioned assets'!$F$22:$F$1500,$D75,'Post-1996 commissioned assets'!$P$22:$P$1500)*(1+$K$34)*(1+$K$35))</f>
        <v/>
      </c>
      <c r="M75" s="81" t="str">
        <f>IF(L75="","",L75/(1+'General inputs'!$H$32)^C75)</f>
        <v/>
      </c>
      <c r="N75" s="81">
        <f>IF(LEFT(D75,4)*1&lt;LEFT('General inputs'!$I$18,4)*1+1,"",SUMIF('Uncommissioned assets'!$F$22:$F$1500,$D75,'Uncommissioned assets'!$P$22:$P$1500))</f>
        <v>0</v>
      </c>
      <c r="O75" s="81">
        <f>IF(N75="","",N75/(1+'General inputs'!$H$32)^C75)</f>
        <v>0</v>
      </c>
      <c r="Q75" s="86">
        <f>'Reduction amount'!M47</f>
        <v>707608.43109883403</v>
      </c>
      <c r="R75" s="81">
        <f>IF(OR(LEFT(D75,4)*1&lt;LEFT('General inputs'!$I$16,4)*1,LEFT(D75,4)*1&gt;LEFT('General inputs'!$I$16,4)+'General inputs'!$H$38-1),"",Q75/(1+'General inputs'!$H$34)^C75)</f>
        <v>488633.8262031484</v>
      </c>
      <c r="T75" s="86">
        <f>'Reduction amount'!H47</f>
        <v>425294.96018330992</v>
      </c>
      <c r="U75" s="81">
        <f>IF(OR(LEFT(D75,4)*1&lt;LEFT('General inputs'!$I$16,4)*1,LEFT(D75,4)*1&gt;LEFT('General inputs'!$I$16,4)+'General inputs'!$H$38-1),"",T75/(1+'General inputs'!$H$34)^C75)</f>
        <v>293684.32388033596</v>
      </c>
      <c r="V75" s="54"/>
    </row>
    <row r="76" spans="2:22" x14ac:dyDescent="0.25">
      <c r="B76" s="53"/>
      <c r="C76" s="28">
        <f>IF(D76='General inputs'!$I$16,0,IF(D76&lt;'General inputs'!$I$16,C77-1,C75+1))</f>
        <v>10</v>
      </c>
      <c r="D76" s="28" t="str">
        <f t="shared" si="1"/>
        <v>2032-33</v>
      </c>
      <c r="E76" s="81">
        <f>IF(LEFT(D76,4)*1&gt;LEFT('General inputs'!$I$16,4)+'General inputs'!$H$38-1,"",'ET inputs'!D49)</f>
        <v>126.56924085293197</v>
      </c>
      <c r="F76" s="81">
        <f>IF(LEFT(D76,4)*1&gt;LEFT('General inputs'!$I$16,4)+'General inputs'!$H$38-1,"",E76/(1+'General inputs'!$H$30)^C76)</f>
        <v>94.179401931764673</v>
      </c>
      <c r="G76" s="81">
        <f>IF(LEFT(D76,4)*1&gt;LEFT('General inputs'!$I$16,4)+'General inputs'!$H$38-1,"",E76/(1+'General inputs'!$H$32)^C76)</f>
        <v>83.878563785154753</v>
      </c>
      <c r="H76" s="81">
        <f>IF(LEFT(D76,4)*1&lt;LEFT('General inputs'!$I$16,4)*1,"",IF(LEFT(D76,4)*1&gt;LEFT('General inputs'!$I$16,4)+'General inputs'!$H$38-1,"",E76/(1+'General inputs'!$H$34)^C76))</f>
        <v>83.878563785154753</v>
      </c>
      <c r="J76" s="110"/>
      <c r="K76" s="110"/>
      <c r="L76" s="81" t="str">
        <f>IF(LEFT(D76,4)*1&gt;LEFT('General inputs'!$I$18,4)*1,"",SUMIF('Post-1996 commissioned assets'!$F$22:$F$1500,$D76,'Post-1996 commissioned assets'!$P$22:$P$1500)*(1+$K$34)*(1+$K$35))</f>
        <v/>
      </c>
      <c r="M76" s="81" t="str">
        <f>IF(L76="","",L76/(1+'General inputs'!$H$32)^C76)</f>
        <v/>
      </c>
      <c r="N76" s="81">
        <f>IF(LEFT(D76,4)*1&lt;LEFT('General inputs'!$I$18,4)*1+1,"",SUMIF('Uncommissioned assets'!$F$22:$F$1500,$D76,'Uncommissioned assets'!$P$22:$P$1500))</f>
        <v>0</v>
      </c>
      <c r="O76" s="81">
        <f>IF(N76="","",N76/(1+'General inputs'!$H$32)^C76)</f>
        <v>0</v>
      </c>
      <c r="Q76" s="86">
        <f>'Reduction amount'!M48</f>
        <v>758451.31407100533</v>
      </c>
      <c r="R76" s="81">
        <f>IF(OR(LEFT(D76,4)*1&lt;LEFT('General inputs'!$I$16,4)*1,LEFT(D76,4)*1&gt;LEFT('General inputs'!$I$16,4)+'General inputs'!$H$38-1),"",Q76/(1+'General inputs'!$H$34)^C76)</f>
        <v>502632.44447488175</v>
      </c>
      <c r="T76" s="86">
        <f>'Reduction amount'!H48</f>
        <v>465173.64548607386</v>
      </c>
      <c r="U76" s="81">
        <f>IF(OR(LEFT(D76,4)*1&lt;LEFT('General inputs'!$I$16,4)*1,LEFT(D76,4)*1&gt;LEFT('General inputs'!$I$16,4)+'General inputs'!$H$38-1),"",T76/(1+'General inputs'!$H$34)^C76)</f>
        <v>308274.72007526673</v>
      </c>
      <c r="V76" s="54"/>
    </row>
    <row r="77" spans="2:22" x14ac:dyDescent="0.25">
      <c r="B77" s="53"/>
      <c r="C77" s="28">
        <f>IF(D77='General inputs'!$I$16,0,IF(D77&lt;'General inputs'!$I$16,C78-1,C76+1))</f>
        <v>11</v>
      </c>
      <c r="D77" s="28" t="str">
        <f t="shared" si="1"/>
        <v>2033-34</v>
      </c>
      <c r="E77" s="81">
        <f>IF(LEFT(D77,4)*1&gt;LEFT('General inputs'!$I$16,4)+'General inputs'!$H$38-1,"",'ET inputs'!D50)</f>
        <v>134.17602807735943</v>
      </c>
      <c r="F77" s="81">
        <f>IF(LEFT(D77,4)*1&gt;LEFT('General inputs'!$I$16,4)+'General inputs'!$H$38-1,"",E77/(1+'General inputs'!$H$30)^C77)</f>
        <v>96.931617492597368</v>
      </c>
      <c r="G77" s="81">
        <f>IF(LEFT(D77,4)*1&gt;LEFT('General inputs'!$I$16,4)+'General inputs'!$H$38-1,"",E77/(1+'General inputs'!$H$32)^C77)</f>
        <v>85.335556107168728</v>
      </c>
      <c r="H77" s="81">
        <f>IF(LEFT(D77,4)*1&lt;LEFT('General inputs'!$I$16,4)*1,"",IF(LEFT(D77,4)*1&gt;LEFT('General inputs'!$I$16,4)+'General inputs'!$H$38-1,"",E77/(1+'General inputs'!$H$34)^C77))</f>
        <v>85.335556107168728</v>
      </c>
      <c r="J77" s="110"/>
      <c r="K77" s="110"/>
      <c r="L77" s="81" t="str">
        <f>IF(LEFT(D77,4)*1&gt;LEFT('General inputs'!$I$18,4)*1,"",SUMIF('Post-1996 commissioned assets'!$F$22:$F$1500,$D77,'Post-1996 commissioned assets'!$P$22:$P$1500)*(1+$K$34)*(1+$K$35))</f>
        <v/>
      </c>
      <c r="M77" s="81" t="str">
        <f>IF(L77="","",L77/(1+'General inputs'!$H$32)^C77)</f>
        <v/>
      </c>
      <c r="N77" s="81">
        <f>IF(LEFT(D77,4)*1&lt;LEFT('General inputs'!$I$18,4)*1+1,"",SUMIF('Uncommissioned assets'!$F$22:$F$1500,$D77,'Uncommissioned assets'!$P$22:$P$1500))</f>
        <v>0</v>
      </c>
      <c r="O77" s="81">
        <f>IF(N77="","",N77/(1+'General inputs'!$H$32)^C77)</f>
        <v>0</v>
      </c>
      <c r="Q77" s="86">
        <f>'Reduction amount'!M49</f>
        <v>813003.11333729769</v>
      </c>
      <c r="R77" s="81">
        <f>IF(OR(LEFT(D77,4)*1&lt;LEFT('General inputs'!$I$16,4)*1,LEFT(D77,4)*1&gt;LEFT('General inputs'!$I$16,4)+'General inputs'!$H$38-1),"",Q77/(1+'General inputs'!$H$34)^C77)</f>
        <v>517067.57002448884</v>
      </c>
      <c r="T77" s="86">
        <f>'Reduction amount'!H49</f>
        <v>504633.20041314967</v>
      </c>
      <c r="U77" s="81">
        <f>IF(OR(LEFT(D77,4)*1&lt;LEFT('General inputs'!$I$16,4)*1,LEFT(D77,4)*1&gt;LEFT('General inputs'!$I$16,4)+'General inputs'!$H$38-1),"",T77/(1+'General inputs'!$H$34)^C77)</f>
        <v>320945.21953331569</v>
      </c>
      <c r="V77" s="54"/>
    </row>
    <row r="78" spans="2:22" x14ac:dyDescent="0.25">
      <c r="B78" s="53"/>
      <c r="C78" s="28">
        <f>IF(D78='General inputs'!$I$16,0,IF(D78&lt;'General inputs'!$I$16,C79-1,C77+1))</f>
        <v>12</v>
      </c>
      <c r="D78" s="28" t="str">
        <f t="shared" si="1"/>
        <v>2034-35</v>
      </c>
      <c r="E78" s="81">
        <f>IF(LEFT(D78,4)*1&gt;LEFT('General inputs'!$I$16,4)+'General inputs'!$H$38-1,"",'ET inputs'!D51)</f>
        <v>126.56924085293197</v>
      </c>
      <c r="F78" s="81">
        <f>IF(LEFT(D78,4)*1&gt;LEFT('General inputs'!$I$16,4)+'General inputs'!$H$38-1,"",E78/(1+'General inputs'!$H$30)^C78)</f>
        <v>88.773118985544997</v>
      </c>
      <c r="G78" s="81">
        <f>IF(LEFT(D78,4)*1&gt;LEFT('General inputs'!$I$16,4)+'General inputs'!$H$38-1,"",E78/(1+'General inputs'!$H$32)^C78)</f>
        <v>77.253034531587659</v>
      </c>
      <c r="H78" s="81">
        <f>IF(LEFT(D78,4)*1&lt;LEFT('General inputs'!$I$16,4)*1,"",IF(LEFT(D78,4)*1&gt;LEFT('General inputs'!$I$16,4)+'General inputs'!$H$38-1,"",E78/(1+'General inputs'!$H$34)^C78))</f>
        <v>77.253034531587659</v>
      </c>
      <c r="J78" s="110"/>
      <c r="K78" s="110"/>
      <c r="L78" s="81" t="str">
        <f>IF(LEFT(D78,4)*1&gt;LEFT('General inputs'!$I$18,4)*1,"",SUMIF('Post-1996 commissioned assets'!$F$22:$F$1500,$D78,'Post-1996 commissioned assets'!$P$22:$P$1500)*(1+$K$34)*(1+$K$35))</f>
        <v/>
      </c>
      <c r="M78" s="81" t="str">
        <f>IF(L78="","",L78/(1+'General inputs'!$H$32)^C78)</f>
        <v/>
      </c>
      <c r="N78" s="81">
        <f>IF(LEFT(D78,4)*1&lt;LEFT('General inputs'!$I$18,4)*1+1,"",SUMIF('Uncommissioned assets'!$F$22:$F$1500,$D78,'Uncommissioned assets'!$P$22:$P$1500))</f>
        <v>0</v>
      </c>
      <c r="O78" s="81">
        <f>IF(N78="","",N78/(1+'General inputs'!$H$32)^C78)</f>
        <v>0</v>
      </c>
      <c r="Q78" s="86">
        <f>'Reduction amount'!M50</f>
        <v>863488.77182920557</v>
      </c>
      <c r="R78" s="81">
        <f>IF(OR(LEFT(D78,4)*1&lt;LEFT('General inputs'!$I$16,4)*1,LEFT(D78,4)*1&gt;LEFT('General inputs'!$I$16,4)+'General inputs'!$H$38-1),"",Q78/(1+'General inputs'!$H$34)^C78)</f>
        <v>527040.59420938347</v>
      </c>
      <c r="T78" s="86">
        <f>'Reduction amount'!H50</f>
        <v>540733.22597655491</v>
      </c>
      <c r="U78" s="81">
        <f>IF(OR(LEFT(D78,4)*1&lt;LEFT('General inputs'!$I$16,4)*1,LEFT(D78,4)*1&gt;LEFT('General inputs'!$I$16,4)+'General inputs'!$H$38-1),"",T78/(1+'General inputs'!$H$34)^C78)</f>
        <v>330042.92588972981</v>
      </c>
      <c r="V78" s="54"/>
    </row>
    <row r="79" spans="2:22" x14ac:dyDescent="0.25">
      <c r="B79" s="53"/>
      <c r="C79" s="28">
        <f>IF(D79='General inputs'!$I$16,0,IF(D79&lt;'General inputs'!$I$16,C80-1,C78+1))</f>
        <v>13</v>
      </c>
      <c r="D79" s="28" t="str">
        <f t="shared" si="1"/>
        <v>2035-36</v>
      </c>
      <c r="E79" s="81">
        <f>IF(LEFT(D79,4)*1&gt;LEFT('General inputs'!$I$16,4)+'General inputs'!$H$38-1,"",'ET inputs'!D52)</f>
        <v>146.97113245779707</v>
      </c>
      <c r="F79" s="81">
        <f>IF(LEFT(D79,4)*1&gt;LEFT('General inputs'!$I$16,4)+'General inputs'!$H$38-1,"",E79/(1+'General inputs'!$H$30)^C79)</f>
        <v>100.08018958745176</v>
      </c>
      <c r="G79" s="81">
        <f>IF(LEFT(D79,4)*1&gt;LEFT('General inputs'!$I$16,4)+'General inputs'!$H$38-1,"",E79/(1+'General inputs'!$H$32)^C79)</f>
        <v>86.089799038696967</v>
      </c>
      <c r="H79" s="81">
        <f>IF(LEFT(D79,4)*1&lt;LEFT('General inputs'!$I$16,4)*1,"",IF(LEFT(D79,4)*1&gt;LEFT('General inputs'!$I$16,4)+'General inputs'!$H$38-1,"",E79/(1+'General inputs'!$H$34)^C79))</f>
        <v>86.089799038696967</v>
      </c>
      <c r="J79" s="110"/>
      <c r="K79" s="110"/>
      <c r="L79" s="81" t="str">
        <f>IF(LEFT(D79,4)*1&gt;LEFT('General inputs'!$I$18,4)*1,"",SUMIF('Post-1996 commissioned assets'!$F$22:$F$1500,$D79,'Post-1996 commissioned assets'!$P$22:$P$1500)*(1+$K$34)*(1+$K$35))</f>
        <v/>
      </c>
      <c r="M79" s="81" t="str">
        <f>IF(L79="","",L79/(1+'General inputs'!$H$32)^C79)</f>
        <v/>
      </c>
      <c r="N79" s="81">
        <f>IF(LEFT(D79,4)*1&lt;LEFT('General inputs'!$I$18,4)*1+1,"",SUMIF('Uncommissioned assets'!$F$22:$F$1500,$D79,'Uncommissioned assets'!$P$22:$P$1500))</f>
        <v>0</v>
      </c>
      <c r="O79" s="81">
        <f>IF(N79="","",N79/(1+'General inputs'!$H$32)^C79)</f>
        <v>0</v>
      </c>
      <c r="Q79" s="86">
        <f>'Reduction amount'!M51</f>
        <v>924421.85141779133</v>
      </c>
      <c r="R79" s="81">
        <f>IF(OR(LEFT(D79,4)*1&lt;LEFT('General inputs'!$I$16,4)*1,LEFT(D79,4)*1&gt;LEFT('General inputs'!$I$16,4)+'General inputs'!$H$38-1),"",Q79/(1+'General inputs'!$H$34)^C79)</f>
        <v>541489.27129203605</v>
      </c>
      <c r="T79" s="86">
        <f>'Reduction amount'!H51</f>
        <v>583331.16863230418</v>
      </c>
      <c r="U79" s="81">
        <f>IF(OR(LEFT(D79,4)*1&lt;LEFT('General inputs'!$I$16,4)*1,LEFT(D79,4)*1&gt;LEFT('General inputs'!$I$16,4)+'General inputs'!$H$38-1),"",T79/(1+'General inputs'!$H$34)^C79)</f>
        <v>341692.01965551788</v>
      </c>
      <c r="V79" s="54"/>
    </row>
    <row r="80" spans="2:22" x14ac:dyDescent="0.25">
      <c r="B80" s="53"/>
      <c r="C80" s="28">
        <f>IF(D80='General inputs'!$I$16,0,IF(D80&lt;'General inputs'!$I$16,C81-1,C79+1))</f>
        <v>14</v>
      </c>
      <c r="D80" s="28" t="str">
        <f t="shared" si="1"/>
        <v>2036-37</v>
      </c>
      <c r="E80" s="81">
        <f>IF(LEFT(D80,4)*1&gt;LEFT('General inputs'!$I$16,4)+'General inputs'!$H$38-1,"",'ET inputs'!D53)</f>
        <v>144.55266238937969</v>
      </c>
      <c r="F80" s="81">
        <f>IF(LEFT(D80,4)*1&gt;LEFT('General inputs'!$I$16,4)+'General inputs'!$H$38-1,"",E80/(1+'General inputs'!$H$30)^C80)</f>
        <v>95.566338984106352</v>
      </c>
      <c r="G80" s="81">
        <f>IF(LEFT(D80,4)*1&gt;LEFT('General inputs'!$I$16,4)+'General inputs'!$H$38-1,"",E80/(1+'General inputs'!$H$32)^C80)</f>
        <v>81.260226680248522</v>
      </c>
      <c r="H80" s="81">
        <f>IF(LEFT(D80,4)*1&lt;LEFT('General inputs'!$I$16,4)*1,"",IF(LEFT(D80,4)*1&gt;LEFT('General inputs'!$I$16,4)+'General inputs'!$H$38-1,"",E80/(1+'General inputs'!$H$34)^C80))</f>
        <v>81.260226680248522</v>
      </c>
      <c r="J80" s="110"/>
      <c r="K80" s="110"/>
      <c r="L80" s="81" t="str">
        <f>IF(LEFT(D80,4)*1&gt;LEFT('General inputs'!$I$18,4)*1,"",SUMIF('Post-1996 commissioned assets'!$F$22:$F$1500,$D80,'Post-1996 commissioned assets'!$P$22:$P$1500)*(1+$K$34)*(1+$K$35))</f>
        <v/>
      </c>
      <c r="M80" s="81" t="str">
        <f>IF(L80="","",L80/(1+'General inputs'!$H$32)^C80)</f>
        <v/>
      </c>
      <c r="N80" s="81">
        <f>IF(LEFT(D80,4)*1&lt;LEFT('General inputs'!$I$18,4)*1+1,"",SUMIF('Uncommissioned assets'!$F$22:$F$1500,$D80,'Uncommissioned assets'!$P$22:$P$1500))</f>
        <v>0</v>
      </c>
      <c r="O80" s="81">
        <f>IF(N80="","",N80/(1+'General inputs'!$H$32)^C80)</f>
        <v>0</v>
      </c>
      <c r="Q80" s="86">
        <f>'Reduction amount'!M52</f>
        <v>984384.53609634307</v>
      </c>
      <c r="R80" s="81">
        <f>IF(OR(LEFT(D80,4)*1&lt;LEFT('General inputs'!$I$16,4)*1,LEFT(D80,4)*1&gt;LEFT('General inputs'!$I$16,4)+'General inputs'!$H$38-1),"",Q80/(1+'General inputs'!$H$34)^C80)</f>
        <v>553371.40957147186</v>
      </c>
      <c r="T80" s="86">
        <f>'Reduction amount'!H52</f>
        <v>625695.88224739919</v>
      </c>
      <c r="U80" s="81">
        <f>IF(OR(LEFT(D80,4)*1&lt;LEFT('General inputs'!$I$16,4)*1,LEFT(D80,4)*1&gt;LEFT('General inputs'!$I$16,4)+'General inputs'!$H$38-1),"",T80/(1+'General inputs'!$H$34)^C80)</f>
        <v>351734.71303740772</v>
      </c>
      <c r="V80" s="54"/>
    </row>
    <row r="81" spans="2:22" x14ac:dyDescent="0.25">
      <c r="B81" s="53"/>
      <c r="C81" s="28">
        <f>IF(D81='General inputs'!$I$16,0,IF(D81&lt;'General inputs'!$I$16,C82-1,C80+1))</f>
        <v>15</v>
      </c>
      <c r="D81" s="28" t="str">
        <f t="shared" si="1"/>
        <v>2037-38</v>
      </c>
      <c r="E81" s="81">
        <f>IF(LEFT(D81,4)*1&gt;LEFT('General inputs'!$I$16,4)+'General inputs'!$H$38-1,"",'ET inputs'!D54)</f>
        <v>108.14784724354153</v>
      </c>
      <c r="F81" s="81">
        <f>IF(LEFT(D81,4)*1&gt;LEFT('General inputs'!$I$16,4)+'General inputs'!$H$38-1,"",E81/(1+'General inputs'!$H$30)^C81)</f>
        <v>69.415987838502318</v>
      </c>
      <c r="G81" s="81">
        <f>IF(LEFT(D81,4)*1&gt;LEFT('General inputs'!$I$16,4)+'General inputs'!$H$38-1,"",E81/(1+'General inputs'!$H$32)^C81)</f>
        <v>58.344791807401066</v>
      </c>
      <c r="H81" s="81">
        <f>IF(LEFT(D81,4)*1&lt;LEFT('General inputs'!$I$16,4)*1,"",IF(LEFT(D81,4)*1&gt;LEFT('General inputs'!$I$16,4)+'General inputs'!$H$38-1,"",E81/(1+'General inputs'!$H$34)^C81))</f>
        <v>58.344791807401066</v>
      </c>
      <c r="J81" s="110"/>
      <c r="K81" s="110"/>
      <c r="L81" s="81" t="str">
        <f>IF(LEFT(D81,4)*1&gt;LEFT('General inputs'!$I$18,4)*1,"",SUMIF('Post-1996 commissioned assets'!$F$22:$F$1500,$D81,'Post-1996 commissioned assets'!$P$22:$P$1500)*(1+$K$34)*(1+$K$35))</f>
        <v/>
      </c>
      <c r="M81" s="81" t="str">
        <f>IF(L81="","",L81/(1+'General inputs'!$H$32)^C81)</f>
        <v/>
      </c>
      <c r="N81" s="81">
        <f>IF(LEFT(D81,4)*1&lt;LEFT('General inputs'!$I$18,4)*1+1,"",SUMIF('Uncommissioned assets'!$F$22:$F$1500,$D81,'Uncommissioned assets'!$P$22:$P$1500))</f>
        <v>0</v>
      </c>
      <c r="O81" s="81">
        <f>IF(N81="","",N81/(1+'General inputs'!$H$32)^C81)</f>
        <v>0</v>
      </c>
      <c r="Q81" s="86">
        <f>'Reduction amount'!M53</f>
        <v>1029423.3902956637</v>
      </c>
      <c r="R81" s="81">
        <f>IF(OR(LEFT(D81,4)*1&lt;LEFT('General inputs'!$I$16,4)*1,LEFT(D81,4)*1&gt;LEFT('General inputs'!$I$16,4)+'General inputs'!$H$38-1),"",Q81/(1+'General inputs'!$H$34)^C81)</f>
        <v>555364.66900922311</v>
      </c>
      <c r="T81" s="86">
        <f>'Reduction amount'!H53</f>
        <v>656458.95422405517</v>
      </c>
      <c r="U81" s="81">
        <f>IF(OR(LEFT(D81,4)*1&lt;LEFT('General inputs'!$I$16,4)*1,LEFT(D81,4)*1&gt;LEFT('General inputs'!$I$16,4)+'General inputs'!$H$38-1),"",T81/(1+'General inputs'!$H$34)^C81)</f>
        <v>354153.70708263462</v>
      </c>
      <c r="V81" s="54"/>
    </row>
    <row r="82" spans="2:22" x14ac:dyDescent="0.25">
      <c r="B82" s="53"/>
      <c r="C82" s="28">
        <f>IF(D82='General inputs'!$I$16,0,IF(D82&lt;'General inputs'!$I$16,C83-1,C81+1))</f>
        <v>16</v>
      </c>
      <c r="D82" s="28" t="str">
        <f t="shared" si="1"/>
        <v>2038-39</v>
      </c>
      <c r="E82" s="81">
        <f>IF(LEFT(D82,4)*1&gt;LEFT('General inputs'!$I$16,4)+'General inputs'!$H$38-1,"",'ET inputs'!D55)</f>
        <v>33.584056000507047</v>
      </c>
      <c r="F82" s="81">
        <f>IF(LEFT(D82,4)*1&gt;LEFT('General inputs'!$I$16,4)+'General inputs'!$H$38-1,"",E82/(1+'General inputs'!$H$30)^C82)</f>
        <v>20.928473384432891</v>
      </c>
      <c r="G82" s="81">
        <f>IF(LEFT(D82,4)*1&gt;LEFT('General inputs'!$I$16,4)+'General inputs'!$H$38-1,"",E82/(1+'General inputs'!$H$32)^C82)</f>
        <v>17.38800041952603</v>
      </c>
      <c r="H82" s="81">
        <f>IF(LEFT(D82,4)*1&lt;LEFT('General inputs'!$I$16,4)*1,"",IF(LEFT(D82,4)*1&gt;LEFT('General inputs'!$I$16,4)+'General inputs'!$H$38-1,"",E82/(1+'General inputs'!$H$34)^C82))</f>
        <v>17.38800041952603</v>
      </c>
      <c r="J82" s="110"/>
      <c r="K82" s="110"/>
      <c r="L82" s="81" t="str">
        <f>IF(LEFT(D82,4)*1&gt;LEFT('General inputs'!$I$18,4)*1,"",SUMIF('Post-1996 commissioned assets'!$F$22:$F$1500,$D82,'Post-1996 commissioned assets'!$P$22:$P$1500)*(1+$K$34)*(1+$K$35))</f>
        <v/>
      </c>
      <c r="M82" s="81" t="str">
        <f>IF(L82="","",L82/(1+'General inputs'!$H$32)^C82)</f>
        <v/>
      </c>
      <c r="N82" s="81">
        <f>IF(LEFT(D82,4)*1&lt;LEFT('General inputs'!$I$18,4)*1+1,"",SUMIF('Uncommissioned assets'!$F$22:$F$1500,$D82,'Uncommissioned assets'!$P$22:$P$1500))</f>
        <v>0</v>
      </c>
      <c r="O82" s="81">
        <f>IF(N82="","",N82/(1+'General inputs'!$H$32)^C82)</f>
        <v>0</v>
      </c>
      <c r="Q82" s="86">
        <f>'Reduction amount'!M54</f>
        <v>1049846.6794027179</v>
      </c>
      <c r="R82" s="81">
        <f>IF(OR(LEFT(D82,4)*1&lt;LEFT('General inputs'!$I$16,4)*1,LEFT(D82,4)*1&gt;LEFT('General inputs'!$I$16,4)+'General inputs'!$H$38-1),"",Q82/(1+'General inputs'!$H$34)^C82)</f>
        <v>543553.59881536826</v>
      </c>
      <c r="T82" s="86">
        <f>'Reduction amount'!H54</f>
        <v>679263.82858883706</v>
      </c>
      <c r="U82" s="81">
        <f>IF(OR(LEFT(D82,4)*1&lt;LEFT('General inputs'!$I$16,4)*1,LEFT(D82,4)*1&gt;LEFT('General inputs'!$I$16,4)+'General inputs'!$H$38-1),"",T82/(1+'General inputs'!$H$34)^C82)</f>
        <v>351685.92311462428</v>
      </c>
      <c r="V82" s="54"/>
    </row>
    <row r="83" spans="2:22" x14ac:dyDescent="0.25">
      <c r="B83" s="53"/>
      <c r="C83" s="28">
        <f>IF(D83='General inputs'!$I$16,0,IF(D83&lt;'General inputs'!$I$16,C84-1,C82+1))</f>
        <v>17</v>
      </c>
      <c r="D83" s="28" t="str">
        <f t="shared" si="1"/>
        <v>2039-40</v>
      </c>
      <c r="E83" s="81">
        <f>IF(LEFT(D83,4)*1&gt;LEFT('General inputs'!$I$16,4)+'General inputs'!$H$38-1,"",'ET inputs'!D56)</f>
        <v>0</v>
      </c>
      <c r="F83" s="81">
        <f>IF(LEFT(D83,4)*1&gt;LEFT('General inputs'!$I$16,4)+'General inputs'!$H$38-1,"",E83/(1+'General inputs'!$H$30)^C83)</f>
        <v>0</v>
      </c>
      <c r="G83" s="81">
        <f>IF(LEFT(D83,4)*1&gt;LEFT('General inputs'!$I$16,4)+'General inputs'!$H$38-1,"",E83/(1+'General inputs'!$H$32)^C83)</f>
        <v>0</v>
      </c>
      <c r="H83" s="81">
        <f>IF(LEFT(D83,4)*1&lt;LEFT('General inputs'!$I$16,4)*1,"",IF(LEFT(D83,4)*1&gt;LEFT('General inputs'!$I$16,4)+'General inputs'!$H$38-1,"",E83/(1+'General inputs'!$H$34)^C83))</f>
        <v>0</v>
      </c>
      <c r="J83" s="110"/>
      <c r="K83" s="110"/>
      <c r="L83" s="81" t="str">
        <f>IF(LEFT(D83,4)*1&gt;LEFT('General inputs'!$I$18,4)*1,"",SUMIF('Post-1996 commissioned assets'!$F$22:$F$1500,$D83,'Post-1996 commissioned assets'!$P$22:$P$1500)*(1+$K$34)*(1+$K$35))</f>
        <v/>
      </c>
      <c r="M83" s="81" t="str">
        <f>IF(L83="","",L83/(1+'General inputs'!$H$32)^C83)</f>
        <v/>
      </c>
      <c r="N83" s="81">
        <f>IF(LEFT(D83,4)*1&lt;LEFT('General inputs'!$I$18,4)*1+1,"",SUMIF('Uncommissioned assets'!$F$22:$F$1500,$D83,'Uncommissioned assets'!$P$22:$P$1500))</f>
        <v>0</v>
      </c>
      <c r="O83" s="81">
        <f>IF(N83="","",N83/(1+'General inputs'!$H$32)^C83)</f>
        <v>0</v>
      </c>
      <c r="Q83" s="86">
        <f>'Reduction amount'!M55</f>
        <v>1049846.6794027179</v>
      </c>
      <c r="R83" s="81">
        <f>IF(OR(LEFT(D83,4)*1&lt;LEFT('General inputs'!$I$16,4)*1,LEFT(D83,4)*1&gt;LEFT('General inputs'!$I$16,4)+'General inputs'!$H$38-1),"",Q83/(1+'General inputs'!$H$34)^C83)</f>
        <v>521644.52861359721</v>
      </c>
      <c r="T83" s="86">
        <f>'Reduction amount'!H55</f>
        <v>679140.411915679</v>
      </c>
      <c r="U83" s="81">
        <f>IF(OR(LEFT(D83,4)*1&lt;LEFT('General inputs'!$I$16,4)*1,LEFT(D83,4)*1&gt;LEFT('General inputs'!$I$16,4)+'General inputs'!$H$38-1),"",T83/(1+'General inputs'!$H$34)^C83)</f>
        <v>337449.15994567034</v>
      </c>
      <c r="V83" s="54"/>
    </row>
    <row r="84" spans="2:22" x14ac:dyDescent="0.25">
      <c r="B84" s="53"/>
      <c r="C84" s="28">
        <f>IF(D84='General inputs'!$I$16,0,IF(D84&lt;'General inputs'!$I$16,C85-1,C83+1))</f>
        <v>18</v>
      </c>
      <c r="D84" s="28" t="str">
        <f t="shared" si="1"/>
        <v>2040-41</v>
      </c>
      <c r="E84" s="81">
        <f>IF(LEFT(D84,4)*1&gt;LEFT('General inputs'!$I$16,4)+'General inputs'!$H$38-1,"",'ET inputs'!D57)</f>
        <v>0</v>
      </c>
      <c r="F84" s="81">
        <f>IF(LEFT(D84,4)*1&gt;LEFT('General inputs'!$I$16,4)+'General inputs'!$H$38-1,"",E84/(1+'General inputs'!$H$30)^C84)</f>
        <v>0</v>
      </c>
      <c r="G84" s="81">
        <f>IF(LEFT(D84,4)*1&gt;LEFT('General inputs'!$I$16,4)+'General inputs'!$H$38-1,"",E84/(1+'General inputs'!$H$32)^C84)</f>
        <v>0</v>
      </c>
      <c r="H84" s="81">
        <f>IF(LEFT(D84,4)*1&lt;LEFT('General inputs'!$I$16,4)*1,"",IF(LEFT(D84,4)*1&gt;LEFT('General inputs'!$I$16,4)+'General inputs'!$H$38-1,"",E84/(1+'General inputs'!$H$34)^C84))</f>
        <v>0</v>
      </c>
      <c r="J84" s="110"/>
      <c r="K84" s="110"/>
      <c r="L84" s="81" t="str">
        <f>IF(LEFT(D84,4)*1&gt;LEFT('General inputs'!$I$18,4)*1,"",SUMIF('Post-1996 commissioned assets'!$F$22:$F$1500,$D84,'Post-1996 commissioned assets'!$P$22:$P$1500)*(1+$K$34)*(1+$K$35))</f>
        <v/>
      </c>
      <c r="M84" s="81" t="str">
        <f>IF(L84="","",L84/(1+'General inputs'!$H$32)^C84)</f>
        <v/>
      </c>
      <c r="N84" s="81">
        <f>IF(LEFT(D84,4)*1&lt;LEFT('General inputs'!$I$18,4)*1+1,"",SUMIF('Uncommissioned assets'!$F$22:$F$1500,$D84,'Uncommissioned assets'!$P$22:$P$1500))</f>
        <v>0</v>
      </c>
      <c r="O84" s="81">
        <f>IF(N84="","",N84/(1+'General inputs'!$H$32)^C84)</f>
        <v>0</v>
      </c>
      <c r="Q84" s="86">
        <f>'Reduction amount'!M56</f>
        <v>1049846.6794027179</v>
      </c>
      <c r="R84" s="81">
        <f>IF(OR(LEFT(D84,4)*1&lt;LEFT('General inputs'!$I$16,4)*1,LEFT(D84,4)*1&gt;LEFT('General inputs'!$I$16,4)+'General inputs'!$H$38-1),"",Q84/(1+'General inputs'!$H$34)^C84)</f>
        <v>500618.54953320255</v>
      </c>
      <c r="T84" s="86">
        <f>'Reduction amount'!H56</f>
        <v>679017.56395184773</v>
      </c>
      <c r="U84" s="81">
        <f>IF(OR(LEFT(D84,4)*1&lt;LEFT('General inputs'!$I$16,4)*1,LEFT(D84,4)*1&gt;LEFT('General inputs'!$I$16,4)+'General inputs'!$H$38-1),"",T84/(1+'General inputs'!$H$34)^C84)</f>
        <v>323788.98237458442</v>
      </c>
      <c r="V84" s="54"/>
    </row>
    <row r="85" spans="2:22" x14ac:dyDescent="0.25">
      <c r="B85" s="53"/>
      <c r="C85" s="28">
        <f>IF(D85='General inputs'!$I$16,0,IF(D85&lt;'General inputs'!$I$16,C86-1,C84+1))</f>
        <v>19</v>
      </c>
      <c r="D85" s="28" t="str">
        <f t="shared" si="1"/>
        <v>2041-42</v>
      </c>
      <c r="E85" s="81">
        <f>IF(LEFT(D85,4)*1&gt;LEFT('General inputs'!$I$16,4)+'General inputs'!$H$38-1,"",'ET inputs'!D58)</f>
        <v>0</v>
      </c>
      <c r="F85" s="81">
        <f>IF(LEFT(D85,4)*1&gt;LEFT('General inputs'!$I$16,4)+'General inputs'!$H$38-1,"",E85/(1+'General inputs'!$H$30)^C85)</f>
        <v>0</v>
      </c>
      <c r="G85" s="81">
        <f>IF(LEFT(D85,4)*1&gt;LEFT('General inputs'!$I$16,4)+'General inputs'!$H$38-1,"",E85/(1+'General inputs'!$H$32)^C85)</f>
        <v>0</v>
      </c>
      <c r="H85" s="81">
        <f>IF(LEFT(D85,4)*1&lt;LEFT('General inputs'!$I$16,4)*1,"",IF(LEFT(D85,4)*1&gt;LEFT('General inputs'!$I$16,4)+'General inputs'!$H$38-1,"",E85/(1+'General inputs'!$H$34)^C85))</f>
        <v>0</v>
      </c>
      <c r="J85" s="110"/>
      <c r="K85" s="110"/>
      <c r="L85" s="81" t="str">
        <f>IF(LEFT(D85,4)*1&gt;LEFT('General inputs'!$I$18,4)*1,"",SUMIF('Post-1996 commissioned assets'!$F$22:$F$1500,$D85,'Post-1996 commissioned assets'!$P$22:$P$1500)*(1+$K$34)*(1+$K$35))</f>
        <v/>
      </c>
      <c r="M85" s="81" t="str">
        <f>IF(L85="","",L85/(1+'General inputs'!$H$32)^C85)</f>
        <v/>
      </c>
      <c r="N85" s="81">
        <f>IF(LEFT(D85,4)*1&lt;LEFT('General inputs'!$I$18,4)*1+1,"",SUMIF('Uncommissioned assets'!$F$22:$F$1500,$D85,'Uncommissioned assets'!$P$22:$P$1500))</f>
        <v>0</v>
      </c>
      <c r="O85" s="81">
        <f>IF(N85="","",N85/(1+'General inputs'!$H$32)^C85)</f>
        <v>0</v>
      </c>
      <c r="Q85" s="86">
        <f>'Reduction amount'!M57</f>
        <v>1049846.6794027179</v>
      </c>
      <c r="R85" s="81">
        <f>IF(OR(LEFT(D85,4)*1&lt;LEFT('General inputs'!$I$16,4)*1,LEFT(D85,4)*1&gt;LEFT('General inputs'!$I$16,4)+'General inputs'!$H$38-1),"",Q85/(1+'General inputs'!$H$34)^C85)</f>
        <v>480440.06673052069</v>
      </c>
      <c r="T85" s="86">
        <f>'Reduction amount'!H57</f>
        <v>678958.98281661549</v>
      </c>
      <c r="U85" s="81">
        <f>IF(OR(LEFT(D85,4)*1&lt;LEFT('General inputs'!$I$16,4)*1,LEFT(D85,4)*1&gt;LEFT('General inputs'!$I$16,4)+'General inputs'!$H$38-1),"",T85/(1+'General inputs'!$H$34)^C85)</f>
        <v>310711.17850968812</v>
      </c>
      <c r="V85" s="54"/>
    </row>
    <row r="86" spans="2:22" x14ac:dyDescent="0.25">
      <c r="B86" s="53"/>
      <c r="C86" s="28">
        <f>IF(D86='General inputs'!$I$16,0,IF(D86&lt;'General inputs'!$I$16,C87-1,C85+1))</f>
        <v>20</v>
      </c>
      <c r="D86" s="28" t="str">
        <f t="shared" si="1"/>
        <v>2042-43</v>
      </c>
      <c r="E86" s="81">
        <f>IF(LEFT(D86,4)*1&gt;LEFT('General inputs'!$I$16,4)+'General inputs'!$H$38-1,"",'ET inputs'!D59)</f>
        <v>0</v>
      </c>
      <c r="F86" s="81">
        <f>IF(LEFT(D86,4)*1&gt;LEFT('General inputs'!$I$16,4)+'General inputs'!$H$38-1,"",E86/(1+'General inputs'!$H$30)^C86)</f>
        <v>0</v>
      </c>
      <c r="G86" s="81">
        <f>IF(LEFT(D86,4)*1&gt;LEFT('General inputs'!$I$16,4)+'General inputs'!$H$38-1,"",E86/(1+'General inputs'!$H$32)^C86)</f>
        <v>0</v>
      </c>
      <c r="H86" s="81">
        <f>IF(LEFT(D86,4)*1&lt;LEFT('General inputs'!$I$16,4)*1,"",IF(LEFT(D86,4)*1&gt;LEFT('General inputs'!$I$16,4)+'General inputs'!$H$38-1,"",E86/(1+'General inputs'!$H$34)^C86))</f>
        <v>0</v>
      </c>
      <c r="J86" s="110"/>
      <c r="K86" s="110"/>
      <c r="L86" s="81" t="str">
        <f>IF(LEFT(D86,4)*1&gt;LEFT('General inputs'!$I$18,4)*1,"",SUMIF('Post-1996 commissioned assets'!$F$22:$F$1500,$D86,'Post-1996 commissioned assets'!$P$22:$P$1500)*(1+$K$34)*(1+$K$35))</f>
        <v/>
      </c>
      <c r="M86" s="81" t="str">
        <f>IF(L86="","",L86/(1+'General inputs'!$H$32)^C86)</f>
        <v/>
      </c>
      <c r="N86" s="81">
        <f>IF(LEFT(D86,4)*1&lt;LEFT('General inputs'!$I$18,4)*1+1,"",SUMIF('Uncommissioned assets'!$F$22:$F$1500,$D86,'Uncommissioned assets'!$P$22:$P$1500))</f>
        <v>0</v>
      </c>
      <c r="O86" s="81">
        <f>IF(N86="","",N86/(1+'General inputs'!$H$32)^C86)</f>
        <v>0</v>
      </c>
      <c r="Q86" s="86">
        <f>'Reduction amount'!M58</f>
        <v>1049846.6794027179</v>
      </c>
      <c r="R86" s="81">
        <f>IF(OR(LEFT(D86,4)*1&lt;LEFT('General inputs'!$I$16,4)*1,LEFT(D86,4)*1&gt;LEFT('General inputs'!$I$16,4)+'General inputs'!$H$38-1),"",Q86/(1+'General inputs'!$H$34)^C86)</f>
        <v>461074.92008687195</v>
      </c>
      <c r="T86" s="86">
        <f>'Reduction amount'!H58</f>
        <v>678900.53056208836</v>
      </c>
      <c r="U86" s="81">
        <f>IF(OR(LEFT(D86,4)*1&lt;LEFT('General inputs'!$I$16,4)*1,LEFT(D86,4)*1&gt;LEFT('General inputs'!$I$16,4)+'General inputs'!$H$38-1),"",T86/(1+'General inputs'!$H$34)^C86)</f>
        <v>298161.64018724766</v>
      </c>
      <c r="V86" s="54"/>
    </row>
    <row r="87" spans="2:22" x14ac:dyDescent="0.25">
      <c r="B87" s="53"/>
      <c r="C87" s="28">
        <f>IF(D87='General inputs'!$I$16,0,IF(D87&lt;'General inputs'!$I$16,C88-1,C86+1))</f>
        <v>21</v>
      </c>
      <c r="D87" s="28" t="str">
        <f t="shared" si="1"/>
        <v>2043-44</v>
      </c>
      <c r="E87" s="81">
        <f>IF(LEFT(D87,4)*1&gt;LEFT('General inputs'!$I$16,4)+'General inputs'!$H$38-1,"",'ET inputs'!D60)</f>
        <v>0</v>
      </c>
      <c r="F87" s="81">
        <f>IF(LEFT(D87,4)*1&gt;LEFT('General inputs'!$I$16,4)+'General inputs'!$H$38-1,"",E87/(1+'General inputs'!$H$30)^C87)</f>
        <v>0</v>
      </c>
      <c r="G87" s="81">
        <f>IF(LEFT(D87,4)*1&gt;LEFT('General inputs'!$I$16,4)+'General inputs'!$H$38-1,"",E87/(1+'General inputs'!$H$32)^C87)</f>
        <v>0</v>
      </c>
      <c r="H87" s="81">
        <f>IF(LEFT(D87,4)*1&lt;LEFT('General inputs'!$I$16,4)*1,"",IF(LEFT(D87,4)*1&gt;LEFT('General inputs'!$I$16,4)+'General inputs'!$H$38-1,"",E87/(1+'General inputs'!$H$34)^C87))</f>
        <v>0</v>
      </c>
      <c r="J87" s="110"/>
      <c r="K87" s="110"/>
      <c r="L87" s="81" t="str">
        <f>IF(LEFT(D87,4)*1&gt;LEFT('General inputs'!$I$18,4)*1,"",SUMIF('Post-1996 commissioned assets'!$F$22:$F$1500,$D87,'Post-1996 commissioned assets'!$P$22:$P$1500)*(1+$K$34)*(1+$K$35))</f>
        <v/>
      </c>
      <c r="M87" s="81" t="str">
        <f>IF(L87="","",L87/(1+'General inputs'!$H$32)^C87)</f>
        <v/>
      </c>
      <c r="N87" s="81">
        <f>IF(LEFT(D87,4)*1&lt;LEFT('General inputs'!$I$18,4)*1+1,"",SUMIF('Uncommissioned assets'!$F$22:$F$1500,$D87,'Uncommissioned assets'!$P$22:$P$1500))</f>
        <v>0</v>
      </c>
      <c r="O87" s="81">
        <f>IF(N87="","",N87/(1+'General inputs'!$H$32)^C87)</f>
        <v>0</v>
      </c>
      <c r="Q87" s="86">
        <f>'Reduction amount'!M59</f>
        <v>1049846.6794027179</v>
      </c>
      <c r="R87" s="81">
        <f>IF(OR(LEFT(D87,4)*1&lt;LEFT('General inputs'!$I$16,4)*1,LEFT(D87,4)*1&gt;LEFT('General inputs'!$I$16,4)+'General inputs'!$H$38-1),"",Q87/(1+'General inputs'!$H$34)^C87)</f>
        <v>442490.32637895586</v>
      </c>
      <c r="T87" s="86">
        <f>'Reduction amount'!H59</f>
        <v>678842.20676342002</v>
      </c>
      <c r="U87" s="81">
        <f>IF(OR(LEFT(D87,4)*1&lt;LEFT('General inputs'!$I$16,4)*1,LEFT(D87,4)*1&gt;LEFT('General inputs'!$I$16,4)+'General inputs'!$H$38-1),"",T87/(1+'General inputs'!$H$34)^C87)</f>
        <v>286119.02625767235</v>
      </c>
      <c r="V87" s="54"/>
    </row>
    <row r="88" spans="2:22" x14ac:dyDescent="0.25">
      <c r="B88" s="53"/>
      <c r="C88" s="28">
        <f>IF(D88='General inputs'!$I$16,0,IF(D88&lt;'General inputs'!$I$16,C89-1,C87+1))</f>
        <v>22</v>
      </c>
      <c r="D88" s="28" t="str">
        <f t="shared" si="1"/>
        <v>2044-45</v>
      </c>
      <c r="E88" s="81">
        <f>IF(LEFT(D88,4)*1&gt;LEFT('General inputs'!$I$16,4)+'General inputs'!$H$38-1,"",'ET inputs'!D61)</f>
        <v>0</v>
      </c>
      <c r="F88" s="81">
        <f>IF(LEFT(D88,4)*1&gt;LEFT('General inputs'!$I$16,4)+'General inputs'!$H$38-1,"",E88/(1+'General inputs'!$H$30)^C88)</f>
        <v>0</v>
      </c>
      <c r="G88" s="81">
        <f>IF(LEFT(D88,4)*1&gt;LEFT('General inputs'!$I$16,4)+'General inputs'!$H$38-1,"",E88/(1+'General inputs'!$H$32)^C88)</f>
        <v>0</v>
      </c>
      <c r="H88" s="81">
        <f>IF(LEFT(D88,4)*1&lt;LEFT('General inputs'!$I$16,4)*1,"",IF(LEFT(D88,4)*1&gt;LEFT('General inputs'!$I$16,4)+'General inputs'!$H$38-1,"",E88/(1+'General inputs'!$H$34)^C88))</f>
        <v>0</v>
      </c>
      <c r="J88" s="110"/>
      <c r="K88" s="110"/>
      <c r="L88" s="81" t="str">
        <f>IF(LEFT(D88,4)*1&gt;LEFT('General inputs'!$I$18,4)*1,"",SUMIF('Post-1996 commissioned assets'!$F$22:$F$1500,$D88,'Post-1996 commissioned assets'!$P$22:$P$1500)*(1+$K$34)*(1+$K$35))</f>
        <v/>
      </c>
      <c r="M88" s="81" t="str">
        <f>IF(L88="","",L88/(1+'General inputs'!$H$32)^C88)</f>
        <v/>
      </c>
      <c r="N88" s="81">
        <f>IF(LEFT(D88,4)*1&lt;LEFT('General inputs'!$I$18,4)*1+1,"",SUMIF('Uncommissioned assets'!$F$22:$F$1500,$D88,'Uncommissioned assets'!$P$22:$P$1500))</f>
        <v>0</v>
      </c>
      <c r="O88" s="81">
        <f>IF(N88="","",N88/(1+'General inputs'!$H$32)^C88)</f>
        <v>0</v>
      </c>
      <c r="Q88" s="86">
        <f>'Reduction amount'!M60</f>
        <v>1049846.6794027179</v>
      </c>
      <c r="R88" s="81">
        <f>IF(OR(LEFT(D88,4)*1&lt;LEFT('General inputs'!$I$16,4)*1,LEFT(D88,4)*1&gt;LEFT('General inputs'!$I$16,4)+'General inputs'!$H$38-1),"",Q88/(1+'General inputs'!$H$34)^C88)</f>
        <v>424654.82378018787</v>
      </c>
      <c r="T88" s="86">
        <f>'Reduction amount'!H60</f>
        <v>678784.01099762926</v>
      </c>
      <c r="U88" s="81">
        <f>IF(OR(LEFT(D88,4)*1&lt;LEFT('General inputs'!$I$16,4)*1,LEFT(D88,4)*1&gt;LEFT('General inputs'!$I$16,4)+'General inputs'!$H$38-1),"",T88/(1+'General inputs'!$H$34)^C88)</f>
        <v>274562.85782510531</v>
      </c>
      <c r="V88" s="54"/>
    </row>
    <row r="89" spans="2:22" x14ac:dyDescent="0.25">
      <c r="B89" s="53"/>
      <c r="C89" s="28">
        <f>IF(D89='General inputs'!$I$16,0,IF(D89&lt;'General inputs'!$I$16,C90-1,C88+1))</f>
        <v>23</v>
      </c>
      <c r="D89" s="28" t="str">
        <f t="shared" si="1"/>
        <v>2045-46</v>
      </c>
      <c r="E89" s="81">
        <f>IF(LEFT(D89,4)*1&gt;LEFT('General inputs'!$I$16,4)+'General inputs'!$H$38-1,"",'ET inputs'!D62)</f>
        <v>0</v>
      </c>
      <c r="F89" s="81">
        <f>IF(LEFT(D89,4)*1&gt;LEFT('General inputs'!$I$16,4)+'General inputs'!$H$38-1,"",E89/(1+'General inputs'!$H$30)^C89)</f>
        <v>0</v>
      </c>
      <c r="G89" s="81">
        <f>IF(LEFT(D89,4)*1&gt;LEFT('General inputs'!$I$16,4)+'General inputs'!$H$38-1,"",E89/(1+'General inputs'!$H$32)^C89)</f>
        <v>0</v>
      </c>
      <c r="H89" s="81">
        <f>IF(LEFT(D89,4)*1&lt;LEFT('General inputs'!$I$16,4)*1,"",IF(LEFT(D89,4)*1&gt;LEFT('General inputs'!$I$16,4)+'General inputs'!$H$38-1,"",E89/(1+'General inputs'!$H$34)^C89))</f>
        <v>0</v>
      </c>
      <c r="J89" s="110"/>
      <c r="K89" s="110"/>
      <c r="L89" s="81" t="str">
        <f>IF(LEFT(D89,4)*1&gt;LEFT('General inputs'!$I$18,4)*1,"",SUMIF('Post-1996 commissioned assets'!$F$22:$F$1500,$D89,'Post-1996 commissioned assets'!$P$22:$P$1500)*(1+$K$34)*(1+$K$35))</f>
        <v/>
      </c>
      <c r="M89" s="81" t="str">
        <f>IF(L89="","",L89/(1+'General inputs'!$H$32)^C89)</f>
        <v/>
      </c>
      <c r="N89" s="81">
        <f>IF(LEFT(D89,4)*1&lt;LEFT('General inputs'!$I$18,4)*1+1,"",SUMIF('Uncommissioned assets'!$F$22:$F$1500,$D89,'Uncommissioned assets'!$P$22:$P$1500))</f>
        <v>0</v>
      </c>
      <c r="O89" s="81">
        <f>IF(N89="","",N89/(1+'General inputs'!$H$32)^C89)</f>
        <v>0</v>
      </c>
      <c r="Q89" s="86">
        <f>'Reduction amount'!M61</f>
        <v>1049846.6794027179</v>
      </c>
      <c r="R89" s="81">
        <f>IF(OR(LEFT(D89,4)*1&lt;LEFT('General inputs'!$I$16,4)*1,LEFT(D89,4)*1&gt;LEFT('General inputs'!$I$16,4)+'General inputs'!$H$38-1),"",Q89/(1+'General inputs'!$H$34)^C89)</f>
        <v>407538.21859902871</v>
      </c>
      <c r="T89" s="86">
        <f>'Reduction amount'!H61</f>
        <v>678725.94284359028</v>
      </c>
      <c r="U89" s="81">
        <f>IF(OR(LEFT(D89,4)*1&lt;LEFT('General inputs'!$I$16,4)*1,LEFT(D89,4)*1&gt;LEFT('General inputs'!$I$16,4)+'General inputs'!$H$38-1),"",T89/(1+'General inputs'!$H$34)^C89)</f>
        <v>263473.48340501584</v>
      </c>
      <c r="V89" s="54"/>
    </row>
    <row r="90" spans="2:22" x14ac:dyDescent="0.25">
      <c r="B90" s="53"/>
      <c r="C90" s="28">
        <f>IF(D90='General inputs'!$I$16,0,IF(D90&lt;'General inputs'!$I$16,C91-1,C89+1))</f>
        <v>24</v>
      </c>
      <c r="D90" s="28" t="str">
        <f t="shared" si="1"/>
        <v>2046-47</v>
      </c>
      <c r="E90" s="81">
        <f>IF(LEFT(D90,4)*1&gt;LEFT('General inputs'!$I$16,4)+'General inputs'!$H$38-1,"",'ET inputs'!D63)</f>
        <v>0</v>
      </c>
      <c r="F90" s="81">
        <f>IF(LEFT(D90,4)*1&gt;LEFT('General inputs'!$I$16,4)+'General inputs'!$H$38-1,"",E90/(1+'General inputs'!$H$30)^C90)</f>
        <v>0</v>
      </c>
      <c r="G90" s="81">
        <f>IF(LEFT(D90,4)*1&gt;LEFT('General inputs'!$I$16,4)+'General inputs'!$H$38-1,"",E90/(1+'General inputs'!$H$32)^C90)</f>
        <v>0</v>
      </c>
      <c r="H90" s="81">
        <f>IF(LEFT(D90,4)*1&lt;LEFT('General inputs'!$I$16,4)*1,"",IF(LEFT(D90,4)*1&gt;LEFT('General inputs'!$I$16,4)+'General inputs'!$H$38-1,"",E90/(1+'General inputs'!$H$34)^C90))</f>
        <v>0</v>
      </c>
      <c r="J90" s="110"/>
      <c r="K90" s="110"/>
      <c r="L90" s="81" t="str">
        <f>IF(LEFT(D90,4)*1&gt;LEFT('General inputs'!$I$18,4)*1,"",SUMIF('Post-1996 commissioned assets'!$F$22:$F$1500,$D90,'Post-1996 commissioned assets'!$P$22:$P$1500)*(1+$K$34)*(1+$K$35))</f>
        <v/>
      </c>
      <c r="M90" s="81" t="str">
        <f>IF(L90="","",L90/(1+'General inputs'!$H$32)^C90)</f>
        <v/>
      </c>
      <c r="N90" s="81">
        <f>IF(LEFT(D90,4)*1&lt;LEFT('General inputs'!$I$18,4)*1+1,"",SUMIF('Uncommissioned assets'!$F$22:$F$1500,$D90,'Uncommissioned assets'!$P$22:$P$1500))</f>
        <v>0</v>
      </c>
      <c r="O90" s="81">
        <f>IF(N90="","",N90/(1+'General inputs'!$H$32)^C90)</f>
        <v>0</v>
      </c>
      <c r="Q90" s="86">
        <f>'Reduction amount'!M62</f>
        <v>1049846.6794027179</v>
      </c>
      <c r="R90" s="81">
        <f>IF(OR(LEFT(D90,4)*1&lt;LEFT('General inputs'!$I$16,4)*1,LEFT(D90,4)*1&gt;LEFT('General inputs'!$I$16,4)+'General inputs'!$H$38-1),"",Q90/(1+'General inputs'!$H$34)^C90)</f>
        <v>391111.534164135</v>
      </c>
      <c r="T90" s="86">
        <f>'Reduction amount'!H62</f>
        <v>678653.93834059825</v>
      </c>
      <c r="U90" s="81">
        <f>IF(OR(LEFT(D90,4)*1&lt;LEFT('General inputs'!$I$16,4)*1,LEFT(D90,4)*1&gt;LEFT('General inputs'!$I$16,4)+'General inputs'!$H$38-1),"",T90/(1+'General inputs'!$H$34)^C90)</f>
        <v>252826.80623606165</v>
      </c>
      <c r="V90" s="54"/>
    </row>
    <row r="91" spans="2:22" x14ac:dyDescent="0.25">
      <c r="B91" s="53"/>
      <c r="C91" s="28">
        <f>IF(D91='General inputs'!$I$16,0,IF(D91&lt;'General inputs'!$I$16,C92-1,C90+1))</f>
        <v>25</v>
      </c>
      <c r="D91" s="28" t="str">
        <f t="shared" si="1"/>
        <v>2047-48</v>
      </c>
      <c r="E91" s="81">
        <f>IF(LEFT(D91,4)*1&gt;LEFT('General inputs'!$I$16,4)+'General inputs'!$H$38-1,"",'ET inputs'!D64)</f>
        <v>0</v>
      </c>
      <c r="F91" s="81">
        <f>IF(LEFT(D91,4)*1&gt;LEFT('General inputs'!$I$16,4)+'General inputs'!$H$38-1,"",E91/(1+'General inputs'!$H$30)^C91)</f>
        <v>0</v>
      </c>
      <c r="G91" s="81">
        <f>IF(LEFT(D91,4)*1&gt;LEFT('General inputs'!$I$16,4)+'General inputs'!$H$38-1,"",E91/(1+'General inputs'!$H$32)^C91)</f>
        <v>0</v>
      </c>
      <c r="H91" s="81">
        <f>IF(LEFT(D91,4)*1&lt;LEFT('General inputs'!$I$16,4)*1,"",IF(LEFT(D91,4)*1&gt;LEFT('General inputs'!$I$16,4)+'General inputs'!$H$38-1,"",E91/(1+'General inputs'!$H$34)^C91))</f>
        <v>0</v>
      </c>
      <c r="J91" s="110"/>
      <c r="K91" s="110"/>
      <c r="L91" s="81" t="str">
        <f>IF(LEFT(D91,4)*1&gt;LEFT('General inputs'!$I$18,4)*1,"",SUMIF('Post-1996 commissioned assets'!$F$22:$F$1500,$D91,'Post-1996 commissioned assets'!$P$22:$P$1500)*(1+$K$34)*(1+$K$35))</f>
        <v/>
      </c>
      <c r="M91" s="81" t="str">
        <f>IF(L91="","",L91/(1+'General inputs'!$H$32)^C91)</f>
        <v/>
      </c>
      <c r="N91" s="81">
        <f>IF(LEFT(D91,4)*1&lt;LEFT('General inputs'!$I$18,4)*1+1,"",SUMIF('Uncommissioned assets'!$F$22:$F$1500,$D91,'Uncommissioned assets'!$P$22:$P$1500))</f>
        <v>0</v>
      </c>
      <c r="O91" s="81">
        <f>IF(N91="","",N91/(1+'General inputs'!$H$32)^C91)</f>
        <v>0</v>
      </c>
      <c r="Q91" s="86">
        <f>'Reduction amount'!M63</f>
        <v>1049846.6794027179</v>
      </c>
      <c r="R91" s="81">
        <f>IF(OR(LEFT(D91,4)*1&lt;LEFT('General inputs'!$I$16,4)*1,LEFT(D91,4)*1&gt;LEFT('General inputs'!$I$16,4)+'General inputs'!$H$38-1),"",Q91/(1+'General inputs'!$H$34)^C91)</f>
        <v>375346.96176980325</v>
      </c>
      <c r="T91" s="86">
        <f>'Reduction amount'!H63</f>
        <v>678582.12957162503</v>
      </c>
      <c r="U91" s="81">
        <f>IF(OR(LEFT(D91,4)*1&lt;LEFT('General inputs'!$I$16,4)*1,LEFT(D91,4)*1&gt;LEFT('General inputs'!$I$16,4)+'General inputs'!$H$38-1),"",T91/(1+'General inputs'!$H$34)^C91)</f>
        <v>242610.41697145655</v>
      </c>
      <c r="V91" s="54"/>
    </row>
    <row r="92" spans="2:22" x14ac:dyDescent="0.25">
      <c r="B92" s="53"/>
      <c r="C92" s="28">
        <f>IF(D92='General inputs'!$I$16,0,IF(D92&lt;'General inputs'!$I$16,C93-1,C91+1))</f>
        <v>26</v>
      </c>
      <c r="D92" s="28" t="str">
        <f t="shared" si="1"/>
        <v>2048-49</v>
      </c>
      <c r="E92" s="81">
        <f>IF(LEFT(D92,4)*1&gt;LEFT('General inputs'!$I$16,4)+'General inputs'!$H$38-1,"",'ET inputs'!D65)</f>
        <v>0</v>
      </c>
      <c r="F92" s="81">
        <f>IF(LEFT(D92,4)*1&gt;LEFT('General inputs'!$I$16,4)+'General inputs'!$H$38-1,"",E92/(1+'General inputs'!$H$30)^C92)</f>
        <v>0</v>
      </c>
      <c r="G92" s="81">
        <f>IF(LEFT(D92,4)*1&gt;LEFT('General inputs'!$I$16,4)+'General inputs'!$H$38-1,"",E92/(1+'General inputs'!$H$32)^C92)</f>
        <v>0</v>
      </c>
      <c r="H92" s="81">
        <f>IF(LEFT(D92,4)*1&lt;LEFT('General inputs'!$I$16,4)*1,"",IF(LEFT(D92,4)*1&gt;LEFT('General inputs'!$I$16,4)+'General inputs'!$H$38-1,"",E92/(1+'General inputs'!$H$34)^C92))</f>
        <v>0</v>
      </c>
      <c r="J92" s="110"/>
      <c r="K92" s="110"/>
      <c r="L92" s="81" t="str">
        <f>IF(LEFT(D92,4)*1&gt;LEFT('General inputs'!$I$18,4)*1,"",SUMIF('Post-1996 commissioned assets'!$F$22:$F$1500,$D92,'Post-1996 commissioned assets'!$P$22:$P$1500)*(1+$K$34)*(1+$K$35))</f>
        <v/>
      </c>
      <c r="M92" s="81" t="str">
        <f>IF(L92="","",L92/(1+'General inputs'!$H$32)^C92)</f>
        <v/>
      </c>
      <c r="N92" s="81">
        <f>IF(LEFT(D92,4)*1&lt;LEFT('General inputs'!$I$18,4)*1+1,"",SUMIF('Uncommissioned assets'!$F$22:$F$1500,$D92,'Uncommissioned assets'!$P$22:$P$1500))</f>
        <v>0</v>
      </c>
      <c r="O92" s="81">
        <f>IF(N92="","",N92/(1+'General inputs'!$H$32)^C92)</f>
        <v>0</v>
      </c>
      <c r="Q92" s="86">
        <f>'Reduction amount'!M64</f>
        <v>1049846.6794027179</v>
      </c>
      <c r="R92" s="81">
        <f>IF(OR(LEFT(D92,4)*1&lt;LEFT('General inputs'!$I$16,4)*1,LEFT(D92,4)*1&gt;LEFT('General inputs'!$I$16,4)+'General inputs'!$H$38-1),"",Q92/(1+'General inputs'!$H$34)^C92)</f>
        <v>360217.81359865953</v>
      </c>
      <c r="T92" s="86">
        <f>'Reduction amount'!H64</f>
        <v>678510.51573964127</v>
      </c>
      <c r="U92" s="81">
        <f>IF(OR(LEFT(D92,4)*1&lt;LEFT('General inputs'!$I$16,4)*1,LEFT(D92,4)*1&gt;LEFT('General inputs'!$I$16,4)+'General inputs'!$H$38-1),"",T92/(1+'General inputs'!$H$34)^C92)</f>
        <v>232806.92245698569</v>
      </c>
      <c r="V92" s="54"/>
    </row>
    <row r="93" spans="2:22" x14ac:dyDescent="0.25">
      <c r="B93" s="53"/>
      <c r="C93" s="28">
        <f>IF(D93='General inputs'!$I$16,0,IF(D93&lt;'General inputs'!$I$16,C94-1,C92+1))</f>
        <v>27</v>
      </c>
      <c r="D93" s="28" t="str">
        <f t="shared" si="1"/>
        <v>2049-50</v>
      </c>
      <c r="E93" s="81">
        <f>IF(LEFT(D93,4)*1&gt;LEFT('General inputs'!$I$16,4)+'General inputs'!$H$38-1,"",'ET inputs'!D66)</f>
        <v>0</v>
      </c>
      <c r="F93" s="81">
        <f>IF(LEFT(D93,4)*1&gt;LEFT('General inputs'!$I$16,4)+'General inputs'!$H$38-1,"",E93/(1+'General inputs'!$H$30)^C93)</f>
        <v>0</v>
      </c>
      <c r="G93" s="81">
        <f>IF(LEFT(D93,4)*1&gt;LEFT('General inputs'!$I$16,4)+'General inputs'!$H$38-1,"",E93/(1+'General inputs'!$H$32)^C93)</f>
        <v>0</v>
      </c>
      <c r="H93" s="81">
        <f>IF(LEFT(D93,4)*1&lt;LEFT('General inputs'!$I$16,4)*1,"",IF(LEFT(D93,4)*1&gt;LEFT('General inputs'!$I$16,4)+'General inputs'!$H$38-1,"",E93/(1+'General inputs'!$H$34)^C93))</f>
        <v>0</v>
      </c>
      <c r="J93" s="110"/>
      <c r="K93" s="110"/>
      <c r="L93" s="81" t="str">
        <f>IF(LEFT(D93,4)*1&gt;LEFT('General inputs'!$I$18,4)*1,"",SUMIF('Post-1996 commissioned assets'!$F$22:$F$1500,$D93,'Post-1996 commissioned assets'!$P$22:$P$1500)*(1+$K$34)*(1+$K$35))</f>
        <v/>
      </c>
      <c r="M93" s="81" t="str">
        <f>IF(L93="","",L93/(1+'General inputs'!$H$32)^C93)</f>
        <v/>
      </c>
      <c r="N93" s="81">
        <f>IF(LEFT(D93,4)*1&lt;LEFT('General inputs'!$I$18,4)*1+1,"",SUMIF('Uncommissioned assets'!$F$22:$F$1500,$D93,'Uncommissioned assets'!$P$22:$P$1500))</f>
        <v>0</v>
      </c>
      <c r="O93" s="81">
        <f>IF(N93="","",N93/(1+'General inputs'!$H$32)^C93)</f>
        <v>0</v>
      </c>
      <c r="Q93" s="86">
        <f>'Reduction amount'!M65</f>
        <v>1049846.6794027179</v>
      </c>
      <c r="R93" s="81">
        <f>IF(OR(LEFT(D93,4)*1&lt;LEFT('General inputs'!$I$16,4)*1,LEFT(D93,4)*1&gt;LEFT('General inputs'!$I$16,4)+'General inputs'!$H$38-1),"",Q93/(1+'General inputs'!$H$34)^C93)</f>
        <v>345698.47754189972</v>
      </c>
      <c r="T93" s="86">
        <f>'Reduction amount'!H65</f>
        <v>678439.09605193918</v>
      </c>
      <c r="U93" s="81">
        <f>IF(OR(LEFT(D93,4)*1&lt;LEFT('General inputs'!$I$16,4)*1,LEFT(D93,4)*1&gt;LEFT('General inputs'!$I$16,4)+'General inputs'!$H$38-1),"",T93/(1+'General inputs'!$H$34)^C93)</f>
        <v>223399.63273826864</v>
      </c>
      <c r="V93" s="54"/>
    </row>
    <row r="94" spans="2:22" x14ac:dyDescent="0.25">
      <c r="B94" s="53"/>
      <c r="C94" s="28">
        <f>IF(D94='General inputs'!$I$16,0,IF(D94&lt;'General inputs'!$I$16,C95-1,C93+1))</f>
        <v>28</v>
      </c>
      <c r="D94" s="28" t="str">
        <f t="shared" si="1"/>
        <v>2050-51</v>
      </c>
      <c r="E94" s="81">
        <f>IF(LEFT(D94,4)*1&gt;LEFT('General inputs'!$I$16,4)+'General inputs'!$H$38-1,"",'ET inputs'!D67)</f>
        <v>0</v>
      </c>
      <c r="F94" s="81">
        <f>IF(LEFT(D94,4)*1&gt;LEFT('General inputs'!$I$16,4)+'General inputs'!$H$38-1,"",E94/(1+'General inputs'!$H$30)^C94)</f>
        <v>0</v>
      </c>
      <c r="G94" s="81">
        <f>IF(LEFT(D94,4)*1&gt;LEFT('General inputs'!$I$16,4)+'General inputs'!$H$38-1,"",E94/(1+'General inputs'!$H$32)^C94)</f>
        <v>0</v>
      </c>
      <c r="H94" s="81">
        <f>IF(LEFT(D94,4)*1&lt;LEFT('General inputs'!$I$16,4)*1,"",IF(LEFT(D94,4)*1&gt;LEFT('General inputs'!$I$16,4)+'General inputs'!$H$38-1,"",E94/(1+'General inputs'!$H$34)^C94))</f>
        <v>0</v>
      </c>
      <c r="J94" s="110"/>
      <c r="K94" s="110"/>
      <c r="L94" s="81" t="str">
        <f>IF(LEFT(D94,4)*1&gt;LEFT('General inputs'!$I$18,4)*1,"",SUMIF('Post-1996 commissioned assets'!$F$22:$F$1500,$D94,'Post-1996 commissioned assets'!$P$22:$P$1500)*(1+$K$34)*(1+$K$35))</f>
        <v/>
      </c>
      <c r="M94" s="81" t="str">
        <f>IF(L94="","",L94/(1+'General inputs'!$H$32)^C94)</f>
        <v/>
      </c>
      <c r="N94" s="81">
        <f>IF(LEFT(D94,4)*1&lt;LEFT('General inputs'!$I$18,4)*1+1,"",SUMIF('Uncommissioned assets'!$F$22:$F$1500,$D94,'Uncommissioned assets'!$P$22:$P$1500))</f>
        <v>0</v>
      </c>
      <c r="O94" s="81">
        <f>IF(N94="","",N94/(1+'General inputs'!$H$32)^C94)</f>
        <v>0</v>
      </c>
      <c r="Q94" s="86">
        <f>'Reduction amount'!M66</f>
        <v>1049846.6794027179</v>
      </c>
      <c r="R94" s="81">
        <f>IF(OR(LEFT(D94,4)*1&lt;LEFT('General inputs'!$I$16,4)*1,LEFT(D94,4)*1&gt;LEFT('General inputs'!$I$16,4)+'General inputs'!$H$38-1),"",Q94/(1+'General inputs'!$H$34)^C94)</f>
        <v>331764.37384059466</v>
      </c>
      <c r="T94" s="86">
        <f>'Reduction amount'!H66</f>
        <v>678367.86972010287</v>
      </c>
      <c r="U94" s="81">
        <f>IF(OR(LEFT(D94,4)*1&lt;LEFT('General inputs'!$I$16,4)*1,LEFT(D94,4)*1&gt;LEFT('General inputs'!$I$16,4)+'General inputs'!$H$38-1),"",T94/(1+'General inputs'!$H$34)^C94)</f>
        <v>214372.53262477234</v>
      </c>
      <c r="V94" s="54"/>
    </row>
    <row r="95" spans="2:22" x14ac:dyDescent="0.25">
      <c r="B95" s="53"/>
      <c r="C95" s="28">
        <f>IF(D95='General inputs'!$I$16,0,IF(D95&lt;'General inputs'!$I$16,C96-1,C94+1))</f>
        <v>29</v>
      </c>
      <c r="D95" s="28" t="str">
        <f t="shared" si="1"/>
        <v>2051-52</v>
      </c>
      <c r="E95" s="81">
        <f>IF(LEFT(D95,4)*1&gt;LEFT('General inputs'!$I$16,4)+'General inputs'!$H$38-1,"",'ET inputs'!D68)</f>
        <v>0</v>
      </c>
      <c r="F95" s="81">
        <f>IF(LEFT(D95,4)*1&gt;LEFT('General inputs'!$I$16,4)+'General inputs'!$H$38-1,"",E95/(1+'General inputs'!$H$30)^C95)</f>
        <v>0</v>
      </c>
      <c r="G95" s="81">
        <f>IF(LEFT(D95,4)*1&gt;LEFT('General inputs'!$I$16,4)+'General inputs'!$H$38-1,"",E95/(1+'General inputs'!$H$32)^C95)</f>
        <v>0</v>
      </c>
      <c r="H95" s="81">
        <f>IF(LEFT(D95,4)*1&lt;LEFT('General inputs'!$I$16,4)*1,"",IF(LEFT(D95,4)*1&gt;LEFT('General inputs'!$I$16,4)+'General inputs'!$H$38-1,"",E95/(1+'General inputs'!$H$34)^C95))</f>
        <v>0</v>
      </c>
      <c r="J95" s="110"/>
      <c r="K95" s="110"/>
      <c r="L95" s="81" t="str">
        <f>IF(LEFT(D95,4)*1&gt;LEFT('General inputs'!$I$18,4)*1,"",SUMIF('Post-1996 commissioned assets'!$F$22:$F$1500,$D95,'Post-1996 commissioned assets'!$P$22:$P$1500)*(1+$K$34)*(1+$K$35))</f>
        <v/>
      </c>
      <c r="M95" s="81" t="str">
        <f>IF(L95="","",L95/(1+'General inputs'!$H$32)^C95)</f>
        <v/>
      </c>
      <c r="N95" s="81">
        <f>IF(LEFT(D95,4)*1&lt;LEFT('General inputs'!$I$18,4)*1+1,"",SUMIF('Uncommissioned assets'!$F$22:$F$1500,$D95,'Uncommissioned assets'!$P$22:$P$1500))</f>
        <v>0</v>
      </c>
      <c r="O95" s="81">
        <f>IF(N95="","",N95/(1+'General inputs'!$H$32)^C95)</f>
        <v>0</v>
      </c>
      <c r="Q95" s="86">
        <f>'Reduction amount'!M67</f>
        <v>1049846.6794027179</v>
      </c>
      <c r="R95" s="81">
        <f>IF(OR(LEFT(D95,4)*1&lt;LEFT('General inputs'!$I$16,4)*1,LEFT(D95,4)*1&gt;LEFT('General inputs'!$I$16,4)+'General inputs'!$H$38-1),"",Q95/(1+'General inputs'!$H$34)^C95)</f>
        <v>318391.91347465897</v>
      </c>
      <c r="T95" s="86">
        <f>'Reduction amount'!H67</f>
        <v>678309.62067894277</v>
      </c>
      <c r="U95" s="81">
        <f>IF(OR(LEFT(D95,4)*1&lt;LEFT('General inputs'!$I$16,4)*1,LEFT(D95,4)*1&gt;LEFT('General inputs'!$I$16,4)+'General inputs'!$H$38-1),"",T95/(1+'General inputs'!$H$34)^C95)</f>
        <v>205714.13168550294</v>
      </c>
      <c r="V95" s="54"/>
    </row>
    <row r="96" spans="2:22" x14ac:dyDescent="0.25">
      <c r="B96" s="53"/>
      <c r="C96" s="28">
        <f>IF(D96='General inputs'!$I$16,0,IF(D96&lt;'General inputs'!$I$16,C97-1,C95+1))</f>
        <v>30</v>
      </c>
      <c r="D96" s="28" t="str">
        <f t="shared" si="1"/>
        <v>2052-53</v>
      </c>
      <c r="E96" s="81" t="str">
        <f>IF(LEFT(D96,4)*1&gt;LEFT('General inputs'!$I$16,4)+'General inputs'!$H$38-1,"",'ET inputs'!D69)</f>
        <v/>
      </c>
      <c r="F96" s="81" t="str">
        <f>IF(LEFT(D96,4)*1&gt;LEFT('General inputs'!$I$16,4)+'General inputs'!$H$38-1,"",E96/(1+'General inputs'!$H$30)^C96)</f>
        <v/>
      </c>
      <c r="G96" s="81" t="str">
        <f>IF(LEFT(D96,4)*1&gt;LEFT('General inputs'!$I$16,4)+'General inputs'!$H$38-1,"",E96/(1+'General inputs'!$H$32)^C96)</f>
        <v/>
      </c>
      <c r="H96" s="81" t="str">
        <f>IF(LEFT(D96,4)*1&lt;LEFT('General inputs'!$I$16,4)*1,"",IF(LEFT(D96,4)*1&gt;LEFT('General inputs'!$I$16,4)+'General inputs'!$H$38-1,"",E96/(1+'General inputs'!$H$34)^C96))</f>
        <v/>
      </c>
      <c r="J96" s="110"/>
      <c r="K96" s="110"/>
      <c r="L96" s="81" t="str">
        <f>IF(LEFT(D96,4)*1&gt;LEFT('General inputs'!$I$18,4)*1,"",SUMIF('Post-1996 commissioned assets'!$F$22:$F$1500,$D96,'Post-1996 commissioned assets'!$P$22:$P$1500)*(1+$K$34)*(1+$K$35))</f>
        <v/>
      </c>
      <c r="M96" s="81" t="str">
        <f>IF(L96="","",L96/(1+'General inputs'!$H$32)^C96)</f>
        <v/>
      </c>
      <c r="N96" s="81">
        <f>IF(LEFT(D96,4)*1&lt;LEFT('General inputs'!$I$18,4)*1+1,"",SUMIF('Uncommissioned assets'!$F$22:$F$1500,$D96,'Uncommissioned assets'!$P$22:$P$1500))</f>
        <v>0</v>
      </c>
      <c r="O96" s="81">
        <f>IF(N96="","",N96/(1+'General inputs'!$H$32)^C96)</f>
        <v>0</v>
      </c>
      <c r="Q96" s="38"/>
      <c r="R96" s="81" t="str">
        <f>IF(OR(LEFT(D96,4)*1&lt;LEFT('General inputs'!$I$16,4)*1,LEFT(D96,4)*1&gt;LEFT('General inputs'!$I$16,4)+'General inputs'!$H$38-1),"",Q96/(1+'General inputs'!$H$34)^C96)</f>
        <v/>
      </c>
      <c r="T96" s="38"/>
      <c r="U96" s="81" t="str">
        <f>IF(OR(LEFT(D96,4)*1&lt;LEFT('General inputs'!$I$16,4)*1,LEFT(D96,4)*1&gt;LEFT('General inputs'!$I$16,4)+'General inputs'!$H$38-1),"",T96/(1+'General inputs'!$H$34)^C96)</f>
        <v/>
      </c>
      <c r="V96" s="54"/>
    </row>
    <row r="97" spans="2:22" x14ac:dyDescent="0.25">
      <c r="B97" s="53"/>
      <c r="C97" s="28">
        <f>IF(D97='General inputs'!$I$16,0,IF(D97&lt;'General inputs'!$I$16,C98-1,C96+1))</f>
        <v>31</v>
      </c>
      <c r="D97" s="28" t="str">
        <f t="shared" si="1"/>
        <v>2053-54</v>
      </c>
      <c r="E97" s="81" t="str">
        <f>IF(LEFT(D97,4)*1&gt;LEFT('General inputs'!$I$16,4)+'General inputs'!$H$38-1,"",'ET inputs'!D70)</f>
        <v/>
      </c>
      <c r="F97" s="81" t="str">
        <f>IF(LEFT(D97,4)*1&gt;LEFT('General inputs'!$I$16,4)+'General inputs'!$H$38-1,"",E97/(1+'General inputs'!$H$30)^C97)</f>
        <v/>
      </c>
      <c r="G97" s="81" t="str">
        <f>IF(LEFT(D97,4)*1&gt;LEFT('General inputs'!$I$16,4)+'General inputs'!$H$38-1,"",E97/(1+'General inputs'!$H$32)^C97)</f>
        <v/>
      </c>
      <c r="H97" s="81" t="str">
        <f>IF(LEFT(D97,4)*1&lt;LEFT('General inputs'!$I$16,4)*1,"",IF(LEFT(D97,4)*1&gt;LEFT('General inputs'!$I$16,4)+'General inputs'!$H$38-1,"",E97/(1+'General inputs'!$H$34)^C97))</f>
        <v/>
      </c>
      <c r="J97" s="110"/>
      <c r="K97" s="110"/>
      <c r="L97" s="81" t="str">
        <f>IF(LEFT(D97,4)*1&gt;LEFT('General inputs'!$I$18,4)*1,"",SUMIF('Post-1996 commissioned assets'!$F$22:$F$1500,$D97,'Post-1996 commissioned assets'!$P$22:$P$1500)*(1+$K$34)*(1+$K$35))</f>
        <v/>
      </c>
      <c r="M97" s="81" t="str">
        <f>IF(L97="","",L97/(1+'General inputs'!$H$32)^C97)</f>
        <v/>
      </c>
      <c r="N97" s="81">
        <f>IF(LEFT(D97,4)*1&lt;LEFT('General inputs'!$I$18,4)*1+1,"",SUMIF('Uncommissioned assets'!$F$22:$F$1500,$D97,'Uncommissioned assets'!$P$22:$P$1500))</f>
        <v>0</v>
      </c>
      <c r="O97" s="81">
        <f>IF(N97="","",N97/(1+'General inputs'!$H$32)^C97)</f>
        <v>0</v>
      </c>
      <c r="Q97" s="38"/>
      <c r="R97" s="81" t="str">
        <f>IF(OR(LEFT(D97,4)*1&lt;LEFT('General inputs'!$I$16,4)*1,LEFT(D97,4)*1&gt;LEFT('General inputs'!$I$16,4)+'General inputs'!$H$38-1),"",Q97/(1+'General inputs'!$H$34)^C97)</f>
        <v/>
      </c>
      <c r="T97" s="38"/>
      <c r="U97" s="81" t="str">
        <f>IF(OR(LEFT(D97,4)*1&lt;LEFT('General inputs'!$I$16,4)*1,LEFT(D97,4)*1&gt;LEFT('General inputs'!$I$16,4)+'General inputs'!$H$38-1),"",T97/(1+'General inputs'!$H$34)^C97)</f>
        <v/>
      </c>
      <c r="V97" s="54"/>
    </row>
    <row r="98" spans="2:22" x14ac:dyDescent="0.25">
      <c r="B98" s="53"/>
      <c r="C98" s="28">
        <f>IF(D98='General inputs'!$I$16,0,IF(D98&lt;'General inputs'!$I$16,C99-1,C97+1))</f>
        <v>32</v>
      </c>
      <c r="D98" s="28" t="str">
        <f t="shared" si="1"/>
        <v>2054-55</v>
      </c>
      <c r="E98" s="81" t="str">
        <f>IF(LEFT(D98,4)*1&gt;LEFT('General inputs'!$I$16,4)+'General inputs'!$H$38-1,"",'ET inputs'!D71)</f>
        <v/>
      </c>
      <c r="F98" s="81" t="str">
        <f>IF(LEFT(D98,4)*1&gt;LEFT('General inputs'!$I$16,4)+'General inputs'!$H$38-1,"",E98/(1+'General inputs'!$H$30)^C98)</f>
        <v/>
      </c>
      <c r="G98" s="81" t="str">
        <f>IF(LEFT(D98,4)*1&gt;LEFT('General inputs'!$I$16,4)+'General inputs'!$H$38-1,"",E98/(1+'General inputs'!$H$32)^C98)</f>
        <v/>
      </c>
      <c r="H98" s="81" t="str">
        <f>IF(LEFT(D98,4)*1&lt;LEFT('General inputs'!$I$16,4)*1,"",IF(LEFT(D98,4)*1&gt;LEFT('General inputs'!$I$16,4)+'General inputs'!$H$38-1,"",E98/(1+'General inputs'!$H$34)^C98))</f>
        <v/>
      </c>
      <c r="J98" s="110"/>
      <c r="K98" s="110"/>
      <c r="L98" s="81" t="str">
        <f>IF(LEFT(D98,4)*1&gt;LEFT('General inputs'!$I$18,4)*1,"",SUMIF('Post-1996 commissioned assets'!$F$22:$F$1500,$D98,'Post-1996 commissioned assets'!$P$22:$P$1500)*(1+$K$34)*(1+$K$35))</f>
        <v/>
      </c>
      <c r="M98" s="81" t="str">
        <f>IF(L98="","",L98/(1+'General inputs'!$H$32)^C98)</f>
        <v/>
      </c>
      <c r="N98" s="81">
        <f>IF(LEFT(D98,4)*1&lt;LEFT('General inputs'!$I$18,4)*1+1,"",SUMIF('Uncommissioned assets'!$F$22:$F$1500,$D98,'Uncommissioned assets'!$P$22:$P$1500))</f>
        <v>0</v>
      </c>
      <c r="O98" s="81">
        <f>IF(N98="","",N98/(1+'General inputs'!$H$32)^C98)</f>
        <v>0</v>
      </c>
      <c r="Q98" s="38"/>
      <c r="R98" s="81" t="str">
        <f>IF(OR(LEFT(D98,4)*1&lt;LEFT('General inputs'!$I$16,4)*1,LEFT(D98,4)*1&gt;LEFT('General inputs'!$I$16,4)+'General inputs'!$H$38-1),"",Q98/(1+'General inputs'!$H$34)^C98)</f>
        <v/>
      </c>
      <c r="T98" s="38"/>
      <c r="U98" s="81" t="str">
        <f>IF(OR(LEFT(D98,4)*1&lt;LEFT('General inputs'!$I$16,4)*1,LEFT(D98,4)*1&gt;LEFT('General inputs'!$I$16,4)+'General inputs'!$H$38-1),"",T98/(1+'General inputs'!$H$34)^C98)</f>
        <v/>
      </c>
      <c r="V98" s="54"/>
    </row>
    <row r="99" spans="2:22" x14ac:dyDescent="0.25">
      <c r="B99" s="53"/>
      <c r="C99" s="28">
        <f>IF(D99='General inputs'!$I$16,0,IF(D99&lt;'General inputs'!$I$16,C100-1,C98+1))</f>
        <v>33</v>
      </c>
      <c r="D99" s="28" t="str">
        <f t="shared" si="1"/>
        <v>2055-56</v>
      </c>
      <c r="E99" s="81" t="str">
        <f>IF(LEFT(D99,4)*1&gt;LEFT('General inputs'!$I$16,4)+'General inputs'!$H$38-1,"",'ET inputs'!D72)</f>
        <v/>
      </c>
      <c r="F99" s="81" t="str">
        <f>IF(LEFT(D99,4)*1&gt;LEFT('General inputs'!$I$16,4)+'General inputs'!$H$38-1,"",E99/(1+'General inputs'!$H$30)^C99)</f>
        <v/>
      </c>
      <c r="G99" s="81" t="str">
        <f>IF(LEFT(D99,4)*1&gt;LEFT('General inputs'!$I$16,4)+'General inputs'!$H$38-1,"",E99/(1+'General inputs'!$H$32)^C99)</f>
        <v/>
      </c>
      <c r="H99" s="81" t="str">
        <f>IF(LEFT(D99,4)*1&lt;LEFT('General inputs'!$I$16,4)*1,"",IF(LEFT(D99,4)*1&gt;LEFT('General inputs'!$I$16,4)+'General inputs'!$H$38-1,"",E99/(1+'General inputs'!$H$34)^C99))</f>
        <v/>
      </c>
      <c r="J99" s="110"/>
      <c r="K99" s="110"/>
      <c r="L99" s="81" t="str">
        <f>IF(LEFT(D99,4)*1&gt;LEFT('General inputs'!$I$18,4)*1,"",SUMIF('Post-1996 commissioned assets'!$F$22:$F$1500,$D99,'Post-1996 commissioned assets'!$P$22:$P$1500)*(1+$K$34)*(1+$K$35))</f>
        <v/>
      </c>
      <c r="M99" s="81" t="str">
        <f>IF(L99="","",L99/(1+'General inputs'!$H$32)^C99)</f>
        <v/>
      </c>
      <c r="N99" s="81">
        <f>IF(LEFT(D99,4)*1&lt;LEFT('General inputs'!$I$18,4)*1+1,"",SUMIF('Uncommissioned assets'!$F$22:$F$1500,$D99,'Uncommissioned assets'!$P$22:$P$1500))</f>
        <v>0</v>
      </c>
      <c r="O99" s="81">
        <f>IF(N99="","",N99/(1+'General inputs'!$H$32)^C99)</f>
        <v>0</v>
      </c>
      <c r="Q99" s="38"/>
      <c r="R99" s="81" t="str">
        <f>IF(OR(LEFT(D99,4)*1&lt;LEFT('General inputs'!$I$16,4)*1,LEFT(D99,4)*1&gt;LEFT('General inputs'!$I$16,4)+'General inputs'!$H$38-1),"",Q99/(1+'General inputs'!$H$34)^C99)</f>
        <v/>
      </c>
      <c r="T99" s="38"/>
      <c r="U99" s="81" t="str">
        <f>IF(OR(LEFT(D99,4)*1&lt;LEFT('General inputs'!$I$16,4)*1,LEFT(D99,4)*1&gt;LEFT('General inputs'!$I$16,4)+'General inputs'!$H$38-1),"",T99/(1+'General inputs'!$H$34)^C99)</f>
        <v/>
      </c>
      <c r="V99" s="54"/>
    </row>
    <row r="100" spans="2:22" x14ac:dyDescent="0.25">
      <c r="B100" s="53"/>
      <c r="C100" s="28">
        <f>IF(D100='General inputs'!$I$16,0,IF(D100&lt;'General inputs'!$I$16,C101-1,C99+1))</f>
        <v>34</v>
      </c>
      <c r="D100" s="28" t="str">
        <f t="shared" ref="D100:D122" si="3">LEFT(D99,4)+1&amp;"-"&amp;RIGHT(D99,2)+1</f>
        <v>2056-57</v>
      </c>
      <c r="E100" s="81" t="str">
        <f>IF(LEFT(D100,4)*1&gt;LEFT('General inputs'!$I$16,4)+'General inputs'!$H$38-1,"",'ET inputs'!D73)</f>
        <v/>
      </c>
      <c r="F100" s="81" t="str">
        <f>IF(LEFT(D100,4)*1&gt;LEFT('General inputs'!$I$16,4)+'General inputs'!$H$38-1,"",E100/(1+'General inputs'!$H$30)^C100)</f>
        <v/>
      </c>
      <c r="G100" s="81" t="str">
        <f>IF(LEFT(D100,4)*1&gt;LEFT('General inputs'!$I$16,4)+'General inputs'!$H$38-1,"",E100/(1+'General inputs'!$H$32)^C100)</f>
        <v/>
      </c>
      <c r="H100" s="81" t="str">
        <f>IF(LEFT(D100,4)*1&lt;LEFT('General inputs'!$I$16,4)*1,"",IF(LEFT(D100,4)*1&gt;LEFT('General inputs'!$I$16,4)+'General inputs'!$H$38-1,"",E100/(1+'General inputs'!$H$34)^C100))</f>
        <v/>
      </c>
      <c r="J100" s="110"/>
      <c r="K100" s="110"/>
      <c r="L100" s="81" t="str">
        <f>IF(LEFT(D100,4)*1&gt;LEFT('General inputs'!$I$18,4)*1,"",SUMIF('Post-1996 commissioned assets'!$F$22:$F$1500,$D100,'Post-1996 commissioned assets'!$P$22:$P$1500)*(1+$K$34)*(1+$K$35))</f>
        <v/>
      </c>
      <c r="M100" s="81" t="str">
        <f>IF(L100="","",L100/(1+'General inputs'!$H$32)^C100)</f>
        <v/>
      </c>
      <c r="N100" s="81">
        <f>IF(LEFT(D100,4)*1&lt;LEFT('General inputs'!$I$18,4)*1+1,"",SUMIF('Uncommissioned assets'!$F$22:$F$1500,$D100,'Uncommissioned assets'!$P$22:$P$1500))</f>
        <v>0</v>
      </c>
      <c r="O100" s="81">
        <f>IF(N100="","",N100/(1+'General inputs'!$H$32)^C100)</f>
        <v>0</v>
      </c>
      <c r="Q100" s="38"/>
      <c r="R100" s="81" t="str">
        <f>IF(OR(LEFT(D100,4)*1&lt;LEFT('General inputs'!$I$16,4)*1,LEFT(D100,4)*1&gt;LEFT('General inputs'!$I$16,4)+'General inputs'!$H$38-1),"",Q100/(1+'General inputs'!$H$34)^C100)</f>
        <v/>
      </c>
      <c r="T100" s="38"/>
      <c r="U100" s="81" t="str">
        <f>IF(OR(LEFT(D100,4)*1&lt;LEFT('General inputs'!$I$16,4)*1,LEFT(D100,4)*1&gt;LEFT('General inputs'!$I$16,4)+'General inputs'!$H$38-1),"",T100/(1+'General inputs'!$H$34)^C100)</f>
        <v/>
      </c>
      <c r="V100" s="54"/>
    </row>
    <row r="101" spans="2:22" x14ac:dyDescent="0.25">
      <c r="B101" s="53"/>
      <c r="C101" s="28">
        <f>IF(D101='General inputs'!$I$16,0,IF(D101&lt;'General inputs'!$I$16,C102-1,C100+1))</f>
        <v>35</v>
      </c>
      <c r="D101" s="28" t="str">
        <f t="shared" si="3"/>
        <v>2057-58</v>
      </c>
      <c r="E101" s="81" t="str">
        <f>IF(LEFT(D101,4)*1&gt;LEFT('General inputs'!$I$16,4)+'General inputs'!$H$38-1,"",'ET inputs'!D74)</f>
        <v/>
      </c>
      <c r="F101" s="81" t="str">
        <f>IF(LEFT(D101,4)*1&gt;LEFT('General inputs'!$I$16,4)+'General inputs'!$H$38-1,"",E101/(1+'General inputs'!$H$30)^C101)</f>
        <v/>
      </c>
      <c r="G101" s="81" t="str">
        <f>IF(LEFT(D101,4)*1&gt;LEFT('General inputs'!$I$16,4)+'General inputs'!$H$38-1,"",E101/(1+'General inputs'!$H$32)^C101)</f>
        <v/>
      </c>
      <c r="H101" s="81" t="str">
        <f>IF(LEFT(D101,4)*1&lt;LEFT('General inputs'!$I$16,4)*1,"",IF(LEFT(D101,4)*1&gt;LEFT('General inputs'!$I$16,4)+'General inputs'!$H$38-1,"",E101/(1+'General inputs'!$H$34)^C101))</f>
        <v/>
      </c>
      <c r="J101" s="110"/>
      <c r="K101" s="110"/>
      <c r="L101" s="81" t="str">
        <f>IF(LEFT(D101,4)*1&gt;LEFT('General inputs'!$I$18,4)*1,"",SUMIF('Post-1996 commissioned assets'!$F$22:$F$1500,$D101,'Post-1996 commissioned assets'!$P$22:$P$1500)*(1+$K$34)*(1+$K$35))</f>
        <v/>
      </c>
      <c r="M101" s="81" t="str">
        <f>IF(L101="","",L101/(1+'General inputs'!$H$32)^C101)</f>
        <v/>
      </c>
      <c r="N101" s="81">
        <f>IF(LEFT(D101,4)*1&lt;LEFT('General inputs'!$I$18,4)*1+1,"",SUMIF('Uncommissioned assets'!$F$22:$F$1500,$D101,'Uncommissioned assets'!$P$22:$P$1500))</f>
        <v>0</v>
      </c>
      <c r="O101" s="81">
        <f>IF(N101="","",N101/(1+'General inputs'!$H$32)^C101)</f>
        <v>0</v>
      </c>
      <c r="Q101" s="38"/>
      <c r="R101" s="81" t="str">
        <f>IF(OR(LEFT(D101,4)*1&lt;LEFT('General inputs'!$I$16,4)*1,LEFT(D101,4)*1&gt;LEFT('General inputs'!$I$16,4)+'General inputs'!$H$38-1),"",Q101/(1+'General inputs'!$H$34)^C101)</f>
        <v/>
      </c>
      <c r="T101" s="38"/>
      <c r="U101" s="81" t="str">
        <f>IF(OR(LEFT(D101,4)*1&lt;LEFT('General inputs'!$I$16,4)*1,LEFT(D101,4)*1&gt;LEFT('General inputs'!$I$16,4)+'General inputs'!$H$38-1),"",T101/(1+'General inputs'!$H$34)^C101)</f>
        <v/>
      </c>
      <c r="V101" s="54"/>
    </row>
    <row r="102" spans="2:22" x14ac:dyDescent="0.25">
      <c r="B102" s="53"/>
      <c r="C102" s="28">
        <f>IF(D102='General inputs'!$I$16,0,IF(D102&lt;'General inputs'!$I$16,C103-1,C101+1))</f>
        <v>36</v>
      </c>
      <c r="D102" s="28" t="str">
        <f t="shared" si="3"/>
        <v>2058-59</v>
      </c>
      <c r="E102" s="81" t="str">
        <f>IF(LEFT(D102,4)*1&gt;LEFT('General inputs'!$I$16,4)+'General inputs'!$H$38-1,"",'ET inputs'!D75)</f>
        <v/>
      </c>
      <c r="F102" s="81" t="str">
        <f>IF(LEFT(D102,4)*1&gt;LEFT('General inputs'!$I$16,4)+'General inputs'!$H$38-1,"",E102/(1+'General inputs'!$H$30)^C102)</f>
        <v/>
      </c>
      <c r="G102" s="81" t="str">
        <f>IF(LEFT(D102,4)*1&gt;LEFT('General inputs'!$I$16,4)+'General inputs'!$H$38-1,"",E102/(1+'General inputs'!$H$32)^C102)</f>
        <v/>
      </c>
      <c r="H102" s="81" t="str">
        <f>IF(LEFT(D102,4)*1&lt;LEFT('General inputs'!$I$16,4)*1,"",IF(LEFT(D102,4)*1&gt;LEFT('General inputs'!$I$16,4)+'General inputs'!$H$38-1,"",E102/(1+'General inputs'!$H$34)^C102))</f>
        <v/>
      </c>
      <c r="J102" s="110"/>
      <c r="K102" s="110"/>
      <c r="L102" s="81" t="str">
        <f>IF(LEFT(D102,4)*1&gt;LEFT('General inputs'!$I$18,4)*1,"",SUMIF('Post-1996 commissioned assets'!$F$22:$F$1500,$D102,'Post-1996 commissioned assets'!$P$22:$P$1500)*(1+$K$34)*(1+$K$35))</f>
        <v/>
      </c>
      <c r="M102" s="81" t="str">
        <f>IF(L102="","",L102/(1+'General inputs'!$H$32)^C102)</f>
        <v/>
      </c>
      <c r="N102" s="81">
        <f>IF(LEFT(D102,4)*1&lt;LEFT('General inputs'!$I$18,4)*1+1,"",SUMIF('Uncommissioned assets'!$F$22:$F$1500,$D102,'Uncommissioned assets'!$P$22:$P$1500))</f>
        <v>0</v>
      </c>
      <c r="O102" s="81">
        <f>IF(N102="","",N102/(1+'General inputs'!$H$32)^C102)</f>
        <v>0</v>
      </c>
      <c r="Q102" s="38"/>
      <c r="R102" s="81" t="str">
        <f>IF(OR(LEFT(D102,4)*1&lt;LEFT('General inputs'!$I$16,4)*1,LEFT(D102,4)*1&gt;LEFT('General inputs'!$I$16,4)+'General inputs'!$H$38-1),"",Q102/(1+'General inputs'!$H$34)^C102)</f>
        <v/>
      </c>
      <c r="T102" s="38"/>
      <c r="U102" s="81" t="str">
        <f>IF(OR(LEFT(D102,4)*1&lt;LEFT('General inputs'!$I$16,4)*1,LEFT(D102,4)*1&gt;LEFT('General inputs'!$I$16,4)+'General inputs'!$H$38-1),"",T102/(1+'General inputs'!$H$34)^C102)</f>
        <v/>
      </c>
      <c r="V102" s="54"/>
    </row>
    <row r="103" spans="2:22" x14ac:dyDescent="0.25">
      <c r="B103" s="53"/>
      <c r="C103" s="28">
        <f>IF(D103='General inputs'!$I$16,0,IF(D103&lt;'General inputs'!$I$16,C104-1,C102+1))</f>
        <v>37</v>
      </c>
      <c r="D103" s="28" t="str">
        <f t="shared" si="3"/>
        <v>2059-60</v>
      </c>
      <c r="E103" s="81" t="str">
        <f>IF(LEFT(D103,4)*1&gt;LEFT('General inputs'!$I$16,4)+'General inputs'!$H$38-1,"",'ET inputs'!D76)</f>
        <v/>
      </c>
      <c r="F103" s="81" t="str">
        <f>IF(LEFT(D103,4)*1&gt;LEFT('General inputs'!$I$16,4)+'General inputs'!$H$38-1,"",E103/(1+'General inputs'!$H$30)^C103)</f>
        <v/>
      </c>
      <c r="G103" s="81" t="str">
        <f>IF(LEFT(D103,4)*1&gt;LEFT('General inputs'!$I$16,4)+'General inputs'!$H$38-1,"",E103/(1+'General inputs'!$H$32)^C103)</f>
        <v/>
      </c>
      <c r="H103" s="81" t="str">
        <f>IF(LEFT(D103,4)*1&lt;LEFT('General inputs'!$I$16,4)*1,"",IF(LEFT(D103,4)*1&gt;LEFT('General inputs'!$I$16,4)+'General inputs'!$H$38-1,"",E103/(1+'General inputs'!$H$34)^C103))</f>
        <v/>
      </c>
      <c r="J103" s="110"/>
      <c r="K103" s="110"/>
      <c r="L103" s="81" t="str">
        <f>IF(LEFT(D103,4)*1&gt;LEFT('General inputs'!$I$18,4)*1,"",SUMIF('Post-1996 commissioned assets'!$F$22:$F$1500,$D103,'Post-1996 commissioned assets'!$P$22:$P$1500)*(1+$K$34)*(1+$K$35))</f>
        <v/>
      </c>
      <c r="M103" s="81" t="str">
        <f>IF(L103="","",L103/(1+'General inputs'!$H$32)^C103)</f>
        <v/>
      </c>
      <c r="N103" s="81">
        <f>IF(LEFT(D103,4)*1&lt;LEFT('General inputs'!$I$18,4)*1+1,"",SUMIF('Uncommissioned assets'!$F$22:$F$1500,$D103,'Uncommissioned assets'!$P$22:$P$1500))</f>
        <v>0</v>
      </c>
      <c r="O103" s="81">
        <f>IF(N103="","",N103/(1+'General inputs'!$H$32)^C103)</f>
        <v>0</v>
      </c>
      <c r="Q103" s="38"/>
      <c r="R103" s="81" t="str">
        <f>IF(OR(LEFT(D103,4)*1&lt;LEFT('General inputs'!$I$16,4)*1,LEFT(D103,4)*1&gt;LEFT('General inputs'!$I$16,4)+'General inputs'!$H$38-1),"",Q103/(1+'General inputs'!$H$34)^C103)</f>
        <v/>
      </c>
      <c r="T103" s="38"/>
      <c r="U103" s="81" t="str">
        <f>IF(OR(LEFT(D103,4)*1&lt;LEFT('General inputs'!$I$16,4)*1,LEFT(D103,4)*1&gt;LEFT('General inputs'!$I$16,4)+'General inputs'!$H$38-1),"",T103/(1+'General inputs'!$H$34)^C103)</f>
        <v/>
      </c>
      <c r="V103" s="54"/>
    </row>
    <row r="104" spans="2:22" x14ac:dyDescent="0.25">
      <c r="B104" s="53"/>
      <c r="C104" s="28">
        <f>IF(D104='General inputs'!$I$16,0,IF(D104&lt;'General inputs'!$I$16,C105-1,C103+1))</f>
        <v>38</v>
      </c>
      <c r="D104" s="28" t="str">
        <f t="shared" si="3"/>
        <v>2060-61</v>
      </c>
      <c r="E104" s="81" t="str">
        <f>IF(LEFT(D104,4)*1&gt;LEFT('General inputs'!$I$16,4)+'General inputs'!$H$38-1,"",'ET inputs'!D77)</f>
        <v/>
      </c>
      <c r="F104" s="81" t="str">
        <f>IF(LEFT(D104,4)*1&gt;LEFT('General inputs'!$I$16,4)+'General inputs'!$H$38-1,"",E104/(1+'General inputs'!$H$30)^C104)</f>
        <v/>
      </c>
      <c r="G104" s="81" t="str">
        <f>IF(LEFT(D104,4)*1&gt;LEFT('General inputs'!$I$16,4)+'General inputs'!$H$38-1,"",E104/(1+'General inputs'!$H$32)^C104)</f>
        <v/>
      </c>
      <c r="H104" s="81" t="str">
        <f>IF(LEFT(D104,4)*1&lt;LEFT('General inputs'!$I$16,4)*1,"",IF(LEFT(D104,4)*1&gt;LEFT('General inputs'!$I$16,4)+'General inputs'!$H$38-1,"",E104/(1+'General inputs'!$H$34)^C104))</f>
        <v/>
      </c>
      <c r="J104" s="110"/>
      <c r="K104" s="110"/>
      <c r="L104" s="81" t="str">
        <f>IF(LEFT(D104,4)*1&gt;LEFT('General inputs'!$I$18,4)*1,"",SUMIF('Post-1996 commissioned assets'!$F$22:$F$1500,$D104,'Post-1996 commissioned assets'!$P$22:$P$1500)*(1+$K$34)*(1+$K$35))</f>
        <v/>
      </c>
      <c r="M104" s="81" t="str">
        <f>IF(L104="","",L104/(1+'General inputs'!$H$32)^C104)</f>
        <v/>
      </c>
      <c r="N104" s="81">
        <f>IF(LEFT(D104,4)*1&lt;LEFT('General inputs'!$I$18,4)*1+1,"",SUMIF('Uncommissioned assets'!$F$22:$F$1500,$D104,'Uncommissioned assets'!$P$22:$P$1500))</f>
        <v>0</v>
      </c>
      <c r="O104" s="81">
        <f>IF(N104="","",N104/(1+'General inputs'!$H$32)^C104)</f>
        <v>0</v>
      </c>
      <c r="Q104" s="38"/>
      <c r="R104" s="81" t="str">
        <f>IF(OR(LEFT(D104,4)*1&lt;LEFT('General inputs'!$I$16,4)*1,LEFT(D104,4)*1&gt;LEFT('General inputs'!$I$16,4)+'General inputs'!$H$38-1),"",Q104/(1+'General inputs'!$H$34)^C104)</f>
        <v/>
      </c>
      <c r="T104" s="38"/>
      <c r="U104" s="81" t="str">
        <f>IF(OR(LEFT(D104,4)*1&lt;LEFT('General inputs'!$I$16,4)*1,LEFT(D104,4)*1&gt;LEFT('General inputs'!$I$16,4)+'General inputs'!$H$38-1),"",T104/(1+'General inputs'!$H$34)^C104)</f>
        <v/>
      </c>
      <c r="V104" s="54"/>
    </row>
    <row r="105" spans="2:22" x14ac:dyDescent="0.25">
      <c r="B105" s="53"/>
      <c r="C105" s="28">
        <f>IF(D105='General inputs'!$I$16,0,IF(D105&lt;'General inputs'!$I$16,C106-1,C104+1))</f>
        <v>39</v>
      </c>
      <c r="D105" s="28" t="str">
        <f t="shared" si="3"/>
        <v>2061-62</v>
      </c>
      <c r="E105" s="81" t="str">
        <f>IF(LEFT(D105,4)*1&gt;LEFT('General inputs'!$I$16,4)+'General inputs'!$H$38-1,"",'ET inputs'!D78)</f>
        <v/>
      </c>
      <c r="F105" s="81" t="str">
        <f>IF(LEFT(D105,4)*1&gt;LEFT('General inputs'!$I$16,4)+'General inputs'!$H$38-1,"",E105/(1+'General inputs'!$H$30)^C105)</f>
        <v/>
      </c>
      <c r="G105" s="81" t="str">
        <f>IF(LEFT(D105,4)*1&gt;LEFT('General inputs'!$I$16,4)+'General inputs'!$H$38-1,"",E105/(1+'General inputs'!$H$32)^C105)</f>
        <v/>
      </c>
      <c r="H105" s="81" t="str">
        <f>IF(LEFT(D105,4)*1&lt;LEFT('General inputs'!$I$16,4)*1,"",IF(LEFT(D105,4)*1&gt;LEFT('General inputs'!$I$16,4)+'General inputs'!$H$38-1,"",E105/(1+'General inputs'!$H$34)^C105))</f>
        <v/>
      </c>
      <c r="J105" s="110"/>
      <c r="K105" s="110"/>
      <c r="L105" s="81" t="str">
        <f>IF(LEFT(D105,4)*1&gt;LEFT('General inputs'!$I$18,4)*1,"",SUMIF('Post-1996 commissioned assets'!$F$22:$F$1500,$D105,'Post-1996 commissioned assets'!$P$22:$P$1500)*(1+$K$34)*(1+$K$35))</f>
        <v/>
      </c>
      <c r="M105" s="81" t="str">
        <f>IF(L105="","",L105/(1+'General inputs'!$H$32)^C105)</f>
        <v/>
      </c>
      <c r="N105" s="81">
        <f>IF(LEFT(D105,4)*1&lt;LEFT('General inputs'!$I$18,4)*1+1,"",SUMIF('Uncommissioned assets'!$F$22:$F$1500,$D105,'Uncommissioned assets'!$P$22:$P$1500))</f>
        <v>0</v>
      </c>
      <c r="O105" s="81">
        <f>IF(N105="","",N105/(1+'General inputs'!$H$32)^C105)</f>
        <v>0</v>
      </c>
      <c r="Q105" s="38"/>
      <c r="R105" s="81" t="str">
        <f>IF(OR(LEFT(D105,4)*1&lt;LEFT('General inputs'!$I$16,4)*1,LEFT(D105,4)*1&gt;LEFT('General inputs'!$I$16,4)+'General inputs'!$H$38-1),"",Q105/(1+'General inputs'!$H$34)^C105)</f>
        <v/>
      </c>
      <c r="T105" s="38"/>
      <c r="U105" s="81" t="str">
        <f>IF(OR(LEFT(D105,4)*1&lt;LEFT('General inputs'!$I$16,4)*1,LEFT(D105,4)*1&gt;LEFT('General inputs'!$I$16,4)+'General inputs'!$H$38-1),"",T105/(1+'General inputs'!$H$34)^C105)</f>
        <v/>
      </c>
      <c r="V105" s="54"/>
    </row>
    <row r="106" spans="2:22" x14ac:dyDescent="0.25">
      <c r="B106" s="53"/>
      <c r="C106" s="28">
        <f>IF(D106='General inputs'!$I$16,0,IF(D106&lt;'General inputs'!$I$16,C107-1,C105+1))</f>
        <v>40</v>
      </c>
      <c r="D106" s="28" t="str">
        <f t="shared" si="3"/>
        <v>2062-63</v>
      </c>
      <c r="E106" s="81" t="str">
        <f>IF(LEFT(D106,4)*1&gt;LEFT('General inputs'!$I$16,4)+'General inputs'!$H$38-1,"",'ET inputs'!D79)</f>
        <v/>
      </c>
      <c r="F106" s="81" t="str">
        <f>IF(LEFT(D106,4)*1&gt;LEFT('General inputs'!$I$16,4)+'General inputs'!$H$38-1,"",E106/(1+'General inputs'!$H$30)^C106)</f>
        <v/>
      </c>
      <c r="G106" s="81" t="str">
        <f>IF(LEFT(D106,4)*1&gt;LEFT('General inputs'!$I$16,4)+'General inputs'!$H$38-1,"",E106/(1+'General inputs'!$H$32)^C106)</f>
        <v/>
      </c>
      <c r="H106" s="81" t="str">
        <f>IF(LEFT(D106,4)*1&lt;LEFT('General inputs'!$I$16,4)*1,"",IF(LEFT(D106,4)*1&gt;LEFT('General inputs'!$I$16,4)+'General inputs'!$H$38-1,"",E106/(1+'General inputs'!$H$34)^C106))</f>
        <v/>
      </c>
      <c r="J106" s="110"/>
      <c r="K106" s="110"/>
      <c r="L106" s="81" t="str">
        <f>IF(LEFT(D106,4)*1&gt;LEFT('General inputs'!$I$18,4)*1,"",SUMIF('Post-1996 commissioned assets'!$F$22:$F$1500,$D106,'Post-1996 commissioned assets'!$P$22:$P$1500)*(1+$K$34)*(1+$K$35))</f>
        <v/>
      </c>
      <c r="M106" s="81" t="str">
        <f>IF(L106="","",L106/(1+'General inputs'!$H$32)^C106)</f>
        <v/>
      </c>
      <c r="N106" s="81">
        <f>IF(LEFT(D106,4)*1&lt;LEFT('General inputs'!$I$18,4)*1+1,"",SUMIF('Uncommissioned assets'!$F$22:$F$1500,$D106,'Uncommissioned assets'!$P$22:$P$1500))</f>
        <v>0</v>
      </c>
      <c r="O106" s="81">
        <f>IF(N106="","",N106/(1+'General inputs'!$H$32)^C106)</f>
        <v>0</v>
      </c>
      <c r="Q106" s="38"/>
      <c r="R106" s="81" t="str">
        <f>IF(OR(LEFT(D106,4)*1&lt;LEFT('General inputs'!$I$16,4)*1,LEFT(D106,4)*1&gt;LEFT('General inputs'!$I$16,4)+'General inputs'!$H$38-1),"",Q106/(1+'General inputs'!$H$34)^C106)</f>
        <v/>
      </c>
      <c r="T106" s="38"/>
      <c r="U106" s="81" t="str">
        <f>IF(OR(LEFT(D106,4)*1&lt;LEFT('General inputs'!$I$16,4)*1,LEFT(D106,4)*1&gt;LEFT('General inputs'!$I$16,4)+'General inputs'!$H$38-1),"",T106/(1+'General inputs'!$H$34)^C106)</f>
        <v/>
      </c>
      <c r="V106" s="54"/>
    </row>
    <row r="107" spans="2:22" x14ac:dyDescent="0.25">
      <c r="B107" s="53"/>
      <c r="C107" s="28">
        <f>IF(D107='General inputs'!$I$16,0,IF(D107&lt;'General inputs'!$I$16,C108-1,C106+1))</f>
        <v>41</v>
      </c>
      <c r="D107" s="28" t="str">
        <f t="shared" si="3"/>
        <v>2063-64</v>
      </c>
      <c r="E107" s="81" t="str">
        <f>IF(LEFT(D107,4)*1&gt;LEFT('General inputs'!$I$16,4)+'General inputs'!$H$38-1,"",'ET inputs'!D80)</f>
        <v/>
      </c>
      <c r="F107" s="81" t="str">
        <f>IF(LEFT(D107,4)*1&gt;LEFT('General inputs'!$I$16,4)+'General inputs'!$H$38-1,"",E107/(1+'General inputs'!$H$30)^C107)</f>
        <v/>
      </c>
      <c r="G107" s="81" t="str">
        <f>IF(LEFT(D107,4)*1&gt;LEFT('General inputs'!$I$16,4)+'General inputs'!$H$38-1,"",E107/(1+'General inputs'!$H$32)^C107)</f>
        <v/>
      </c>
      <c r="H107" s="81" t="str">
        <f>IF(LEFT(D107,4)*1&lt;LEFT('General inputs'!$I$16,4)*1,"",IF(LEFT(D107,4)*1&gt;LEFT('General inputs'!$I$16,4)+'General inputs'!$H$38-1,"",E107/(1+'General inputs'!$H$34)^C107))</f>
        <v/>
      </c>
      <c r="J107" s="110"/>
      <c r="K107" s="110"/>
      <c r="L107" s="81" t="str">
        <f>IF(LEFT(D107,4)*1&gt;LEFT('General inputs'!$I$18,4)*1,"",SUMIF('Post-1996 commissioned assets'!$F$22:$F$1500,$D107,'Post-1996 commissioned assets'!$P$22:$P$1500)*(1+$K$34)*(1+$K$35))</f>
        <v/>
      </c>
      <c r="M107" s="81" t="str">
        <f>IF(L107="","",L107/(1+'General inputs'!$H$32)^C107)</f>
        <v/>
      </c>
      <c r="N107" s="81">
        <f>IF(LEFT(D107,4)*1&lt;LEFT('General inputs'!$I$18,4)*1+1,"",SUMIF('Uncommissioned assets'!$F$22:$F$1500,$D107,'Uncommissioned assets'!$P$22:$P$1500))</f>
        <v>0</v>
      </c>
      <c r="O107" s="81">
        <f>IF(N107="","",N107/(1+'General inputs'!$H$32)^C107)</f>
        <v>0</v>
      </c>
      <c r="Q107" s="38"/>
      <c r="R107" s="81" t="str">
        <f>IF(OR(LEFT(D107,4)*1&lt;LEFT('General inputs'!$I$16,4)*1,LEFT(D107,4)*1&gt;LEFT('General inputs'!$I$16,4)+'General inputs'!$H$38-1),"",Q107/(1+'General inputs'!$H$34)^C107)</f>
        <v/>
      </c>
      <c r="T107" s="38"/>
      <c r="U107" s="81" t="str">
        <f>IF(OR(LEFT(D107,4)*1&lt;LEFT('General inputs'!$I$16,4)*1,LEFT(D107,4)*1&gt;LEFT('General inputs'!$I$16,4)+'General inputs'!$H$38-1),"",T107/(1+'General inputs'!$H$34)^C107)</f>
        <v/>
      </c>
      <c r="V107" s="54"/>
    </row>
    <row r="108" spans="2:22" x14ac:dyDescent="0.25">
      <c r="B108" s="53"/>
      <c r="C108" s="28">
        <f>IF(D108='General inputs'!$I$16,0,IF(D108&lt;'General inputs'!$I$16,C109-1,C107+1))</f>
        <v>42</v>
      </c>
      <c r="D108" s="28" t="str">
        <f t="shared" si="3"/>
        <v>2064-65</v>
      </c>
      <c r="E108" s="81" t="str">
        <f>IF(LEFT(D108,4)*1&gt;LEFT('General inputs'!$I$16,4)+'General inputs'!$H$38-1,"",'ET inputs'!D81)</f>
        <v/>
      </c>
      <c r="F108" s="81" t="str">
        <f>IF(LEFT(D108,4)*1&gt;LEFT('General inputs'!$I$16,4)+'General inputs'!$H$38-1,"",E108/(1+'General inputs'!$H$30)^C108)</f>
        <v/>
      </c>
      <c r="G108" s="81" t="str">
        <f>IF(LEFT(D108,4)*1&gt;LEFT('General inputs'!$I$16,4)+'General inputs'!$H$38-1,"",E108/(1+'General inputs'!$H$32)^C108)</f>
        <v/>
      </c>
      <c r="H108" s="81" t="str">
        <f>IF(LEFT(D108,4)*1&lt;LEFT('General inputs'!$I$16,4)*1,"",IF(LEFT(D108,4)*1&gt;LEFT('General inputs'!$I$16,4)+'General inputs'!$H$38-1,"",E108/(1+'General inputs'!$H$34)^C108))</f>
        <v/>
      </c>
      <c r="J108" s="110"/>
      <c r="K108" s="110"/>
      <c r="L108" s="81" t="str">
        <f>IF(LEFT(D108,4)*1&gt;LEFT('General inputs'!$I$18,4)*1,"",SUMIF('Post-1996 commissioned assets'!$F$22:$F$1500,$D108,'Post-1996 commissioned assets'!$P$22:$P$1500)*(1+$K$34)*(1+$K$35))</f>
        <v/>
      </c>
      <c r="M108" s="81" t="str">
        <f>IF(L108="","",L108/(1+'General inputs'!$H$32)^C108)</f>
        <v/>
      </c>
      <c r="N108" s="81">
        <f>IF(LEFT(D108,4)*1&lt;LEFT('General inputs'!$I$18,4)*1+1,"",SUMIF('Uncommissioned assets'!$F$22:$F$1500,$D108,'Uncommissioned assets'!$P$22:$P$1500))</f>
        <v>0</v>
      </c>
      <c r="O108" s="81">
        <f>IF(N108="","",N108/(1+'General inputs'!$H$32)^C108)</f>
        <v>0</v>
      </c>
      <c r="Q108" s="38"/>
      <c r="R108" s="81" t="str">
        <f>IF(OR(LEFT(D108,4)*1&lt;LEFT('General inputs'!$I$16,4)*1,LEFT(D108,4)*1&gt;LEFT('General inputs'!$I$16,4)+'General inputs'!$H$38-1),"",Q108/(1+'General inputs'!$H$34)^C108)</f>
        <v/>
      </c>
      <c r="T108" s="38"/>
      <c r="U108" s="81" t="str">
        <f>IF(OR(LEFT(D108,4)*1&lt;LEFT('General inputs'!$I$16,4)*1,LEFT(D108,4)*1&gt;LEFT('General inputs'!$I$16,4)+'General inputs'!$H$38-1),"",T108/(1+'General inputs'!$H$34)^C108)</f>
        <v/>
      </c>
      <c r="V108" s="54"/>
    </row>
    <row r="109" spans="2:22" x14ac:dyDescent="0.25">
      <c r="B109" s="53"/>
      <c r="C109" s="28">
        <f>IF(D109='General inputs'!$I$16,0,IF(D109&lt;'General inputs'!$I$16,C110-1,C108+1))</f>
        <v>43</v>
      </c>
      <c r="D109" s="28" t="str">
        <f t="shared" si="3"/>
        <v>2065-66</v>
      </c>
      <c r="E109" s="81" t="str">
        <f>IF(LEFT(D109,4)*1&gt;LEFT('General inputs'!$I$16,4)+'General inputs'!$H$38-1,"",'ET inputs'!D82)</f>
        <v/>
      </c>
      <c r="F109" s="81" t="str">
        <f>IF(LEFT(D109,4)*1&gt;LEFT('General inputs'!$I$16,4)+'General inputs'!$H$38-1,"",E109/(1+'General inputs'!$H$30)^C109)</f>
        <v/>
      </c>
      <c r="G109" s="81" t="str">
        <f>IF(LEFT(D109,4)*1&gt;LEFT('General inputs'!$I$16,4)+'General inputs'!$H$38-1,"",E109/(1+'General inputs'!$H$32)^C109)</f>
        <v/>
      </c>
      <c r="H109" s="81" t="str">
        <f>IF(LEFT(D109,4)*1&lt;LEFT('General inputs'!$I$16,4)*1,"",IF(LEFT(D109,4)*1&gt;LEFT('General inputs'!$I$16,4)+'General inputs'!$H$38-1,"",E109/(1+'General inputs'!$H$34)^C109))</f>
        <v/>
      </c>
      <c r="J109" s="110"/>
      <c r="K109" s="110"/>
      <c r="L109" s="81" t="str">
        <f>IF(LEFT(D109,4)*1&gt;LEFT('General inputs'!$I$18,4)*1,"",SUMIF('Post-1996 commissioned assets'!$F$22:$F$1500,$D109,'Post-1996 commissioned assets'!$P$22:$P$1500)*(1+$K$34)*(1+$K$35))</f>
        <v/>
      </c>
      <c r="M109" s="81" t="str">
        <f>IF(L109="","",L109/(1+'General inputs'!$H$32)^C109)</f>
        <v/>
      </c>
      <c r="N109" s="81">
        <f>IF(LEFT(D109,4)*1&lt;LEFT('General inputs'!$I$18,4)*1+1,"",SUMIF('Uncommissioned assets'!$F$22:$F$1500,$D109,'Uncommissioned assets'!$P$22:$P$1500))</f>
        <v>0</v>
      </c>
      <c r="O109" s="81">
        <f>IF(N109="","",N109/(1+'General inputs'!$H$32)^C109)</f>
        <v>0</v>
      </c>
      <c r="Q109" s="38"/>
      <c r="R109" s="81" t="str">
        <f>IF(OR(LEFT(D109,4)*1&lt;LEFT('General inputs'!$I$16,4)*1,LEFT(D109,4)*1&gt;LEFT('General inputs'!$I$16,4)+'General inputs'!$H$38-1),"",Q109/(1+'General inputs'!$H$34)^C109)</f>
        <v/>
      </c>
      <c r="T109" s="38"/>
      <c r="U109" s="81" t="str">
        <f>IF(OR(LEFT(D109,4)*1&lt;LEFT('General inputs'!$I$16,4)*1,LEFT(D109,4)*1&gt;LEFT('General inputs'!$I$16,4)+'General inputs'!$H$38-1),"",T109/(1+'General inputs'!$H$34)^C109)</f>
        <v/>
      </c>
      <c r="V109" s="54"/>
    </row>
    <row r="110" spans="2:22" x14ac:dyDescent="0.25">
      <c r="B110" s="53"/>
      <c r="C110" s="28">
        <f>IF(D110='General inputs'!$I$16,0,IF(D110&lt;'General inputs'!$I$16,C111-1,C109+1))</f>
        <v>44</v>
      </c>
      <c r="D110" s="28" t="str">
        <f t="shared" si="3"/>
        <v>2066-67</v>
      </c>
      <c r="E110" s="81" t="str">
        <f>IF(LEFT(D110,4)*1&gt;LEFT('General inputs'!$I$16,4)+'General inputs'!$H$38-1,"",'ET inputs'!D83)</f>
        <v/>
      </c>
      <c r="F110" s="81" t="str">
        <f>IF(LEFT(D110,4)*1&gt;LEFT('General inputs'!$I$16,4)+'General inputs'!$H$38-1,"",E110/(1+'General inputs'!$H$30)^C110)</f>
        <v/>
      </c>
      <c r="G110" s="81" t="str">
        <f>IF(LEFT(D110,4)*1&gt;LEFT('General inputs'!$I$16,4)+'General inputs'!$H$38-1,"",E110/(1+'General inputs'!$H$32)^C110)</f>
        <v/>
      </c>
      <c r="H110" s="81" t="str">
        <f>IF(LEFT(D110,4)*1&lt;LEFT('General inputs'!$I$16,4)*1,"",IF(LEFT(D110,4)*1&gt;LEFT('General inputs'!$I$16,4)+'General inputs'!$H$38-1,"",E110/(1+'General inputs'!$H$34)^C110))</f>
        <v/>
      </c>
      <c r="J110" s="110"/>
      <c r="K110" s="110"/>
      <c r="L110" s="81" t="str">
        <f>IF(LEFT(D110,4)*1&gt;LEFT('General inputs'!$I$18,4)*1,"",SUMIF('Post-1996 commissioned assets'!$F$22:$F$1500,$D110,'Post-1996 commissioned assets'!$P$22:$P$1500)*(1+$K$34)*(1+$K$35))</f>
        <v/>
      </c>
      <c r="M110" s="81" t="str">
        <f>IF(L110="","",L110/(1+'General inputs'!$H$32)^C110)</f>
        <v/>
      </c>
      <c r="N110" s="81">
        <f>IF(LEFT(D110,4)*1&lt;LEFT('General inputs'!$I$18,4)*1+1,"",SUMIF('Uncommissioned assets'!$F$22:$F$1500,$D110,'Uncommissioned assets'!$P$22:$P$1500))</f>
        <v>0</v>
      </c>
      <c r="O110" s="81">
        <f>IF(N110="","",N110/(1+'General inputs'!$H$32)^C110)</f>
        <v>0</v>
      </c>
      <c r="Q110" s="38"/>
      <c r="R110" s="81" t="str">
        <f>IF(OR(LEFT(D110,4)*1&lt;LEFT('General inputs'!$I$16,4)*1,LEFT(D110,4)*1&gt;LEFT('General inputs'!$I$16,4)+'General inputs'!$H$38-1),"",Q110/(1+'General inputs'!$H$34)^C110)</f>
        <v/>
      </c>
      <c r="T110" s="38"/>
      <c r="U110" s="81" t="str">
        <f>IF(OR(LEFT(D110,4)*1&lt;LEFT('General inputs'!$I$16,4)*1,LEFT(D110,4)*1&gt;LEFT('General inputs'!$I$16,4)+'General inputs'!$H$38-1),"",T110/(1+'General inputs'!$H$34)^C110)</f>
        <v/>
      </c>
      <c r="V110" s="54"/>
    </row>
    <row r="111" spans="2:22" x14ac:dyDescent="0.25">
      <c r="B111" s="53"/>
      <c r="C111" s="28">
        <f>IF(D111='General inputs'!$I$16,0,IF(D111&lt;'General inputs'!$I$16,C112-1,C110+1))</f>
        <v>45</v>
      </c>
      <c r="D111" s="28" t="str">
        <f t="shared" si="3"/>
        <v>2067-68</v>
      </c>
      <c r="E111" s="81" t="str">
        <f>IF(LEFT(D111,4)*1&gt;LEFT('General inputs'!$I$16,4)+'General inputs'!$H$38-1,"",'ET inputs'!D84)</f>
        <v/>
      </c>
      <c r="F111" s="81" t="str">
        <f>IF(LEFT(D111,4)*1&gt;LEFT('General inputs'!$I$16,4)+'General inputs'!$H$38-1,"",E111/(1+'General inputs'!$H$30)^C111)</f>
        <v/>
      </c>
      <c r="G111" s="81" t="str">
        <f>IF(LEFT(D111,4)*1&gt;LEFT('General inputs'!$I$16,4)+'General inputs'!$H$38-1,"",E111/(1+'General inputs'!$H$32)^C111)</f>
        <v/>
      </c>
      <c r="H111" s="81" t="str">
        <f>IF(LEFT(D111,4)*1&lt;LEFT('General inputs'!$I$16,4)*1,"",IF(LEFT(D111,4)*1&gt;LEFT('General inputs'!$I$16,4)+'General inputs'!$H$38-1,"",E111/(1+'General inputs'!$H$34)^C111))</f>
        <v/>
      </c>
      <c r="J111" s="110"/>
      <c r="K111" s="110"/>
      <c r="L111" s="81" t="str">
        <f>IF(LEFT(D111,4)*1&gt;LEFT('General inputs'!$I$18,4)*1,"",SUMIF('Post-1996 commissioned assets'!$F$22:$F$1500,$D111,'Post-1996 commissioned assets'!$P$22:$P$1500)*(1+$K$34)*(1+$K$35))</f>
        <v/>
      </c>
      <c r="M111" s="81" t="str">
        <f>IF(L111="","",L111/(1+'General inputs'!$H$32)^C111)</f>
        <v/>
      </c>
      <c r="N111" s="81">
        <f>IF(LEFT(D111,4)*1&lt;LEFT('General inputs'!$I$18,4)*1+1,"",SUMIF('Uncommissioned assets'!$F$22:$F$1500,$D111,'Uncommissioned assets'!$P$22:$P$1500))</f>
        <v>0</v>
      </c>
      <c r="O111" s="81">
        <f>IF(N111="","",N111/(1+'General inputs'!$H$32)^C111)</f>
        <v>0</v>
      </c>
      <c r="Q111" s="38"/>
      <c r="R111" s="81" t="str">
        <f>IF(OR(LEFT(D111,4)*1&lt;LEFT('General inputs'!$I$16,4)*1,LEFT(D111,4)*1&gt;LEFT('General inputs'!$I$16,4)+'General inputs'!$H$38-1),"",Q111/(1+'General inputs'!$H$34)^C111)</f>
        <v/>
      </c>
      <c r="T111" s="38"/>
      <c r="U111" s="81" t="str">
        <f>IF(OR(LEFT(D111,4)*1&lt;LEFT('General inputs'!$I$16,4)*1,LEFT(D111,4)*1&gt;LEFT('General inputs'!$I$16,4)+'General inputs'!$H$38-1),"",T111/(1+'General inputs'!$H$34)^C111)</f>
        <v/>
      </c>
      <c r="V111" s="54"/>
    </row>
    <row r="112" spans="2:22" x14ac:dyDescent="0.25">
      <c r="B112" s="53"/>
      <c r="C112" s="28">
        <f>IF(D112='General inputs'!$I$16,0,IF(D112&lt;'General inputs'!$I$16,C113-1,C111+1))</f>
        <v>46</v>
      </c>
      <c r="D112" s="28" t="str">
        <f t="shared" si="3"/>
        <v>2068-69</v>
      </c>
      <c r="E112" s="81" t="str">
        <f>IF(LEFT(D112,4)*1&gt;LEFT('General inputs'!$I$16,4)+'General inputs'!$H$38-1,"",'ET inputs'!D85)</f>
        <v/>
      </c>
      <c r="F112" s="81" t="str">
        <f>IF(LEFT(D112,4)*1&gt;LEFT('General inputs'!$I$16,4)+'General inputs'!$H$38-1,"",E112/(1+'General inputs'!$H$30)^C112)</f>
        <v/>
      </c>
      <c r="G112" s="81" t="str">
        <f>IF(LEFT(D112,4)*1&gt;LEFT('General inputs'!$I$16,4)+'General inputs'!$H$38-1,"",E112/(1+'General inputs'!$H$32)^C112)</f>
        <v/>
      </c>
      <c r="H112" s="81" t="str">
        <f>IF(LEFT(D112,4)*1&lt;LEFT('General inputs'!$I$16,4)*1,"",IF(LEFT(D112,4)*1&gt;LEFT('General inputs'!$I$16,4)+'General inputs'!$H$38-1,"",E112/(1+'General inputs'!$H$34)^C112))</f>
        <v/>
      </c>
      <c r="J112" s="110"/>
      <c r="K112" s="110"/>
      <c r="L112" s="81" t="str">
        <f>IF(LEFT(D112,4)*1&gt;LEFT('General inputs'!$I$18,4)*1,"",SUMIF('Post-1996 commissioned assets'!$F$22:$F$1500,$D112,'Post-1996 commissioned assets'!$P$22:$P$1500)*(1+$K$34)*(1+$K$35))</f>
        <v/>
      </c>
      <c r="M112" s="81" t="str">
        <f>IF(L112="","",L112/(1+'General inputs'!$H$32)^C112)</f>
        <v/>
      </c>
      <c r="N112" s="81">
        <f>IF(LEFT(D112,4)*1&lt;LEFT('General inputs'!$I$18,4)*1+1,"",SUMIF('Uncommissioned assets'!$F$22:$F$1500,$D112,'Uncommissioned assets'!$P$22:$P$1500))</f>
        <v>0</v>
      </c>
      <c r="O112" s="81">
        <f>IF(N112="","",N112/(1+'General inputs'!$H$32)^C112)</f>
        <v>0</v>
      </c>
      <c r="Q112" s="38"/>
      <c r="R112" s="81" t="str">
        <f>IF(OR(LEFT(D112,4)*1&lt;LEFT('General inputs'!$I$16,4)*1,LEFT(D112,4)*1&gt;LEFT('General inputs'!$I$16,4)+'General inputs'!$H$38-1),"",Q112/(1+'General inputs'!$H$34)^C112)</f>
        <v/>
      </c>
      <c r="T112" s="38"/>
      <c r="U112" s="81" t="str">
        <f>IF(OR(LEFT(D112,4)*1&lt;LEFT('General inputs'!$I$16,4)*1,LEFT(D112,4)*1&gt;LEFT('General inputs'!$I$16,4)+'General inputs'!$H$38-1),"",T112/(1+'General inputs'!$H$34)^C112)</f>
        <v/>
      </c>
      <c r="V112" s="54"/>
    </row>
    <row r="113" spans="2:22" x14ac:dyDescent="0.25">
      <c r="B113" s="53"/>
      <c r="C113" s="28">
        <f>IF(D113='General inputs'!$I$16,0,IF(D113&lt;'General inputs'!$I$16,C114-1,C112+1))</f>
        <v>47</v>
      </c>
      <c r="D113" s="28" t="str">
        <f t="shared" si="3"/>
        <v>2069-70</v>
      </c>
      <c r="E113" s="81" t="str">
        <f>IF(LEFT(D113,4)*1&gt;LEFT('General inputs'!$I$16,4)+'General inputs'!$H$38-1,"",'ET inputs'!D86)</f>
        <v/>
      </c>
      <c r="F113" s="81" t="str">
        <f>IF(LEFT(D113,4)*1&gt;LEFT('General inputs'!$I$16,4)+'General inputs'!$H$38-1,"",E113/(1+'General inputs'!$H$30)^C113)</f>
        <v/>
      </c>
      <c r="G113" s="81" t="str">
        <f>IF(LEFT(D113,4)*1&gt;LEFT('General inputs'!$I$16,4)+'General inputs'!$H$38-1,"",E113/(1+'General inputs'!$H$32)^C113)</f>
        <v/>
      </c>
      <c r="H113" s="81" t="str">
        <f>IF(LEFT(D113,4)*1&lt;LEFT('General inputs'!$I$16,4)*1,"",IF(LEFT(D113,4)*1&gt;LEFT('General inputs'!$I$16,4)+'General inputs'!$H$38-1,"",E113/(1+'General inputs'!$H$34)^C113))</f>
        <v/>
      </c>
      <c r="J113" s="110"/>
      <c r="K113" s="110"/>
      <c r="L113" s="81" t="str">
        <f>IF(LEFT(D113,4)*1&gt;LEFT('General inputs'!$I$18,4)*1,"",SUMIF('Post-1996 commissioned assets'!$F$22:$F$1500,$D113,'Post-1996 commissioned assets'!$P$22:$P$1500)*(1+$K$34)*(1+$K$35))</f>
        <v/>
      </c>
      <c r="M113" s="81" t="str">
        <f>IF(L113="","",L113/(1+'General inputs'!$H$32)^C113)</f>
        <v/>
      </c>
      <c r="N113" s="81">
        <f>IF(LEFT(D113,4)*1&lt;LEFT('General inputs'!$I$18,4)*1+1,"",SUMIF('Uncommissioned assets'!$F$22:$F$1500,$D113,'Uncommissioned assets'!$P$22:$P$1500))</f>
        <v>0</v>
      </c>
      <c r="O113" s="81">
        <f>IF(N113="","",N113/(1+'General inputs'!$H$32)^C113)</f>
        <v>0</v>
      </c>
      <c r="Q113" s="38"/>
      <c r="R113" s="81" t="str">
        <f>IF(OR(LEFT(D113,4)*1&lt;LEFT('General inputs'!$I$16,4)*1,LEFT(D113,4)*1&gt;LEFT('General inputs'!$I$16,4)+'General inputs'!$H$38-1),"",Q113/(1+'General inputs'!$H$34)^C113)</f>
        <v/>
      </c>
      <c r="T113" s="38"/>
      <c r="U113" s="81" t="str">
        <f>IF(OR(LEFT(D113,4)*1&lt;LEFT('General inputs'!$I$16,4)*1,LEFT(D113,4)*1&gt;LEFT('General inputs'!$I$16,4)+'General inputs'!$H$38-1),"",T113/(1+'General inputs'!$H$34)^C113)</f>
        <v/>
      </c>
      <c r="V113" s="54"/>
    </row>
    <row r="114" spans="2:22" x14ac:dyDescent="0.25">
      <c r="B114" s="53"/>
      <c r="C114" s="28">
        <f>IF(D114='General inputs'!$I$16,0,IF(D114&lt;'General inputs'!$I$16,C115-1,C113+1))</f>
        <v>48</v>
      </c>
      <c r="D114" s="28" t="str">
        <f t="shared" si="3"/>
        <v>2070-71</v>
      </c>
      <c r="E114" s="81" t="str">
        <f>IF(LEFT(D114,4)*1&gt;LEFT('General inputs'!$I$16,4)+'General inputs'!$H$38-1,"",'ET inputs'!D87)</f>
        <v/>
      </c>
      <c r="F114" s="81" t="str">
        <f>IF(LEFT(D114,4)*1&gt;LEFT('General inputs'!$I$16,4)+'General inputs'!$H$38-1,"",E114/(1+'General inputs'!$H$30)^C114)</f>
        <v/>
      </c>
      <c r="G114" s="81" t="str">
        <f>IF(LEFT(D114,4)*1&gt;LEFT('General inputs'!$I$16,4)+'General inputs'!$H$38-1,"",E114/(1+'General inputs'!$H$32)^C114)</f>
        <v/>
      </c>
      <c r="H114" s="81" t="str">
        <f>IF(LEFT(D114,4)*1&lt;LEFT('General inputs'!$I$16,4)*1,"",IF(LEFT(D114,4)*1&gt;LEFT('General inputs'!$I$16,4)+'General inputs'!$H$38-1,"",E114/(1+'General inputs'!$H$34)^C114))</f>
        <v/>
      </c>
      <c r="J114" s="110"/>
      <c r="K114" s="110"/>
      <c r="L114" s="81" t="str">
        <f>IF(LEFT(D114,4)*1&gt;LEFT('General inputs'!$I$18,4)*1,"",SUMIF('Post-1996 commissioned assets'!$F$22:$F$1500,$D114,'Post-1996 commissioned assets'!$P$22:$P$1500)*(1+$K$34)*(1+$K$35))</f>
        <v/>
      </c>
      <c r="M114" s="81" t="str">
        <f>IF(L114="","",L114/(1+'General inputs'!$H$32)^C114)</f>
        <v/>
      </c>
      <c r="N114" s="81">
        <f>IF(LEFT(D114,4)*1&lt;LEFT('General inputs'!$I$18,4)*1+1,"",SUMIF('Uncommissioned assets'!$F$22:$F$1500,$D114,'Uncommissioned assets'!$P$22:$P$1500))</f>
        <v>0</v>
      </c>
      <c r="O114" s="81">
        <f>IF(N114="","",N114/(1+'General inputs'!$H$32)^C114)</f>
        <v>0</v>
      </c>
      <c r="Q114" s="38"/>
      <c r="R114" s="81" t="str">
        <f>IF(OR(LEFT(D114,4)*1&lt;LEFT('General inputs'!$I$16,4)*1,LEFT(D114,4)*1&gt;LEFT('General inputs'!$I$16,4)+'General inputs'!$H$38-1),"",Q114/(1+'General inputs'!$H$34)^C114)</f>
        <v/>
      </c>
      <c r="T114" s="38"/>
      <c r="U114" s="81" t="str">
        <f>IF(OR(LEFT(D114,4)*1&lt;LEFT('General inputs'!$I$16,4)*1,LEFT(D114,4)*1&gt;LEFT('General inputs'!$I$16,4)+'General inputs'!$H$38-1),"",T114/(1+'General inputs'!$H$34)^C114)</f>
        <v/>
      </c>
      <c r="V114" s="54"/>
    </row>
    <row r="115" spans="2:22" x14ac:dyDescent="0.25">
      <c r="B115" s="53"/>
      <c r="C115" s="28">
        <f>IF(D115='General inputs'!$I$16,0,IF(D115&lt;'General inputs'!$I$16,C116-1,C114+1))</f>
        <v>49</v>
      </c>
      <c r="D115" s="28" t="str">
        <f t="shared" si="3"/>
        <v>2071-72</v>
      </c>
      <c r="E115" s="81" t="str">
        <f>IF(LEFT(D115,4)*1&gt;LEFT('General inputs'!$I$16,4)+'General inputs'!$H$38-1,"",'ET inputs'!D88)</f>
        <v/>
      </c>
      <c r="F115" s="81" t="str">
        <f>IF(LEFT(D115,4)*1&gt;LEFT('General inputs'!$I$16,4)+'General inputs'!$H$38-1,"",E115/(1+'General inputs'!$H$30)^C115)</f>
        <v/>
      </c>
      <c r="G115" s="81" t="str">
        <f>IF(LEFT(D115,4)*1&gt;LEFT('General inputs'!$I$16,4)+'General inputs'!$H$38-1,"",E115/(1+'General inputs'!$H$32)^C115)</f>
        <v/>
      </c>
      <c r="H115" s="81" t="str">
        <f>IF(LEFT(D115,4)*1&lt;LEFT('General inputs'!$I$16,4)*1,"",IF(LEFT(D115,4)*1&gt;LEFT('General inputs'!$I$16,4)+'General inputs'!$H$38-1,"",E115/(1+'General inputs'!$H$34)^C115))</f>
        <v/>
      </c>
      <c r="J115" s="110"/>
      <c r="K115" s="110"/>
      <c r="L115" s="81" t="str">
        <f>IF(LEFT(D115,4)*1&gt;LEFT('General inputs'!$I$18,4)*1,"",SUMIF('Post-1996 commissioned assets'!$F$22:$F$1500,$D115,'Post-1996 commissioned assets'!$P$22:$P$1500)*(1+$K$34)*(1+$K$35))</f>
        <v/>
      </c>
      <c r="M115" s="81" t="str">
        <f>IF(L115="","",L115/(1+'General inputs'!$H$32)^C115)</f>
        <v/>
      </c>
      <c r="N115" s="81">
        <f>IF(LEFT(D115,4)*1&lt;LEFT('General inputs'!$I$18,4)*1+1,"",SUMIF('Uncommissioned assets'!$F$22:$F$1500,$D115,'Uncommissioned assets'!$P$22:$P$1500))</f>
        <v>0</v>
      </c>
      <c r="O115" s="81">
        <f>IF(N115="","",N115/(1+'General inputs'!$H$32)^C115)</f>
        <v>0</v>
      </c>
      <c r="Q115" s="38"/>
      <c r="R115" s="81" t="str">
        <f>IF(OR(LEFT(D115,4)*1&lt;LEFT('General inputs'!$I$16,4)*1,LEFT(D115,4)*1&gt;LEFT('General inputs'!$I$16,4)+'General inputs'!$H$38-1),"",Q115/(1+'General inputs'!$H$34)^C115)</f>
        <v/>
      </c>
      <c r="T115" s="38"/>
      <c r="U115" s="81" t="str">
        <f>IF(OR(LEFT(D115,4)*1&lt;LEFT('General inputs'!$I$16,4)*1,LEFT(D115,4)*1&gt;LEFT('General inputs'!$I$16,4)+'General inputs'!$H$38-1),"",T115/(1+'General inputs'!$H$34)^C115)</f>
        <v/>
      </c>
      <c r="V115" s="54"/>
    </row>
    <row r="116" spans="2:22" x14ac:dyDescent="0.25">
      <c r="B116" s="53"/>
      <c r="C116" s="28">
        <f>IF(D116='General inputs'!$I$16,0,IF(D116&lt;'General inputs'!$I$16,C117-1,C115+1))</f>
        <v>50</v>
      </c>
      <c r="D116" s="28" t="str">
        <f t="shared" si="3"/>
        <v>2072-73</v>
      </c>
      <c r="E116" s="81" t="str">
        <f>IF(LEFT(D116,4)*1&gt;LEFT('General inputs'!$I$16,4)+'General inputs'!$H$38-1,"",'ET inputs'!D89)</f>
        <v/>
      </c>
      <c r="F116" s="81" t="str">
        <f>IF(LEFT(D116,4)*1&gt;LEFT('General inputs'!$I$16,4)+'General inputs'!$H$38-1,"",E116/(1+'General inputs'!$H$30)^C116)</f>
        <v/>
      </c>
      <c r="G116" s="81" t="str">
        <f>IF(LEFT(D116,4)*1&gt;LEFT('General inputs'!$I$16,4)+'General inputs'!$H$38-1,"",E116/(1+'General inputs'!$H$32)^C116)</f>
        <v/>
      </c>
      <c r="H116" s="81" t="str">
        <f>IF(LEFT(D116,4)*1&lt;LEFT('General inputs'!$I$16,4)*1,"",IF(LEFT(D116,4)*1&gt;LEFT('General inputs'!$I$16,4)+'General inputs'!$H$38-1,"",E116/(1+'General inputs'!$H$34)^C116))</f>
        <v/>
      </c>
      <c r="J116" s="110"/>
      <c r="K116" s="110"/>
      <c r="L116" s="81" t="str">
        <f>IF(LEFT(D116,4)*1&gt;LEFT('General inputs'!$I$18,4)*1,"",SUMIF('Post-1996 commissioned assets'!$F$22:$F$1500,$D116,'Post-1996 commissioned assets'!$P$22:$P$1500)*(1+$K$34)*(1+$K$35))</f>
        <v/>
      </c>
      <c r="M116" s="81" t="str">
        <f>IF(L116="","",L116/(1+'General inputs'!$H$32)^C116)</f>
        <v/>
      </c>
      <c r="N116" s="81">
        <f>IF(LEFT(D116,4)*1&lt;LEFT('General inputs'!$I$18,4)*1+1,"",SUMIF('Uncommissioned assets'!$F$22:$F$1500,$D116,'Uncommissioned assets'!$P$22:$P$1500))</f>
        <v>0</v>
      </c>
      <c r="O116" s="81">
        <f>IF(N116="","",N116/(1+'General inputs'!$H$32)^C116)</f>
        <v>0</v>
      </c>
      <c r="Q116" s="38"/>
      <c r="R116" s="81" t="str">
        <f>IF(OR(LEFT(D116,4)*1&lt;LEFT('General inputs'!$I$16,4)*1,LEFT(D116,4)*1&gt;LEFT('General inputs'!$I$16,4)+'General inputs'!$H$38-1),"",Q116/(1+'General inputs'!$H$34)^C116)</f>
        <v/>
      </c>
      <c r="T116" s="38"/>
      <c r="U116" s="81" t="str">
        <f>IF(OR(LEFT(D116,4)*1&lt;LEFT('General inputs'!$I$16,4)*1,LEFT(D116,4)*1&gt;LEFT('General inputs'!$I$16,4)+'General inputs'!$H$38-1),"",T116/(1+'General inputs'!$H$34)^C116)</f>
        <v/>
      </c>
      <c r="V116" s="54"/>
    </row>
    <row r="117" spans="2:22" x14ac:dyDescent="0.25">
      <c r="B117" s="53"/>
      <c r="C117" s="28">
        <f>IF(D117='General inputs'!$I$16,0,IF(D117&lt;'General inputs'!$I$16,C118-1,C116+1))</f>
        <v>51</v>
      </c>
      <c r="D117" s="28" t="str">
        <f t="shared" si="3"/>
        <v>2073-74</v>
      </c>
      <c r="E117" s="81" t="str">
        <f>IF(LEFT(D117,4)*1&gt;LEFT('General inputs'!$I$16,4)+'General inputs'!$H$38-1,"",'ET inputs'!D90)</f>
        <v/>
      </c>
      <c r="F117" s="81" t="str">
        <f>IF(LEFT(D117,4)*1&gt;LEFT('General inputs'!$I$16,4)+'General inputs'!$H$38-1,"",E117/(1+'General inputs'!$H$30)^C117)</f>
        <v/>
      </c>
      <c r="G117" s="81" t="str">
        <f>IF(LEFT(D117,4)*1&gt;LEFT('General inputs'!$I$16,4)+'General inputs'!$H$38-1,"",E117/(1+'General inputs'!$H$32)^C117)</f>
        <v/>
      </c>
      <c r="H117" s="81" t="str">
        <f>IF(LEFT(D117,4)*1&lt;LEFT('General inputs'!$I$16,4)*1,"",IF(LEFT(D117,4)*1&gt;LEFT('General inputs'!$I$16,4)+'General inputs'!$H$38-1,"",E117/(1+'General inputs'!$H$34)^C117))</f>
        <v/>
      </c>
      <c r="J117" s="110"/>
      <c r="K117" s="110"/>
      <c r="L117" s="81" t="str">
        <f>IF(LEFT(D117,4)*1&gt;LEFT('General inputs'!$I$18,4)*1,"",SUMIF('Post-1996 commissioned assets'!$F$22:$F$1500,$D117,'Post-1996 commissioned assets'!$P$22:$P$1500)*(1+$K$34)*(1+$K$35))</f>
        <v/>
      </c>
      <c r="M117" s="81" t="str">
        <f>IF(L117="","",L117/(1+'General inputs'!$H$32)^C117)</f>
        <v/>
      </c>
      <c r="N117" s="81">
        <f>IF(LEFT(D117,4)*1&lt;LEFT('General inputs'!$I$18,4)*1+1,"",SUMIF('Uncommissioned assets'!$F$22:$F$1500,$D117,'Uncommissioned assets'!$P$22:$P$1500))</f>
        <v>0</v>
      </c>
      <c r="O117" s="81">
        <f>IF(N117="","",N117/(1+'General inputs'!$H$32)^C117)</f>
        <v>0</v>
      </c>
      <c r="Q117" s="38"/>
      <c r="R117" s="81" t="str">
        <f>IF(OR(LEFT(D117,4)*1&lt;LEFT('General inputs'!$I$16,4)*1,LEFT(D117,4)*1&gt;LEFT('General inputs'!$I$16,4)+'General inputs'!$H$38-1),"",Q117/(1+'General inputs'!$H$34)^C117)</f>
        <v/>
      </c>
      <c r="T117" s="38"/>
      <c r="U117" s="81" t="str">
        <f>IF(OR(LEFT(D117,4)*1&lt;LEFT('General inputs'!$I$16,4)*1,LEFT(D117,4)*1&gt;LEFT('General inputs'!$I$16,4)+'General inputs'!$H$38-1),"",T117/(1+'General inputs'!$H$34)^C117)</f>
        <v/>
      </c>
      <c r="V117" s="54"/>
    </row>
    <row r="118" spans="2:22" x14ac:dyDescent="0.25">
      <c r="B118" s="53"/>
      <c r="C118" s="28">
        <f>IF(D118='General inputs'!$I$16,0,IF(D118&lt;'General inputs'!$I$16,C119-1,C117+1))</f>
        <v>52</v>
      </c>
      <c r="D118" s="28" t="str">
        <f t="shared" si="3"/>
        <v>2074-75</v>
      </c>
      <c r="E118" s="81" t="str">
        <f>IF(LEFT(D118,4)*1&gt;LEFT('General inputs'!$I$16,4)+'General inputs'!$H$38-1,"",'ET inputs'!D91)</f>
        <v/>
      </c>
      <c r="F118" s="81" t="str">
        <f>IF(LEFT(D118,4)*1&gt;LEFT('General inputs'!$I$16,4)+'General inputs'!$H$38-1,"",E118/(1+'General inputs'!$H$30)^C118)</f>
        <v/>
      </c>
      <c r="G118" s="81" t="str">
        <f>IF(LEFT(D118,4)*1&gt;LEFT('General inputs'!$I$16,4)+'General inputs'!$H$38-1,"",E118/(1+'General inputs'!$H$32)^C118)</f>
        <v/>
      </c>
      <c r="H118" s="81" t="str">
        <f>IF(LEFT(D118,4)*1&lt;LEFT('General inputs'!$I$16,4)*1,"",IF(LEFT(D118,4)*1&gt;LEFT('General inputs'!$I$16,4)+'General inputs'!$H$38-1,"",E118/(1+'General inputs'!$H$34)^C118))</f>
        <v/>
      </c>
      <c r="J118" s="110"/>
      <c r="K118" s="110"/>
      <c r="L118" s="81" t="str">
        <f>IF(LEFT(D118,4)*1&gt;LEFT('General inputs'!$I$18,4)*1,"",SUMIF('Post-1996 commissioned assets'!$F$22:$F$1500,$D118,'Post-1996 commissioned assets'!$P$22:$P$1500)*(1+$K$34)*(1+$K$35))</f>
        <v/>
      </c>
      <c r="M118" s="81" t="str">
        <f>IF(L118="","",L118/(1+'General inputs'!$H$32)^C118)</f>
        <v/>
      </c>
      <c r="N118" s="81">
        <f>IF(LEFT(D118,4)*1&lt;LEFT('General inputs'!$I$18,4)*1+1,"",SUMIF('Uncommissioned assets'!$F$22:$F$1500,$D118,'Uncommissioned assets'!$P$22:$P$1500))</f>
        <v>0</v>
      </c>
      <c r="O118" s="81">
        <f>IF(N118="","",N118/(1+'General inputs'!$H$32)^C118)</f>
        <v>0</v>
      </c>
      <c r="Q118" s="38"/>
      <c r="R118" s="81" t="str">
        <f>IF(OR(LEFT(D118,4)*1&lt;LEFT('General inputs'!$I$16,4)*1,LEFT(D118,4)*1&gt;LEFT('General inputs'!$I$16,4)+'General inputs'!$H$38-1),"",Q118/(1+'General inputs'!$H$34)^C118)</f>
        <v/>
      </c>
      <c r="T118" s="38"/>
      <c r="U118" s="81" t="str">
        <f>IF(OR(LEFT(D118,4)*1&lt;LEFT('General inputs'!$I$16,4)*1,LEFT(D118,4)*1&gt;LEFT('General inputs'!$I$16,4)+'General inputs'!$H$38-1),"",T118/(1+'General inputs'!$H$34)^C118)</f>
        <v/>
      </c>
      <c r="V118" s="54"/>
    </row>
    <row r="119" spans="2:22" x14ac:dyDescent="0.25">
      <c r="B119" s="53"/>
      <c r="C119" s="28">
        <f>IF(D119='General inputs'!$I$16,0,IF(D119&lt;'General inputs'!$I$16,C120-1,C118+1))</f>
        <v>53</v>
      </c>
      <c r="D119" s="28" t="str">
        <f t="shared" si="3"/>
        <v>2075-76</v>
      </c>
      <c r="E119" s="81" t="str">
        <f>IF(LEFT(D119,4)*1&gt;LEFT('General inputs'!$I$16,4)+'General inputs'!$H$38-1,"",'ET inputs'!D92)</f>
        <v/>
      </c>
      <c r="F119" s="81" t="str">
        <f>IF(LEFT(D119,4)*1&gt;LEFT('General inputs'!$I$16,4)+'General inputs'!$H$38-1,"",E119/(1+'General inputs'!$H$30)^C119)</f>
        <v/>
      </c>
      <c r="G119" s="81" t="str">
        <f>IF(LEFT(D119,4)*1&gt;LEFT('General inputs'!$I$16,4)+'General inputs'!$H$38-1,"",E119/(1+'General inputs'!$H$32)^C119)</f>
        <v/>
      </c>
      <c r="H119" s="81" t="str">
        <f>IF(LEFT(D119,4)*1&lt;LEFT('General inputs'!$I$16,4)*1,"",IF(LEFT(D119,4)*1&gt;LEFT('General inputs'!$I$16,4)+'General inputs'!$H$38-1,"",E119/(1+'General inputs'!$H$34)^C119))</f>
        <v/>
      </c>
      <c r="J119" s="110"/>
      <c r="K119" s="110"/>
      <c r="L119" s="81" t="str">
        <f>IF(LEFT(D119,4)*1&gt;LEFT('General inputs'!$I$18,4)*1,"",SUMIF('Post-1996 commissioned assets'!$F$22:$F$1500,$D119,'Post-1996 commissioned assets'!$P$22:$P$1500)*(1+$K$34)*(1+$K$35))</f>
        <v/>
      </c>
      <c r="M119" s="81" t="str">
        <f>IF(L119="","",L119/(1+'General inputs'!$H$32)^C119)</f>
        <v/>
      </c>
      <c r="N119" s="81">
        <f>IF(LEFT(D119,4)*1&lt;LEFT('General inputs'!$I$18,4)*1+1,"",SUMIF('Uncommissioned assets'!$F$22:$F$1500,$D119,'Uncommissioned assets'!$P$22:$P$1500))</f>
        <v>0</v>
      </c>
      <c r="O119" s="81">
        <f>IF(N119="","",N119/(1+'General inputs'!$H$32)^C119)</f>
        <v>0</v>
      </c>
      <c r="Q119" s="38"/>
      <c r="R119" s="81" t="str">
        <f>IF(OR(LEFT(D119,4)*1&lt;LEFT('General inputs'!$I$16,4)*1,LEFT(D119,4)*1&gt;LEFT('General inputs'!$I$16,4)+'General inputs'!$H$38-1),"",Q119/(1+'General inputs'!$H$34)^C119)</f>
        <v/>
      </c>
      <c r="T119" s="38"/>
      <c r="U119" s="81" t="str">
        <f>IF(OR(LEFT(D119,4)*1&lt;LEFT('General inputs'!$I$16,4)*1,LEFT(D119,4)*1&gt;LEFT('General inputs'!$I$16,4)+'General inputs'!$H$38-1),"",T119/(1+'General inputs'!$H$34)^C119)</f>
        <v/>
      </c>
      <c r="V119" s="54"/>
    </row>
    <row r="120" spans="2:22" x14ac:dyDescent="0.25">
      <c r="B120" s="53"/>
      <c r="C120" s="28">
        <f>IF(D120='General inputs'!$I$16,0,IF(D120&lt;'General inputs'!$I$16,C121-1,C119+1))</f>
        <v>54</v>
      </c>
      <c r="D120" s="28" t="str">
        <f t="shared" si="3"/>
        <v>2076-77</v>
      </c>
      <c r="E120" s="81" t="str">
        <f>IF(LEFT(D120,4)*1&gt;LEFT('General inputs'!$I$16,4)+'General inputs'!$H$38-1,"",'ET inputs'!D93)</f>
        <v/>
      </c>
      <c r="F120" s="81" t="str">
        <f>IF(LEFT(D120,4)*1&gt;LEFT('General inputs'!$I$16,4)+'General inputs'!$H$38-1,"",E120/(1+'General inputs'!$H$30)^C120)</f>
        <v/>
      </c>
      <c r="G120" s="81" t="str">
        <f>IF(LEFT(D120,4)*1&gt;LEFT('General inputs'!$I$16,4)+'General inputs'!$H$38-1,"",E120/(1+'General inputs'!$H$32)^C120)</f>
        <v/>
      </c>
      <c r="H120" s="81" t="str">
        <f>IF(LEFT(D120,4)*1&lt;LEFT('General inputs'!$I$16,4)*1,"",IF(LEFT(D120,4)*1&gt;LEFT('General inputs'!$I$16,4)+'General inputs'!$H$38-1,"",E120/(1+'General inputs'!$H$34)^C120))</f>
        <v/>
      </c>
      <c r="J120" s="110"/>
      <c r="K120" s="110"/>
      <c r="L120" s="81" t="str">
        <f>IF(LEFT(D120,4)*1&gt;LEFT('General inputs'!$I$18,4)*1,"",SUMIF('Post-1996 commissioned assets'!$F$22:$F$1500,$D120,'Post-1996 commissioned assets'!$P$22:$P$1500)*(1+$K$34)*(1+$K$35))</f>
        <v/>
      </c>
      <c r="M120" s="81" t="str">
        <f>IF(L120="","",L120/(1+'General inputs'!$H$32)^C120)</f>
        <v/>
      </c>
      <c r="N120" s="81">
        <f>IF(LEFT(D120,4)*1&lt;LEFT('General inputs'!$I$18,4)*1+1,"",SUMIF('Uncommissioned assets'!$F$22:$F$1500,$D120,'Uncommissioned assets'!$P$22:$P$1500))</f>
        <v>0</v>
      </c>
      <c r="O120" s="81">
        <f>IF(N120="","",N120/(1+'General inputs'!$H$32)^C120)</f>
        <v>0</v>
      </c>
      <c r="Q120" s="38"/>
      <c r="R120" s="81" t="str">
        <f>IF(OR(LEFT(D120,4)*1&lt;LEFT('General inputs'!$I$16,4)*1,LEFT(D120,4)*1&gt;LEFT('General inputs'!$I$16,4)+'General inputs'!$H$38-1),"",Q120/(1+'General inputs'!$H$34)^C120)</f>
        <v/>
      </c>
      <c r="T120" s="38"/>
      <c r="U120" s="81" t="str">
        <f>IF(OR(LEFT(D120,4)*1&lt;LEFT('General inputs'!$I$16,4)*1,LEFT(D120,4)*1&gt;LEFT('General inputs'!$I$16,4)+'General inputs'!$H$38-1),"",T120/(1+'General inputs'!$H$34)^C120)</f>
        <v/>
      </c>
      <c r="V120" s="54"/>
    </row>
    <row r="121" spans="2:22" x14ac:dyDescent="0.25">
      <c r="B121" s="53"/>
      <c r="C121" s="28">
        <f>IF(D121='General inputs'!$I$16,0,IF(D121&lt;'General inputs'!$I$16,C122-1,C120+1))</f>
        <v>55</v>
      </c>
      <c r="D121" s="28" t="str">
        <f t="shared" si="3"/>
        <v>2077-78</v>
      </c>
      <c r="E121" s="81" t="str">
        <f>IF(LEFT(D121,4)*1&gt;LEFT('General inputs'!$I$16,4)+'General inputs'!$H$38-1,"",'ET inputs'!D94)</f>
        <v/>
      </c>
      <c r="F121" s="81" t="str">
        <f>IF(LEFT(D121,4)*1&gt;LEFT('General inputs'!$I$16,4)+'General inputs'!$H$38-1,"",E121/(1+'General inputs'!$H$30)^C121)</f>
        <v/>
      </c>
      <c r="G121" s="81" t="str">
        <f>IF(LEFT(D121,4)*1&gt;LEFT('General inputs'!$I$16,4)+'General inputs'!$H$38-1,"",E121/(1+'General inputs'!$H$32)^C121)</f>
        <v/>
      </c>
      <c r="H121" s="81" t="str">
        <f>IF(LEFT(D121,4)*1&lt;LEFT('General inputs'!$I$16,4)*1,"",IF(LEFT(D121,4)*1&gt;LEFT('General inputs'!$I$16,4)+'General inputs'!$H$38-1,"",E121/(1+'General inputs'!$H$34)^C121))</f>
        <v/>
      </c>
      <c r="J121" s="110"/>
      <c r="K121" s="110"/>
      <c r="L121" s="81" t="str">
        <f>IF(LEFT(D121,4)*1&gt;LEFT('General inputs'!$I$18,4)*1,"",SUMIF('Post-1996 commissioned assets'!$F$22:$F$1500,$D121,'Post-1996 commissioned assets'!$P$22:$P$1500)*(1+$K$34)*(1+$K$35))</f>
        <v/>
      </c>
      <c r="M121" s="81" t="str">
        <f>IF(L121="","",L121/(1+'General inputs'!$H$32)^C121)</f>
        <v/>
      </c>
      <c r="N121" s="81">
        <f>IF(LEFT(D121,4)*1&lt;LEFT('General inputs'!$I$18,4)*1+1,"",SUMIF('Uncommissioned assets'!$F$22:$F$1500,$D121,'Uncommissioned assets'!$P$22:$P$1500))</f>
        <v>0</v>
      </c>
      <c r="O121" s="81">
        <f>IF(N121="","",N121/(1+'General inputs'!$H$32)^C121)</f>
        <v>0</v>
      </c>
      <c r="Q121" s="38"/>
      <c r="R121" s="81" t="str">
        <f>IF(OR(LEFT(D121,4)*1&lt;LEFT('General inputs'!$I$16,4)*1,LEFT(D121,4)*1&gt;LEFT('General inputs'!$I$16,4)+'General inputs'!$H$38-1),"",Q121/(1+'General inputs'!$H$34)^C121)</f>
        <v/>
      </c>
      <c r="T121" s="38"/>
      <c r="U121" s="81" t="str">
        <f>IF(OR(LEFT(D121,4)*1&lt;LEFT('General inputs'!$I$16,4)*1,LEFT(D121,4)*1&gt;LEFT('General inputs'!$I$16,4)+'General inputs'!$H$38-1),"",T121/(1+'General inputs'!$H$34)^C121)</f>
        <v/>
      </c>
      <c r="V121" s="54"/>
    </row>
    <row r="122" spans="2:22" x14ac:dyDescent="0.25">
      <c r="B122" s="53"/>
      <c r="C122" s="28">
        <f>IF(D122='General inputs'!$I$16,0,IF(D122&lt;'General inputs'!$I$16,C123-1,C121+1))</f>
        <v>56</v>
      </c>
      <c r="D122" s="28" t="str">
        <f t="shared" si="3"/>
        <v>2078-79</v>
      </c>
      <c r="E122" s="81" t="str">
        <f>IF(LEFT(D122,4)*1&gt;LEFT('General inputs'!$I$16,4)+'General inputs'!$H$38-1,"",'ET inputs'!D95)</f>
        <v/>
      </c>
      <c r="F122" s="81" t="str">
        <f>IF(LEFT(D122,4)*1&gt;LEFT('General inputs'!$I$16,4)+'General inputs'!$H$38-1,"",E122/(1+'General inputs'!$H$30)^C122)</f>
        <v/>
      </c>
      <c r="G122" s="81" t="str">
        <f>IF(LEFT(D122,4)*1&gt;LEFT('General inputs'!$I$16,4)+'General inputs'!$H$38-1,"",E122/(1+'General inputs'!$H$32)^C122)</f>
        <v/>
      </c>
      <c r="H122" s="81" t="str">
        <f>IF(LEFT(D122,4)*1&lt;LEFT('General inputs'!$I$16,4)*1,"",IF(LEFT(D122,4)*1&gt;LEFT('General inputs'!$I$16,4)+'General inputs'!$H$38-1,"",E122/(1+'General inputs'!$H$34)^C122))</f>
        <v/>
      </c>
      <c r="J122" s="110"/>
      <c r="K122" s="110"/>
      <c r="L122" s="81" t="str">
        <f>IF(LEFT(D122,4)*1&gt;LEFT('General inputs'!$I$18,4)*1,"",SUMIF('Post-1996 commissioned assets'!$F$22:$F$1500,$D122,'Post-1996 commissioned assets'!$P$22:$P$1500)*(1+$K$34)*(1+$K$35))</f>
        <v/>
      </c>
      <c r="M122" s="81" t="str">
        <f>IF(L122="","",L122/(1+'General inputs'!$H$32)^C122)</f>
        <v/>
      </c>
      <c r="N122" s="81">
        <f>IF(LEFT(D122,4)*1&lt;LEFT('General inputs'!$I$18,4)*1+1,"",SUMIF('Uncommissioned assets'!$F$22:$F$1500,$D122,'Uncommissioned assets'!$P$22:$P$1500))</f>
        <v>0</v>
      </c>
      <c r="O122" s="81">
        <f>IF(N122="","",N122/(1+'General inputs'!$H$32)^C122)</f>
        <v>0</v>
      </c>
      <c r="Q122" s="38"/>
      <c r="R122" s="81" t="str">
        <f>IF(OR(LEFT(D122,4)*1&lt;LEFT('General inputs'!$I$16,4)*1,LEFT(D122,4)*1&gt;LEFT('General inputs'!$I$16,4)+'General inputs'!$H$38-1),"",Q122/(1+'General inputs'!$H$34)^C122)</f>
        <v/>
      </c>
      <c r="T122" s="38"/>
      <c r="U122" s="81" t="str">
        <f>IF(OR(LEFT(D122,4)*1&lt;LEFT('General inputs'!$I$16,4)*1,LEFT(D122,4)*1&gt;LEFT('General inputs'!$I$16,4)+'General inputs'!$H$38-1),"",T122/(1+'General inputs'!$H$34)^C122)</f>
        <v/>
      </c>
      <c r="V122" s="54"/>
    </row>
    <row r="123" spans="2:22" x14ac:dyDescent="0.25">
      <c r="B123" s="53"/>
      <c r="C123" s="28">
        <f>IF(D123='General inputs'!$I$16,0,IF(D123&lt;'General inputs'!$I$16,C124-1,C122+1))</f>
        <v>57</v>
      </c>
      <c r="D123" s="28" t="str">
        <f t="shared" ref="D123:D129" si="4">LEFT(D122,4)+1&amp;"-"&amp;RIGHT(D122,2)+1</f>
        <v>2079-80</v>
      </c>
      <c r="E123" s="81" t="str">
        <f>IF(LEFT(D123,4)*1&gt;LEFT('General inputs'!$I$16,4)+'General inputs'!$H$38-1,"",'ET inputs'!D96)</f>
        <v/>
      </c>
      <c r="F123" s="81" t="str">
        <f>IF(LEFT(D123,4)*1&gt;LEFT('General inputs'!$I$16,4)+'General inputs'!$H$38-1,"",E123/(1+'General inputs'!$H$30)^C123)</f>
        <v/>
      </c>
      <c r="G123" s="81" t="str">
        <f>IF(LEFT(D123,4)*1&gt;LEFT('General inputs'!$I$16,4)+'General inputs'!$H$38-1,"",E123/(1+'General inputs'!$H$32)^C123)</f>
        <v/>
      </c>
      <c r="H123" s="81" t="str">
        <f>IF(LEFT(D123,4)*1&lt;LEFT('General inputs'!$I$16,4)*1,"",IF(LEFT(D123,4)*1&gt;LEFT('General inputs'!$I$16,4)+'General inputs'!$H$38-1,"",E123/(1+'General inputs'!$H$34)^C123))</f>
        <v/>
      </c>
      <c r="J123" s="110"/>
      <c r="K123" s="110"/>
      <c r="L123" s="81" t="str">
        <f>IF(LEFT(D123,4)*1&gt;LEFT('General inputs'!$I$18,4)*1,"",SUMIF('Post-1996 commissioned assets'!$F$22:$F$1500,$D123,'Post-1996 commissioned assets'!$P$22:$P$1500)*(1+$K$34)*(1+$K$35))</f>
        <v/>
      </c>
      <c r="M123" s="81" t="str">
        <f>IF(L123="","",L123/(1+'General inputs'!$H$32)^C123)</f>
        <v/>
      </c>
      <c r="N123" s="81">
        <f>IF(LEFT(D123,4)*1&lt;LEFT('General inputs'!$I$18,4)*1+1,"",SUMIF('Uncommissioned assets'!$F$22:$F$1500,$D123,'Uncommissioned assets'!$P$22:$P$1500))</f>
        <v>0</v>
      </c>
      <c r="O123" s="81">
        <f>IF(N123="","",N123/(1+'General inputs'!$H$32)^C123)</f>
        <v>0</v>
      </c>
      <c r="Q123" s="38"/>
      <c r="R123" s="81" t="str">
        <f>IF(OR(LEFT(D123,4)*1&lt;LEFT('General inputs'!$I$16,4)*1,LEFT(D123,4)*1&gt;LEFT('General inputs'!$I$16,4)+'General inputs'!$H$38-1),"",Q123/(1+'General inputs'!$H$34)^C123)</f>
        <v/>
      </c>
      <c r="T123" s="38"/>
      <c r="U123" s="81" t="str">
        <f>IF(OR(LEFT(D123,4)*1&lt;LEFT('General inputs'!$I$16,4)*1,LEFT(D123,4)*1&gt;LEFT('General inputs'!$I$16,4)+'General inputs'!$H$38-1),"",T123/(1+'General inputs'!$H$34)^C123)</f>
        <v/>
      </c>
      <c r="V123" s="54"/>
    </row>
    <row r="124" spans="2:22" x14ac:dyDescent="0.25">
      <c r="B124" s="53"/>
      <c r="C124" s="28">
        <f>IF(D124='General inputs'!$I$16,0,IF(D124&lt;'General inputs'!$I$16,C125-1,C123+1))</f>
        <v>58</v>
      </c>
      <c r="D124" s="28" t="str">
        <f t="shared" si="4"/>
        <v>2080-81</v>
      </c>
      <c r="E124" s="81" t="str">
        <f>IF(LEFT(D124,4)*1&gt;LEFT('General inputs'!$I$16,4)+'General inputs'!$H$38-1,"",'ET inputs'!D97)</f>
        <v/>
      </c>
      <c r="F124" s="81" t="str">
        <f>IF(LEFT(D124,4)*1&gt;LEFT('General inputs'!$I$16,4)+'General inputs'!$H$38-1,"",E124/(1+'General inputs'!$H$30)^C124)</f>
        <v/>
      </c>
      <c r="G124" s="81" t="str">
        <f>IF(LEFT(D124,4)*1&gt;LEFT('General inputs'!$I$16,4)+'General inputs'!$H$38-1,"",E124/(1+'General inputs'!$H$32)^C124)</f>
        <v/>
      </c>
      <c r="H124" s="81" t="str">
        <f>IF(LEFT(D124,4)*1&lt;LEFT('General inputs'!$I$16,4)*1,"",IF(LEFT(D124,4)*1&gt;LEFT('General inputs'!$I$16,4)+'General inputs'!$H$38-1,"",E124/(1+'General inputs'!$H$34)^C124))</f>
        <v/>
      </c>
      <c r="J124" s="110"/>
      <c r="K124" s="110"/>
      <c r="L124" s="81" t="str">
        <f>IF(LEFT(D124,4)*1&gt;LEFT('General inputs'!$I$18,4)*1,"",SUMIF('Post-1996 commissioned assets'!$F$22:$F$1500,$D124,'Post-1996 commissioned assets'!$P$22:$P$1500)*(1+$K$34)*(1+$K$35))</f>
        <v/>
      </c>
      <c r="M124" s="81" t="str">
        <f>IF(L124="","",L124/(1+'General inputs'!$H$32)^C124)</f>
        <v/>
      </c>
      <c r="N124" s="81">
        <f>IF(LEFT(D124,4)*1&lt;LEFT('General inputs'!$I$18,4)*1+1,"",SUMIF('Uncommissioned assets'!$F$22:$F$1500,$D124,'Uncommissioned assets'!$P$22:$P$1500))</f>
        <v>0</v>
      </c>
      <c r="O124" s="81">
        <f>IF(N124="","",N124/(1+'General inputs'!$H$32)^C124)</f>
        <v>0</v>
      </c>
      <c r="Q124" s="38"/>
      <c r="R124" s="81" t="str">
        <f>IF(OR(LEFT(D124,4)*1&lt;LEFT('General inputs'!$I$16,4)*1,LEFT(D124,4)*1&gt;LEFT('General inputs'!$I$16,4)+'General inputs'!$H$38-1),"",Q124/(1+'General inputs'!$H$34)^C124)</f>
        <v/>
      </c>
      <c r="T124" s="38"/>
      <c r="U124" s="81" t="str">
        <f>IF(OR(LEFT(D124,4)*1&lt;LEFT('General inputs'!$I$16,4)*1,LEFT(D124,4)*1&gt;LEFT('General inputs'!$I$16,4)+'General inputs'!$H$38-1),"",T124/(1+'General inputs'!$H$34)^C124)</f>
        <v/>
      </c>
      <c r="V124" s="54"/>
    </row>
    <row r="125" spans="2:22" x14ac:dyDescent="0.25">
      <c r="B125" s="53"/>
      <c r="C125" s="28">
        <f>IF(D125='General inputs'!$I$16,0,IF(D125&lt;'General inputs'!$I$16,C126-1,C124+1))</f>
        <v>59</v>
      </c>
      <c r="D125" s="28" t="str">
        <f t="shared" si="4"/>
        <v>2081-82</v>
      </c>
      <c r="E125" s="81" t="str">
        <f>IF(LEFT(D125,4)*1&gt;LEFT('General inputs'!$I$16,4)+'General inputs'!$H$38-1,"",'ET inputs'!D98)</f>
        <v/>
      </c>
      <c r="F125" s="81" t="str">
        <f>IF(LEFT(D125,4)*1&gt;LEFT('General inputs'!$I$16,4)+'General inputs'!$H$38-1,"",E125/(1+'General inputs'!$H$30)^C125)</f>
        <v/>
      </c>
      <c r="G125" s="81" t="str">
        <f>IF(LEFT(D125,4)*1&gt;LEFT('General inputs'!$I$16,4)+'General inputs'!$H$38-1,"",E125/(1+'General inputs'!$H$32)^C125)</f>
        <v/>
      </c>
      <c r="H125" s="81" t="str">
        <f>IF(LEFT(D125,4)*1&lt;LEFT('General inputs'!$I$16,4)*1,"",IF(LEFT(D125,4)*1&gt;LEFT('General inputs'!$I$16,4)+'General inputs'!$H$38-1,"",E125/(1+'General inputs'!$H$34)^C125))</f>
        <v/>
      </c>
      <c r="J125" s="110"/>
      <c r="K125" s="110"/>
      <c r="L125" s="81" t="str">
        <f>IF(LEFT(D125,4)*1&gt;LEFT('General inputs'!$I$18,4)*1,"",SUMIF('Post-1996 commissioned assets'!$F$22:$F$1500,$D125,'Post-1996 commissioned assets'!$P$22:$P$1500)*(1+$K$34)*(1+$K$35))</f>
        <v/>
      </c>
      <c r="M125" s="81" t="str">
        <f>IF(L125="","",L125/(1+'General inputs'!$H$32)^C125)</f>
        <v/>
      </c>
      <c r="N125" s="81">
        <f>IF(LEFT(D125,4)*1&lt;LEFT('General inputs'!$I$18,4)*1+1,"",SUMIF('Uncommissioned assets'!$F$22:$F$1500,$D125,'Uncommissioned assets'!$P$22:$P$1500))</f>
        <v>0</v>
      </c>
      <c r="O125" s="81">
        <f>IF(N125="","",N125/(1+'General inputs'!$H$32)^C125)</f>
        <v>0</v>
      </c>
      <c r="Q125" s="38"/>
      <c r="R125" s="81" t="str">
        <f>IF(OR(LEFT(D125,4)*1&lt;LEFT('General inputs'!$I$16,4)*1,LEFT(D125,4)*1&gt;LEFT('General inputs'!$I$16,4)+'General inputs'!$H$38-1),"",Q125/(1+'General inputs'!$H$34)^C125)</f>
        <v/>
      </c>
      <c r="T125" s="38"/>
      <c r="U125" s="81" t="str">
        <f>IF(OR(LEFT(D125,4)*1&lt;LEFT('General inputs'!$I$16,4)*1,LEFT(D125,4)*1&gt;LEFT('General inputs'!$I$16,4)+'General inputs'!$H$38-1),"",T125/(1+'General inputs'!$H$34)^C125)</f>
        <v/>
      </c>
      <c r="V125" s="54"/>
    </row>
    <row r="126" spans="2:22" x14ac:dyDescent="0.25">
      <c r="B126" s="53"/>
      <c r="C126" s="28">
        <f>IF(D126='General inputs'!$I$16,0,IF(D126&lt;'General inputs'!$I$16,C127-1,C125+1))</f>
        <v>60</v>
      </c>
      <c r="D126" s="28" t="str">
        <f t="shared" si="4"/>
        <v>2082-83</v>
      </c>
      <c r="E126" s="81" t="str">
        <f>IF(LEFT(D126,4)*1&gt;LEFT('General inputs'!$I$16,4)+'General inputs'!$H$38-1,"",'ET inputs'!D99)</f>
        <v/>
      </c>
      <c r="F126" s="81" t="str">
        <f>IF(LEFT(D126,4)*1&gt;LEFT('General inputs'!$I$16,4)+'General inputs'!$H$38-1,"",E126/(1+'General inputs'!$H$30)^C126)</f>
        <v/>
      </c>
      <c r="G126" s="81" t="str">
        <f>IF(LEFT(D126,4)*1&gt;LEFT('General inputs'!$I$16,4)+'General inputs'!$H$38-1,"",E126/(1+'General inputs'!$H$32)^C126)</f>
        <v/>
      </c>
      <c r="H126" s="81" t="str">
        <f>IF(LEFT(D126,4)*1&lt;LEFT('General inputs'!$I$16,4)*1,"",IF(LEFT(D126,4)*1&gt;LEFT('General inputs'!$I$16,4)+'General inputs'!$H$38-1,"",E126/(1+'General inputs'!$H$34)^C126))</f>
        <v/>
      </c>
      <c r="J126" s="110"/>
      <c r="K126" s="110"/>
      <c r="L126" s="81" t="str">
        <f>IF(LEFT(D126,4)*1&gt;LEFT('General inputs'!$I$18,4)*1,"",SUMIF('Post-1996 commissioned assets'!$F$22:$F$1500,$D126,'Post-1996 commissioned assets'!$P$22:$P$1500)*(1+$K$34)*(1+$K$35))</f>
        <v/>
      </c>
      <c r="M126" s="81" t="str">
        <f>IF(L126="","",L126/(1+'General inputs'!$H$32)^C126)</f>
        <v/>
      </c>
      <c r="N126" s="81">
        <f>IF(LEFT(D126,4)*1&lt;LEFT('General inputs'!$I$18,4)*1+1,"",SUMIF('Uncommissioned assets'!$F$22:$F$1500,$D126,'Uncommissioned assets'!$P$22:$P$1500))</f>
        <v>0</v>
      </c>
      <c r="O126" s="81">
        <f>IF(N126="","",N126/(1+'General inputs'!$H$32)^C126)</f>
        <v>0</v>
      </c>
      <c r="Q126" s="38"/>
      <c r="R126" s="81" t="str">
        <f>IF(OR(LEFT(D126,4)*1&lt;LEFT('General inputs'!$I$16,4)*1,LEFT(D126,4)*1&gt;LEFT('General inputs'!$I$16,4)+'General inputs'!$H$38-1),"",Q126/(1+'General inputs'!$H$34)^C126)</f>
        <v/>
      </c>
      <c r="T126" s="38"/>
      <c r="U126" s="81" t="str">
        <f>IF(OR(LEFT(D126,4)*1&lt;LEFT('General inputs'!$I$16,4)*1,LEFT(D126,4)*1&gt;LEFT('General inputs'!$I$16,4)+'General inputs'!$H$38-1),"",T126/(1+'General inputs'!$H$34)^C126)</f>
        <v/>
      </c>
      <c r="V126" s="54"/>
    </row>
    <row r="127" spans="2:22" x14ac:dyDescent="0.25">
      <c r="B127" s="53"/>
      <c r="C127" s="28">
        <f>IF(D127='General inputs'!$I$16,0,IF(D127&lt;'General inputs'!$I$16,C128-1,C126+1))</f>
        <v>61</v>
      </c>
      <c r="D127" s="28" t="str">
        <f t="shared" si="4"/>
        <v>2083-84</v>
      </c>
      <c r="E127" s="81" t="str">
        <f>IF(LEFT(D127,4)*1&gt;LEFT('General inputs'!$I$16,4)+'General inputs'!$H$38-1,"",'ET inputs'!D100)</f>
        <v/>
      </c>
      <c r="F127" s="81" t="str">
        <f>IF(LEFT(D127,4)*1&gt;LEFT('General inputs'!$I$16,4)+'General inputs'!$H$38-1,"",E127/(1+'General inputs'!$H$30)^C127)</f>
        <v/>
      </c>
      <c r="G127" s="81" t="str">
        <f>IF(LEFT(D127,4)*1&gt;LEFT('General inputs'!$I$16,4)+'General inputs'!$H$38-1,"",E127/(1+'General inputs'!$H$32)^C127)</f>
        <v/>
      </c>
      <c r="H127" s="81" t="str">
        <f>IF(LEFT(D127,4)*1&lt;LEFT('General inputs'!$I$16,4)*1,"",IF(LEFT(D127,4)*1&gt;LEFT('General inputs'!$I$16,4)+'General inputs'!$H$38-1,"",E127/(1+'General inputs'!$H$34)^C127))</f>
        <v/>
      </c>
      <c r="J127" s="110"/>
      <c r="K127" s="110"/>
      <c r="L127" s="81" t="str">
        <f>IF(LEFT(D127,4)*1&gt;LEFT('General inputs'!$I$18,4)*1,"",SUMIF('Post-1996 commissioned assets'!$F$22:$F$1500,$D127,'Post-1996 commissioned assets'!$P$22:$P$1500)*(1+$K$34)*(1+$K$35))</f>
        <v/>
      </c>
      <c r="M127" s="81" t="str">
        <f>IF(L127="","",L127/(1+'General inputs'!$H$32)^C127)</f>
        <v/>
      </c>
      <c r="N127" s="81">
        <f>IF(LEFT(D127,4)*1&lt;LEFT('General inputs'!$I$18,4)*1+1,"",SUMIF('Uncommissioned assets'!$F$22:$F$1500,$D127,'Uncommissioned assets'!$P$22:$P$1500))</f>
        <v>0</v>
      </c>
      <c r="O127" s="81">
        <f>IF(N127="","",N127/(1+'General inputs'!$H$32)^C127)</f>
        <v>0</v>
      </c>
      <c r="Q127" s="38"/>
      <c r="R127" s="81" t="str">
        <f>IF(OR(LEFT(D127,4)*1&lt;LEFT('General inputs'!$I$16,4)*1,LEFT(D127,4)*1&gt;LEFT('General inputs'!$I$16,4)+'General inputs'!$H$38-1),"",Q127/(1+'General inputs'!$H$34)^C127)</f>
        <v/>
      </c>
      <c r="T127" s="38"/>
      <c r="U127" s="81" t="str">
        <f>IF(OR(LEFT(D127,4)*1&lt;LEFT('General inputs'!$I$16,4)*1,LEFT(D127,4)*1&gt;LEFT('General inputs'!$I$16,4)+'General inputs'!$H$38-1),"",T127/(1+'General inputs'!$H$34)^C127)</f>
        <v/>
      </c>
      <c r="V127" s="54"/>
    </row>
    <row r="128" spans="2:22" x14ac:dyDescent="0.25">
      <c r="B128" s="53"/>
      <c r="C128" s="28">
        <f>IF(D128='General inputs'!$I$16,0,IF(D128&lt;'General inputs'!$I$16,C129-1,C127+1))</f>
        <v>62</v>
      </c>
      <c r="D128" s="28" t="str">
        <f t="shared" si="4"/>
        <v>2084-85</v>
      </c>
      <c r="E128" s="81" t="str">
        <f>IF(LEFT(D128,4)*1&gt;LEFT('General inputs'!$I$16,4)+'General inputs'!$H$38-1,"",'ET inputs'!D101)</f>
        <v/>
      </c>
      <c r="F128" s="81" t="str">
        <f>IF(LEFT(D128,4)*1&gt;LEFT('General inputs'!$I$16,4)+'General inputs'!$H$38-1,"",E128/(1+'General inputs'!$H$30)^C128)</f>
        <v/>
      </c>
      <c r="G128" s="81" t="str">
        <f>IF(LEFT(D128,4)*1&gt;LEFT('General inputs'!$I$16,4)+'General inputs'!$H$38-1,"",E128/(1+'General inputs'!$H$32)^C128)</f>
        <v/>
      </c>
      <c r="H128" s="81" t="str">
        <f>IF(LEFT(D128,4)*1&lt;LEFT('General inputs'!$I$16,4)*1,"",IF(LEFT(D128,4)*1&gt;LEFT('General inputs'!$I$16,4)+'General inputs'!$H$38-1,"",E128/(1+'General inputs'!$H$34)^C128))</f>
        <v/>
      </c>
      <c r="J128" s="110"/>
      <c r="K128" s="110"/>
      <c r="L128" s="81" t="str">
        <f>IF(LEFT(D128,4)*1&gt;LEFT('General inputs'!$I$18,4)*1,"",SUMIF('Post-1996 commissioned assets'!$F$22:$F$1500,$D128,'Post-1996 commissioned assets'!$P$22:$P$1500)*(1+$K$34)*(1+$K$35))</f>
        <v/>
      </c>
      <c r="M128" s="81" t="str">
        <f>IF(L128="","",L128/(1+'General inputs'!$H$32)^C128)</f>
        <v/>
      </c>
      <c r="N128" s="81">
        <f>IF(LEFT(D128,4)*1&lt;LEFT('General inputs'!$I$18,4)*1+1,"",SUMIF('Uncommissioned assets'!$F$22:$F$1500,$D128,'Uncommissioned assets'!$P$22:$P$1500))</f>
        <v>0</v>
      </c>
      <c r="O128" s="81">
        <f>IF(N128="","",N128/(1+'General inputs'!$H$32)^C128)</f>
        <v>0</v>
      </c>
      <c r="Q128" s="38"/>
      <c r="R128" s="81" t="str">
        <f>IF(OR(LEFT(D128,4)*1&lt;LEFT('General inputs'!$I$16,4)*1,LEFT(D128,4)*1&gt;LEFT('General inputs'!$I$16,4)+'General inputs'!$H$38-1),"",Q128/(1+'General inputs'!$H$34)^C128)</f>
        <v/>
      </c>
      <c r="T128" s="38"/>
      <c r="U128" s="81" t="str">
        <f>IF(OR(LEFT(D128,4)*1&lt;LEFT('General inputs'!$I$16,4)*1,LEFT(D128,4)*1&gt;LEFT('General inputs'!$I$16,4)+'General inputs'!$H$38-1),"",T128/(1+'General inputs'!$H$34)^C128)</f>
        <v/>
      </c>
      <c r="V128" s="54"/>
    </row>
    <row r="129" spans="2:22" x14ac:dyDescent="0.25">
      <c r="B129" s="53"/>
      <c r="C129" s="28">
        <f>IF(D129='General inputs'!$I$16,0,IF(D129&lt;'General inputs'!$I$16,C130-1,C128+1))</f>
        <v>63</v>
      </c>
      <c r="D129" s="28" t="str">
        <f t="shared" si="4"/>
        <v>2085-86</v>
      </c>
      <c r="E129" s="81" t="str">
        <f>IF(LEFT(D129,4)*1&gt;LEFT('General inputs'!$I$16,4)+'General inputs'!$H$38-1,"",'ET inputs'!D102)</f>
        <v/>
      </c>
      <c r="F129" s="81" t="str">
        <f>IF(LEFT(D129,4)*1&gt;LEFT('General inputs'!$I$16,4)+'General inputs'!$H$38-1,"",E129/(1+'General inputs'!$H$30)^C129)</f>
        <v/>
      </c>
      <c r="G129" s="81" t="str">
        <f>IF(LEFT(D129,4)*1&gt;LEFT('General inputs'!$I$16,4)+'General inputs'!$H$38-1,"",E129/(1+'General inputs'!$H$32)^C129)</f>
        <v/>
      </c>
      <c r="H129" s="81" t="str">
        <f>IF(LEFT(D129,4)*1&lt;LEFT('General inputs'!$I$16,4)*1,"",IF(LEFT(D129,4)*1&gt;LEFT('General inputs'!$I$16,4)+'General inputs'!$H$38-1,"",E129/(1+'General inputs'!$H$34)^C129))</f>
        <v/>
      </c>
      <c r="J129" s="110"/>
      <c r="K129" s="110"/>
      <c r="L129" s="81" t="str">
        <f>IF(LEFT(D129,4)*1&gt;LEFT('General inputs'!$I$18,4)*1,"",SUMIF('Post-1996 commissioned assets'!$F$22:$F$1500,$D129,'Post-1996 commissioned assets'!$P$22:$P$1500)*(1+$K$34)*(1+$K$35))</f>
        <v/>
      </c>
      <c r="M129" s="81" t="str">
        <f>IF(L129="","",L129/(1+'General inputs'!$H$32)^C129)</f>
        <v/>
      </c>
      <c r="N129" s="81">
        <f>IF(LEFT(D129,4)*1&lt;LEFT('General inputs'!$I$18,4)*1+1,"",SUMIF('Uncommissioned assets'!$F$22:$F$1500,$D129,'Uncommissioned assets'!$P$22:$P$1500))</f>
        <v>0</v>
      </c>
      <c r="O129" s="81">
        <f>IF(N129="","",N129/(1+'General inputs'!$H$32)^C129)</f>
        <v>0</v>
      </c>
      <c r="Q129" s="38"/>
      <c r="R129" s="81" t="str">
        <f>IF(OR(LEFT(D129,4)*1&lt;LEFT('General inputs'!$I$16,4)*1,LEFT(D129,4)*1&gt;LEFT('General inputs'!$I$16,4)+'General inputs'!$H$38-1),"",Q129/(1+'General inputs'!$H$34)^C129)</f>
        <v/>
      </c>
      <c r="T129" s="38"/>
      <c r="U129" s="81" t="str">
        <f>IF(OR(LEFT(D129,4)*1&lt;LEFT('General inputs'!$I$16,4)*1,LEFT(D129,4)*1&gt;LEFT('General inputs'!$I$16,4)+'General inputs'!$H$38-1),"",T129/(1+'General inputs'!$H$34)^C129)</f>
        <v/>
      </c>
      <c r="V129" s="54"/>
    </row>
    <row r="130" spans="2:22" x14ac:dyDescent="0.25">
      <c r="B130" s="55"/>
      <c r="C130" s="41"/>
      <c r="D130" s="41"/>
      <c r="E130" s="41"/>
      <c r="F130" s="41"/>
      <c r="G130" s="41"/>
      <c r="H130" s="41"/>
      <c r="I130" s="41"/>
      <c r="J130" s="41"/>
      <c r="K130" s="41"/>
      <c r="L130" s="41"/>
      <c r="M130" s="41"/>
      <c r="N130" s="41"/>
      <c r="O130" s="41"/>
      <c r="P130" s="41"/>
      <c r="Q130" s="41"/>
      <c r="R130" s="41"/>
      <c r="S130" s="41"/>
      <c r="T130" s="41"/>
      <c r="U130" s="41"/>
      <c r="V130" s="56"/>
    </row>
  </sheetData>
  <conditionalFormatting sqref="Q36">
    <cfRule type="containsText" dxfId="15" priority="5" operator="containsText" text="data">
      <formula>NOT(ISERROR(SEARCH("data",Q36)))</formula>
    </cfRule>
  </conditionalFormatting>
  <conditionalFormatting sqref="T36">
    <cfRule type="containsText" dxfId="14" priority="3" operator="containsText" text="data">
      <formula>NOT(ISERROR(SEARCH("data",T36)))</formula>
    </cfRule>
  </conditionalFormatting>
  <pageMargins left="0.7" right="0.7" top="0.75" bottom="0.75" header="0.3" footer="0.3"/>
  <pageSetup paperSize="9" orientation="portrait" horizontalDpi="200" verticalDpi="200" r:id="rId1"/>
  <legacyDrawing r:id="rId2"/>
  <extLst>
    <ext xmlns:x14="http://schemas.microsoft.com/office/spreadsheetml/2009/9/main" uri="{78C0D931-6437-407d-A8EE-F0AAD7539E65}">
      <x14:conditionalFormattings>
        <x14:conditionalFormatting xmlns:xm="http://schemas.microsoft.com/office/excel/2006/main">
          <x14:cfRule type="expression" priority="47" id="{F2539AB7-12EB-495F-868F-335C45BD094E}">
            <xm:f>LEFT($D39,4)*1&gt;LEFT('General inputs'!$I$16,4)*1+'General inputs'!$H$38-1</xm:f>
            <x14:dxf>
              <fill>
                <patternFill>
                  <bgColor rgb="FFDDDDDD"/>
                </patternFill>
              </fill>
            </x14:dxf>
          </x14:cfRule>
          <xm:sqref>E39:G129</xm:sqref>
        </x14:conditionalFormatting>
        <x14:conditionalFormatting xmlns:xm="http://schemas.microsoft.com/office/excel/2006/main">
          <x14:cfRule type="expression" priority="1" id="{04D9EEEA-FFC6-446F-9FA3-330D8E657997}">
            <xm:f>OR(LEFT($D39,4)*1&lt;LEFT('General inputs'!$I$16,4)*1,LEFT($D39,4)*1&gt;LEFT('General inputs'!$I$16,4)*1+'General inputs'!$H$38-1)</xm:f>
            <x14:dxf>
              <fill>
                <patternFill>
                  <bgColor rgb="FFDDDDDD"/>
                </patternFill>
              </fill>
            </x14:dxf>
          </x14:cfRule>
          <xm:sqref>H39:H129</xm:sqref>
        </x14:conditionalFormatting>
        <x14:conditionalFormatting xmlns:xm="http://schemas.microsoft.com/office/excel/2006/main">
          <x14:cfRule type="expression" priority="10" id="{6B0067C0-C24B-4659-92FC-9A9120D63099}">
            <xm:f>LEFT($D39,4)*1&gt;LEFT('General inputs'!$I$18,4)*1</xm:f>
            <x14:dxf>
              <fill>
                <patternFill>
                  <bgColor rgb="FFDDDDDD"/>
                </patternFill>
              </fill>
            </x14:dxf>
          </x14:cfRule>
          <xm:sqref>L39:M129</xm:sqref>
        </x14:conditionalFormatting>
        <x14:conditionalFormatting xmlns:xm="http://schemas.microsoft.com/office/excel/2006/main">
          <x14:cfRule type="expression" priority="48" id="{C0A81E9A-9D86-4B88-9785-A24519DF4322}">
            <xm:f>LEFT($D39,4)*1&lt;=LEFT('General inputs'!$I$18,4)*1</xm:f>
            <x14:dxf>
              <fill>
                <patternFill>
                  <bgColor rgb="FFDDDDDD"/>
                </patternFill>
              </fill>
            </x14:dxf>
          </x14:cfRule>
          <xm:sqref>N39:O129</xm:sqref>
        </x14:conditionalFormatting>
        <x14:conditionalFormatting xmlns:xm="http://schemas.microsoft.com/office/excel/2006/main">
          <x14:cfRule type="expression" priority="49" id="{4007EED2-5127-4B0E-9224-74B73C828219}">
            <xm:f>OR(LEFT($D39,4)*1&lt;LEFT('General inputs'!$I$16,4)*1,LEFT($D39,4)*1&gt;LEFT('General inputs'!$I$16,4)*1+'General inputs'!$H$38-1)</xm:f>
            <x14:dxf>
              <fill>
                <patternFill>
                  <bgColor rgb="FFDDDDDD"/>
                </patternFill>
              </fill>
            </x14:dxf>
          </x14:cfRule>
          <xm:sqref>Q39:R129 T39:U129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7" tint="0.79998168889431442"/>
  </sheetPr>
  <dimension ref="C3:O50"/>
  <sheetViews>
    <sheetView showGridLines="0" zoomScaleNormal="100" workbookViewId="0"/>
  </sheetViews>
  <sheetFormatPr defaultRowHeight="11.5" outlineLevelRow="1" outlineLevelCol="1" x14ac:dyDescent="0.25"/>
  <cols>
    <col min="1" max="3" width="2.69921875" customWidth="1"/>
    <col min="4" max="6" width="15.69921875" customWidth="1"/>
    <col min="7" max="7" width="18.8984375" customWidth="1"/>
    <col min="8" max="11" width="15.69921875" customWidth="1"/>
    <col min="12" max="14" width="15.69921875" hidden="1" customWidth="1" outlineLevel="1"/>
    <col min="15" max="15" width="9" collapsed="1"/>
  </cols>
  <sheetData>
    <row r="3" spans="3:13" ht="20" x14ac:dyDescent="0.4">
      <c r="C3" s="57" t="s">
        <v>128</v>
      </c>
    </row>
    <row r="5" spans="3:13" ht="15.5" x14ac:dyDescent="0.35">
      <c r="C5" s="2" t="s">
        <v>129</v>
      </c>
      <c r="H5" s="272" t="s">
        <v>130</v>
      </c>
      <c r="I5" s="273"/>
      <c r="L5" s="6" t="str">
        <f>"Do not delete - data validation for option at "&amp;ADDRESS(ROW(H5),COLUMN(H5))</f>
        <v>Do not delete - data validation for option at $H$5</v>
      </c>
    </row>
    <row r="6" spans="3:13" x14ac:dyDescent="0.25">
      <c r="L6" t="s">
        <v>131</v>
      </c>
      <c r="M6" t="s">
        <v>132</v>
      </c>
    </row>
    <row r="7" spans="3:13" ht="15.5" x14ac:dyDescent="0.35">
      <c r="C7" s="2" t="s">
        <v>133</v>
      </c>
      <c r="H7" s="272" t="s">
        <v>421</v>
      </c>
      <c r="I7" s="273"/>
      <c r="L7" s="42" t="s">
        <v>134</v>
      </c>
      <c r="M7" s="133">
        <v>0</v>
      </c>
    </row>
    <row r="8" spans="3:13" x14ac:dyDescent="0.25">
      <c r="L8" s="43" t="s">
        <v>135</v>
      </c>
      <c r="M8" s="134">
        <v>0.03</v>
      </c>
    </row>
    <row r="9" spans="3:13" ht="15.5" hidden="1" outlineLevel="1" x14ac:dyDescent="0.35">
      <c r="C9" s="2" t="s">
        <v>136</v>
      </c>
      <c r="H9" s="272" t="s">
        <v>137</v>
      </c>
      <c r="I9" s="273"/>
      <c r="L9" s="44" t="s">
        <v>130</v>
      </c>
      <c r="M9" s="135">
        <v>0.03</v>
      </c>
    </row>
    <row r="10" spans="3:13" hidden="1" outlineLevel="1" x14ac:dyDescent="0.25"/>
    <row r="11" spans="3:13" ht="15.5" collapsed="1" x14ac:dyDescent="0.35">
      <c r="C11" s="2" t="s">
        <v>138</v>
      </c>
      <c r="H11" s="272" t="s">
        <v>139</v>
      </c>
      <c r="I11" s="273"/>
    </row>
    <row r="12" spans="3:13" x14ac:dyDescent="0.25">
      <c r="L12" s="6" t="str">
        <f>"Do not delete - data validation for options at "&amp;ADDRESS(ROW(H11),COLUMN(H11))</f>
        <v>Do not delete - data validation for options at $H$11</v>
      </c>
    </row>
    <row r="13" spans="3:13" x14ac:dyDescent="0.25">
      <c r="L13" s="42" t="s">
        <v>140</v>
      </c>
    </row>
    <row r="14" spans="3:13" ht="15.5" x14ac:dyDescent="0.35">
      <c r="C14" s="2" t="s">
        <v>141</v>
      </c>
      <c r="I14" s="104" t="s">
        <v>142</v>
      </c>
      <c r="L14" s="43" t="s">
        <v>139</v>
      </c>
    </row>
    <row r="15" spans="3:13" x14ac:dyDescent="0.25">
      <c r="L15" s="44" t="s">
        <v>143</v>
      </c>
    </row>
    <row r="16" spans="3:13" x14ac:dyDescent="0.25">
      <c r="D16" s="6" t="s">
        <v>144</v>
      </c>
      <c r="I16" s="48" t="s">
        <v>145</v>
      </c>
    </row>
    <row r="17" spans="3:12" x14ac:dyDescent="0.25">
      <c r="D17" s="6"/>
    </row>
    <row r="18" spans="3:12" x14ac:dyDescent="0.25">
      <c r="D18" s="6" t="s">
        <v>146</v>
      </c>
      <c r="H18" s="175">
        <v>44377</v>
      </c>
      <c r="I18" s="65" t="str">
        <f>IF(MONTH(H18)&gt;=7,YEAR(H18)&amp;"-"&amp;RIGHT(YEAR(H18),2)+1,RIGHT(YEAR(H18),4)-1&amp;"-"&amp;RIGHT(YEAR(H18),2))</f>
        <v>2020-21</v>
      </c>
      <c r="L18" s="6" t="str">
        <f>"Do not delete - data validation for options at "&amp;ADDRESS(ROW(I16),COLUMN(I16))&amp;" and "&amp;ADDRESS(ROW(I40),COLUMN(I40))</f>
        <v>Do not delete - data validation for options at $I$16 and $I$40</v>
      </c>
    </row>
    <row r="19" spans="3:12" x14ac:dyDescent="0.25">
      <c r="L19" s="162" t="s">
        <v>147</v>
      </c>
    </row>
    <row r="20" spans="3:12" x14ac:dyDescent="0.25">
      <c r="L20" s="43" t="s">
        <v>148</v>
      </c>
    </row>
    <row r="21" spans="3:12" x14ac:dyDescent="0.25">
      <c r="D21" s="6" t="s">
        <v>149</v>
      </c>
      <c r="L21" s="43" t="s">
        <v>150</v>
      </c>
    </row>
    <row r="22" spans="3:12" x14ac:dyDescent="0.25">
      <c r="L22" s="43" t="s">
        <v>151</v>
      </c>
    </row>
    <row r="23" spans="3:12" x14ac:dyDescent="0.25">
      <c r="D23" s="63" t="s">
        <v>152</v>
      </c>
      <c r="H23" s="64">
        <v>25569</v>
      </c>
      <c r="L23" s="43" t="s">
        <v>145</v>
      </c>
    </row>
    <row r="24" spans="3:12" x14ac:dyDescent="0.25">
      <c r="D24" s="63" t="s">
        <v>153</v>
      </c>
      <c r="H24" s="64">
        <v>35064</v>
      </c>
      <c r="L24" s="43" t="s">
        <v>154</v>
      </c>
    </row>
    <row r="25" spans="3:12" x14ac:dyDescent="0.25">
      <c r="L25" s="43" t="s">
        <v>155</v>
      </c>
    </row>
    <row r="26" spans="3:12" x14ac:dyDescent="0.25">
      <c r="L26" s="43" t="s">
        <v>156</v>
      </c>
    </row>
    <row r="27" spans="3:12" x14ac:dyDescent="0.25">
      <c r="L27" s="43" t="s">
        <v>157</v>
      </c>
    </row>
    <row r="28" spans="3:12" ht="15.5" x14ac:dyDescent="0.35">
      <c r="C28" s="2" t="s">
        <v>158</v>
      </c>
      <c r="L28" s="43" t="s">
        <v>159</v>
      </c>
    </row>
    <row r="29" spans="3:12" x14ac:dyDescent="0.25">
      <c r="L29" s="43" t="s">
        <v>160</v>
      </c>
    </row>
    <row r="30" spans="3:12" x14ac:dyDescent="0.25">
      <c r="D30" s="6" t="s">
        <v>161</v>
      </c>
      <c r="H30" s="66">
        <f>INDEX($M$7:$M$12,MATCH($H$5,$L$7:$L$12))</f>
        <v>0.03</v>
      </c>
      <c r="L30" s="43" t="s">
        <v>162</v>
      </c>
    </row>
    <row r="31" spans="3:12" ht="12" customHeight="1" x14ac:dyDescent="0.35">
      <c r="C31" s="2"/>
      <c r="D31" s="6"/>
      <c r="H31" s="35"/>
      <c r="L31" s="44" t="s">
        <v>163</v>
      </c>
    </row>
    <row r="32" spans="3:12" ht="12" customHeight="1" x14ac:dyDescent="0.35">
      <c r="C32" s="2"/>
      <c r="D32" s="5" t="s">
        <v>164</v>
      </c>
      <c r="H32" s="164">
        <v>4.2000000000000003E-2</v>
      </c>
    </row>
    <row r="33" spans="3:12" ht="12" customHeight="1" x14ac:dyDescent="0.25">
      <c r="D33" s="6"/>
      <c r="H33" s="35"/>
    </row>
    <row r="34" spans="3:12" ht="12" customHeight="1" x14ac:dyDescent="0.25">
      <c r="D34" s="5" t="s">
        <v>165</v>
      </c>
      <c r="H34" s="164">
        <v>4.2000000000000003E-2</v>
      </c>
    </row>
    <row r="35" spans="3:12" ht="12" customHeight="1" x14ac:dyDescent="0.35">
      <c r="C35" s="2"/>
    </row>
    <row r="36" spans="3:12" ht="12" customHeight="1" x14ac:dyDescent="0.35">
      <c r="C36" s="2"/>
      <c r="D36" s="6" t="s">
        <v>166</v>
      </c>
      <c r="H36" s="230">
        <v>132.64003919815437</v>
      </c>
      <c r="L36" s="6" t="str">
        <f>"Do not delete - data validation for option at "&amp;ADDRESS(ROW(H42),COLUMN(H42))</f>
        <v>Do not delete - data validation for option at $H$42</v>
      </c>
    </row>
    <row r="37" spans="3:12" ht="12" customHeight="1" x14ac:dyDescent="0.35">
      <c r="C37" s="2"/>
      <c r="L37" s="42" t="s">
        <v>167</v>
      </c>
    </row>
    <row r="38" spans="3:12" ht="12" customHeight="1" x14ac:dyDescent="0.35">
      <c r="C38" s="2"/>
      <c r="D38" s="6" t="s">
        <v>168</v>
      </c>
      <c r="H38" s="67">
        <v>30</v>
      </c>
      <c r="L38" s="43" t="s">
        <v>169</v>
      </c>
    </row>
    <row r="39" spans="3:12" ht="12" customHeight="1" x14ac:dyDescent="0.35">
      <c r="C39" s="2"/>
      <c r="L39" s="44" t="s">
        <v>170</v>
      </c>
    </row>
    <row r="40" spans="3:12" ht="12" customHeight="1" x14ac:dyDescent="0.25">
      <c r="D40" s="6" t="s">
        <v>171</v>
      </c>
      <c r="I40" s="48" t="s">
        <v>145</v>
      </c>
    </row>
    <row r="42" spans="3:12" x14ac:dyDescent="0.25">
      <c r="D42" s="6" t="s">
        <v>172</v>
      </c>
      <c r="H42" s="163" t="s">
        <v>167</v>
      </c>
    </row>
    <row r="43" spans="3:12" x14ac:dyDescent="0.25">
      <c r="D43" s="6"/>
    </row>
    <row r="47" spans="3:12" ht="15.5" x14ac:dyDescent="0.35">
      <c r="C47" s="2"/>
    </row>
    <row r="49" spans="6:6" x14ac:dyDescent="0.25">
      <c r="F49" s="31"/>
    </row>
    <row r="50" spans="6:6" x14ac:dyDescent="0.25">
      <c r="F50" s="31"/>
    </row>
  </sheetData>
  <mergeCells count="4">
    <mergeCell ref="H5:I5"/>
    <mergeCell ref="H7:I7"/>
    <mergeCell ref="H9:I9"/>
    <mergeCell ref="H11:I11"/>
  </mergeCells>
  <dataValidations count="4">
    <dataValidation type="list" allowBlank="1" showInputMessage="1" showErrorMessage="1" sqref="I40 I16" xr:uid="{00000000-0002-0000-0400-000000000000}">
      <formula1>$L$19:$L$31</formula1>
    </dataValidation>
    <dataValidation type="list" allowBlank="1" showInputMessage="1" showErrorMessage="1" sqref="H42" xr:uid="{00000000-0002-0000-0400-000001000000}">
      <formula1>$L$37:$L$39</formula1>
    </dataValidation>
    <dataValidation type="list" allowBlank="1" showInputMessage="1" showErrorMessage="1" sqref="H11" xr:uid="{00000000-0002-0000-0400-000002000000}">
      <formula1>$L$13:$L$15</formula1>
    </dataValidation>
    <dataValidation type="list" allowBlank="1" showInputMessage="1" showErrorMessage="1" sqref="H5:I5" xr:uid="{00000000-0002-0000-0400-000003000000}">
      <formula1>$L$7:$L$9</formula1>
    </dataValidation>
  </dataValidations>
  <pageMargins left="0.7" right="0.7" top="0.75" bottom="0.75" header="0.3" footer="0.3"/>
  <pageSetup paperSize="9" orientation="portrait" horizontalDpi="200" verticalDpi="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79998168889431442"/>
  </sheetPr>
  <dimension ref="A1:Q791"/>
  <sheetViews>
    <sheetView showGridLines="0" zoomScale="85" zoomScaleNormal="85" workbookViewId="0">
      <pane ySplit="21" topLeftCell="A22" activePane="bottomLeft" state="frozen"/>
      <selection activeCell="A22" sqref="A22"/>
      <selection pane="bottomLeft" activeCell="F42" sqref="F42"/>
    </sheetView>
  </sheetViews>
  <sheetFormatPr defaultColWidth="28" defaultRowHeight="11.5" outlineLevelRow="1" x14ac:dyDescent="0.25"/>
  <cols>
    <col min="1" max="1" width="6.09765625" customWidth="1"/>
    <col min="2" max="2" width="12.3984375" customWidth="1"/>
    <col min="3" max="3" width="15.69921875" customWidth="1"/>
    <col min="4" max="4" width="49.69921875" customWidth="1"/>
    <col min="5" max="5" width="15.69921875" customWidth="1"/>
    <col min="6" max="6" width="25.8984375" customWidth="1"/>
    <col min="7" max="7" width="2.69921875" customWidth="1"/>
    <col min="8" max="10" width="15.69921875" customWidth="1"/>
    <col min="11" max="11" width="2.69921875" customWidth="1"/>
    <col min="12" max="13" width="15.69921875" customWidth="1"/>
    <col min="14" max="14" width="18" customWidth="1"/>
    <col min="15" max="16" width="15.69921875" customWidth="1"/>
    <col min="17" max="17" width="14.8984375" customWidth="1"/>
  </cols>
  <sheetData>
    <row r="1" spans="3:9" x14ac:dyDescent="0.25">
      <c r="E1" s="31"/>
    </row>
    <row r="2" spans="3:9" x14ac:dyDescent="0.25">
      <c r="E2" s="31"/>
    </row>
    <row r="3" spans="3:9" ht="20" x14ac:dyDescent="0.4">
      <c r="C3" s="57" t="s">
        <v>173</v>
      </c>
    </row>
    <row r="4" spans="3:9" hidden="1" outlineLevel="1" x14ac:dyDescent="0.25"/>
    <row r="5" spans="3:9" hidden="1" outlineLevel="1" x14ac:dyDescent="0.25"/>
    <row r="6" spans="3:9" hidden="1" outlineLevel="1" x14ac:dyDescent="0.25">
      <c r="C6" s="106"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9" hidden="1" outlineLevel="1" x14ac:dyDescent="0.25">
      <c r="C7" s="128" t="str">
        <f ca="1">"Hyperlink to the '"&amp;MID(CELL("filename",'Asset exclusions'!A1),FIND("]",CELL("filename",'Asset exclusions'!A1))+1,255)&amp;"' worksheet:"</f>
        <v>Hyperlink to the 'Asset exclusions' worksheet:</v>
      </c>
      <c r="E7" s="157" t="s">
        <v>174</v>
      </c>
    </row>
    <row r="8" spans="3:9" hidden="1" outlineLevel="1" x14ac:dyDescent="0.25">
      <c r="C8" s="128"/>
      <c r="E8" s="157"/>
    </row>
    <row r="9" spans="3:9" hidden="1" outlineLevel="1" x14ac:dyDescent="0.25">
      <c r="C9" s="128" t="s">
        <v>175</v>
      </c>
      <c r="E9" s="157"/>
    </row>
    <row r="10" spans="3:9" hidden="1" outlineLevel="1" x14ac:dyDescent="0.25">
      <c r="C10" s="128" t="s">
        <v>176</v>
      </c>
      <c r="E10" s="157"/>
    </row>
    <row r="11" spans="3:9" hidden="1" outlineLevel="1" x14ac:dyDescent="0.25">
      <c r="C11" s="128" t="s">
        <v>177</v>
      </c>
      <c r="E11" s="157"/>
    </row>
    <row r="12" spans="3:9" hidden="1" outlineLevel="1" x14ac:dyDescent="0.25">
      <c r="C12" s="128" t="s">
        <v>178</v>
      </c>
      <c r="E12" s="157"/>
    </row>
    <row r="13" spans="3:9" collapsed="1" x14ac:dyDescent="0.25">
      <c r="H13" s="31"/>
    </row>
    <row r="14" spans="3:9" x14ac:dyDescent="0.25">
      <c r="C14" s="6" t="s">
        <v>179</v>
      </c>
      <c r="H14" s="31"/>
    </row>
    <row r="15" spans="3:9" ht="12" x14ac:dyDescent="0.3">
      <c r="C15" s="63" t="s">
        <v>180</v>
      </c>
      <c r="E15" s="87">
        <f>'General inputs'!$H$23</f>
        <v>25569</v>
      </c>
      <c r="H15" s="200" t="s">
        <v>181</v>
      </c>
    </row>
    <row r="16" spans="3:9" ht="12" x14ac:dyDescent="0.3">
      <c r="C16" s="63" t="s">
        <v>182</v>
      </c>
      <c r="E16" s="88">
        <f>'General inputs'!$H$24</f>
        <v>35064</v>
      </c>
      <c r="H16" s="201" t="s">
        <v>183</v>
      </c>
      <c r="I16" s="202">
        <f>SUMIF($B$22:$B$3063,H16,$P$22:$P$3063)/$J$22</f>
        <v>49196277.313045941</v>
      </c>
    </row>
    <row r="17" spans="1:17" ht="12" x14ac:dyDescent="0.3">
      <c r="H17" s="203" t="s">
        <v>184</v>
      </c>
      <c r="I17" s="204">
        <f>SUMIF($B$22:$B$3063,H17,$P$22:$P$3063)/$J$22</f>
        <v>1909312.2838770661</v>
      </c>
    </row>
    <row r="18" spans="1:17" ht="15.5" x14ac:dyDescent="0.35">
      <c r="C18" s="2" t="s">
        <v>185</v>
      </c>
      <c r="H18" s="205" t="s">
        <v>186</v>
      </c>
      <c r="I18" s="206">
        <f>SUMIF($B$22:$B$3063,H18,$P$22:$P$3063)/$J$22</f>
        <v>4904195.6576036783</v>
      </c>
    </row>
    <row r="20" spans="1:17" x14ac:dyDescent="0.25">
      <c r="C20" s="6" t="s">
        <v>187</v>
      </c>
      <c r="D20" s="219"/>
      <c r="E20" s="220"/>
      <c r="F20" s="220"/>
      <c r="H20" s="6" t="s">
        <v>188</v>
      </c>
      <c r="L20" s="6" t="s">
        <v>189</v>
      </c>
      <c r="M20" s="6"/>
    </row>
    <row r="21" spans="1:17" ht="46" x14ac:dyDescent="0.25">
      <c r="C21" s="165" t="s">
        <v>190</v>
      </c>
      <c r="D21" s="24" t="s">
        <v>191</v>
      </c>
      <c r="E21" s="165" t="s">
        <v>192</v>
      </c>
      <c r="F21" s="24" t="s">
        <v>193</v>
      </c>
      <c r="H21" s="165" t="s">
        <v>194</v>
      </c>
      <c r="I21" s="165" t="s">
        <v>195</v>
      </c>
      <c r="J21" s="165" t="s">
        <v>196</v>
      </c>
      <c r="L21" s="165" t="s">
        <v>197</v>
      </c>
      <c r="M21" s="24" t="s">
        <v>198</v>
      </c>
      <c r="N21" s="165" t="s">
        <v>199</v>
      </c>
      <c r="O21" s="165" t="s">
        <v>200</v>
      </c>
      <c r="P21" s="24" t="s">
        <v>201</v>
      </c>
      <c r="Q21" s="195" t="s">
        <v>202</v>
      </c>
    </row>
    <row r="22" spans="1:17" ht="26" customHeight="1" x14ac:dyDescent="0.25">
      <c r="A22">
        <v>1978</v>
      </c>
      <c r="B22" t="s">
        <v>183</v>
      </c>
      <c r="C22" s="198">
        <v>37036</v>
      </c>
      <c r="D22" s="111" t="s">
        <v>203</v>
      </c>
      <c r="E22" s="32">
        <f>DATEVALUE("30 Jun "&amp;A22)</f>
        <v>28671</v>
      </c>
      <c r="F22" s="89" t="str">
        <f>IF(E22="","-",IF(OR(E22&lt;$E$15,E22&gt;$E$16),"ERROR - date outside of range","Date check - OK"))</f>
        <v>Date check - OK</v>
      </c>
      <c r="H22" s="115" t="s">
        <v>204</v>
      </c>
      <c r="I22" s="25"/>
      <c r="J22" s="97">
        <f>'ET inputs'!AP20</f>
        <v>0.12628967301448812</v>
      </c>
      <c r="L22" s="25">
        <v>126</v>
      </c>
      <c r="M22" s="166" t="s">
        <v>205</v>
      </c>
      <c r="N22" s="25">
        <v>1861.1014379511059</v>
      </c>
      <c r="O22" s="92">
        <f>IF(N22="","-",L22*N22)</f>
        <v>234498.78118183935</v>
      </c>
      <c r="P22" s="94">
        <f>IF(O22="-","-",IF(OR(E22&lt;$E$15,E22&gt;$E$16),0,O22*J22))*Q22</f>
        <v>29614.774397750494</v>
      </c>
      <c r="Q22" s="196">
        <v>1</v>
      </c>
    </row>
    <row r="23" spans="1:17" ht="24" customHeight="1" x14ac:dyDescent="0.25">
      <c r="A23">
        <v>1978</v>
      </c>
      <c r="B23" t="s">
        <v>183</v>
      </c>
      <c r="C23" s="199"/>
      <c r="D23" s="112" t="s">
        <v>203</v>
      </c>
      <c r="E23" s="33">
        <f t="shared" ref="E23:E41" si="0">DATEVALUE("30 Jun "&amp;A23)</f>
        <v>28671</v>
      </c>
      <c r="F23" s="90" t="str">
        <f t="shared" ref="F23:F86" si="1">IF(E23="","-",IF(OR(E23&lt;$E$15,E23&gt;$E$16),"ERROR - date outside of range","Date check - OK"))</f>
        <v>Date check - OK</v>
      </c>
      <c r="H23" s="116"/>
      <c r="I23" s="26"/>
      <c r="J23" s="98">
        <f t="shared" ref="J23:J86" si="2">J22</f>
        <v>0.12628967301448812</v>
      </c>
      <c r="L23" s="26">
        <v>545</v>
      </c>
      <c r="M23" s="26" t="s">
        <v>205</v>
      </c>
      <c r="N23" s="136">
        <v>1456.5850868451687</v>
      </c>
      <c r="O23" s="93">
        <f t="shared" ref="O23:O41" si="3">IF(N23="","-",L23*N23)</f>
        <v>793838.87233061693</v>
      </c>
      <c r="P23" s="95">
        <f t="shared" ref="P23:P41" si="4">IF(O23="-","-",IF(OR(E23&lt;$E$15,E23&gt;$E$16),0,O23*J23))*Q23</f>
        <v>100253.6516128236</v>
      </c>
      <c r="Q23" s="197">
        <v>1</v>
      </c>
    </row>
    <row r="24" spans="1:17" x14ac:dyDescent="0.25">
      <c r="A24">
        <v>1978</v>
      </c>
      <c r="B24" t="s">
        <v>183</v>
      </c>
      <c r="C24" s="199"/>
      <c r="D24" s="112" t="s">
        <v>203</v>
      </c>
      <c r="E24" s="33">
        <f t="shared" si="0"/>
        <v>28671</v>
      </c>
      <c r="F24" s="90" t="str">
        <f t="shared" si="1"/>
        <v>Date check - OK</v>
      </c>
      <c r="H24" s="116"/>
      <c r="I24" s="26"/>
      <c r="J24" s="98">
        <f t="shared" si="2"/>
        <v>0.12628967301448812</v>
      </c>
      <c r="K24" s="36"/>
      <c r="L24" s="26">
        <v>425</v>
      </c>
      <c r="M24" s="26" t="s">
        <v>205</v>
      </c>
      <c r="N24" s="26">
        <v>950.93964796274736</v>
      </c>
      <c r="O24" s="93">
        <f t="shared" si="3"/>
        <v>404149.35038416763</v>
      </c>
      <c r="P24" s="95">
        <f t="shared" si="4"/>
        <v>51039.889309034319</v>
      </c>
      <c r="Q24" s="197">
        <v>1</v>
      </c>
    </row>
    <row r="25" spans="1:17" x14ac:dyDescent="0.25">
      <c r="A25">
        <v>1978</v>
      </c>
      <c r="B25" t="s">
        <v>183</v>
      </c>
      <c r="C25" s="199"/>
      <c r="D25" s="112" t="s">
        <v>203</v>
      </c>
      <c r="E25" s="33">
        <f t="shared" si="0"/>
        <v>28671</v>
      </c>
      <c r="F25" s="90" t="str">
        <f t="shared" si="1"/>
        <v>Date check - OK</v>
      </c>
      <c r="H25" s="116"/>
      <c r="I25" s="26"/>
      <c r="J25" s="98">
        <f t="shared" si="2"/>
        <v>0.12628967301448812</v>
      </c>
      <c r="K25" s="36"/>
      <c r="L25" s="26">
        <v>394</v>
      </c>
      <c r="M25" s="26" t="s">
        <v>205</v>
      </c>
      <c r="N25" s="26">
        <v>580.67669755529687</v>
      </c>
      <c r="O25" s="93">
        <f t="shared" si="3"/>
        <v>228786.61883678698</v>
      </c>
      <c r="P25" s="95">
        <f t="shared" si="4"/>
        <v>28893.387282988155</v>
      </c>
      <c r="Q25" s="197">
        <v>1</v>
      </c>
    </row>
    <row r="26" spans="1:17" x14ac:dyDescent="0.25">
      <c r="A26">
        <v>1981</v>
      </c>
      <c r="B26" t="s">
        <v>183</v>
      </c>
      <c r="C26" s="199">
        <v>37035</v>
      </c>
      <c r="D26" s="112" t="s">
        <v>206</v>
      </c>
      <c r="E26" s="33">
        <f t="shared" si="0"/>
        <v>29767</v>
      </c>
      <c r="F26" s="90" t="str">
        <f t="shared" si="1"/>
        <v>Date check - OK</v>
      </c>
      <c r="H26" s="116"/>
      <c r="I26" s="26"/>
      <c r="J26" s="98">
        <f t="shared" si="2"/>
        <v>0.12628967301448812</v>
      </c>
      <c r="K26" s="36"/>
      <c r="L26" s="26">
        <v>150</v>
      </c>
      <c r="M26" s="26" t="s">
        <v>205</v>
      </c>
      <c r="N26" s="26">
        <v>2546.1694519208381</v>
      </c>
      <c r="O26" s="93">
        <f t="shared" si="3"/>
        <v>381925.41778812569</v>
      </c>
      <c r="P26" s="95">
        <f t="shared" si="4"/>
        <v>48233.23612838416</v>
      </c>
      <c r="Q26" s="197">
        <v>1</v>
      </c>
    </row>
    <row r="27" spans="1:17" x14ac:dyDescent="0.25">
      <c r="A27">
        <v>1986</v>
      </c>
      <c r="B27" t="s">
        <v>183</v>
      </c>
      <c r="C27" s="199">
        <v>37210</v>
      </c>
      <c r="D27" s="112" t="s">
        <v>207</v>
      </c>
      <c r="E27" s="33">
        <f t="shared" si="0"/>
        <v>31593</v>
      </c>
      <c r="F27" s="90" t="str">
        <f t="shared" si="1"/>
        <v>Date check - OK</v>
      </c>
      <c r="H27" s="116"/>
      <c r="I27" s="26"/>
      <c r="J27" s="98">
        <f t="shared" si="2"/>
        <v>0.12628967301448812</v>
      </c>
      <c r="K27" s="36"/>
      <c r="L27" s="26">
        <v>108</v>
      </c>
      <c r="M27" s="26" t="s">
        <v>205</v>
      </c>
      <c r="N27" s="26">
        <v>1764.8656931315481</v>
      </c>
      <c r="O27" s="93">
        <f t="shared" si="3"/>
        <v>190605.49485820721</v>
      </c>
      <c r="P27" s="95">
        <f t="shared" si="4"/>
        <v>24071.505620407686</v>
      </c>
      <c r="Q27" s="197">
        <v>1</v>
      </c>
    </row>
    <row r="28" spans="1:17" x14ac:dyDescent="0.25">
      <c r="A28">
        <v>1988</v>
      </c>
      <c r="B28" t="s">
        <v>183</v>
      </c>
      <c r="C28" s="199">
        <v>300175</v>
      </c>
      <c r="D28" s="112" t="s">
        <v>208</v>
      </c>
      <c r="E28" s="33">
        <f t="shared" si="0"/>
        <v>32324</v>
      </c>
      <c r="F28" s="90" t="str">
        <f t="shared" si="1"/>
        <v>Date check - OK</v>
      </c>
      <c r="H28" s="116"/>
      <c r="I28" s="26"/>
      <c r="J28" s="98">
        <f t="shared" si="2"/>
        <v>0.12628967301448812</v>
      </c>
      <c r="K28" s="36"/>
      <c r="L28" s="26">
        <v>230</v>
      </c>
      <c r="M28" s="26" t="s">
        <v>205</v>
      </c>
      <c r="N28" s="26">
        <v>887.32618952270082</v>
      </c>
      <c r="O28" s="93">
        <f t="shared" si="3"/>
        <v>204085.02359022119</v>
      </c>
      <c r="P28" s="95">
        <f t="shared" si="4"/>
        <v>25773.830896363128</v>
      </c>
      <c r="Q28" s="197">
        <v>1</v>
      </c>
    </row>
    <row r="29" spans="1:17" x14ac:dyDescent="0.25">
      <c r="A29">
        <v>1994</v>
      </c>
      <c r="B29" t="s">
        <v>183</v>
      </c>
      <c r="C29" s="199">
        <v>307718</v>
      </c>
      <c r="D29" s="112" t="s">
        <v>209</v>
      </c>
      <c r="E29" s="33">
        <f t="shared" si="0"/>
        <v>34515</v>
      </c>
      <c r="F29" s="90" t="str">
        <f t="shared" si="1"/>
        <v>Date check - OK</v>
      </c>
      <c r="H29" s="116"/>
      <c r="I29" s="26"/>
      <c r="J29" s="98">
        <f t="shared" si="2"/>
        <v>0.12628967301448812</v>
      </c>
      <c r="K29" s="36"/>
      <c r="L29" s="26">
        <v>14</v>
      </c>
      <c r="M29" s="26" t="s">
        <v>205</v>
      </c>
      <c r="N29" s="26">
        <v>520.32546775320145</v>
      </c>
      <c r="O29" s="93">
        <f t="shared" si="3"/>
        <v>7284.5565485448205</v>
      </c>
      <c r="P29" s="95">
        <f t="shared" si="4"/>
        <v>919.96426457127359</v>
      </c>
      <c r="Q29" s="197">
        <v>1</v>
      </c>
    </row>
    <row r="30" spans="1:17" x14ac:dyDescent="0.25">
      <c r="A30">
        <v>1994</v>
      </c>
      <c r="B30" t="s">
        <v>183</v>
      </c>
      <c r="C30" s="199"/>
      <c r="D30" s="112" t="s">
        <v>209</v>
      </c>
      <c r="E30" s="33">
        <f t="shared" si="0"/>
        <v>34515</v>
      </c>
      <c r="F30" s="90" t="str">
        <f t="shared" si="1"/>
        <v>Date check - OK</v>
      </c>
      <c r="H30" s="116"/>
      <c r="I30" s="26"/>
      <c r="J30" s="98">
        <f t="shared" si="2"/>
        <v>0.12628967301448812</v>
      </c>
      <c r="K30" s="36"/>
      <c r="L30" s="26">
        <v>66</v>
      </c>
      <c r="M30" s="26" t="s">
        <v>205</v>
      </c>
      <c r="N30" s="26">
        <v>450.18755203725266</v>
      </c>
      <c r="O30" s="93">
        <f t="shared" si="3"/>
        <v>29712.378434458675</v>
      </c>
      <c r="P30" s="95">
        <f t="shared" si="4"/>
        <v>3752.3665569705145</v>
      </c>
      <c r="Q30" s="197">
        <v>1</v>
      </c>
    </row>
    <row r="31" spans="1:17" x14ac:dyDescent="0.25">
      <c r="A31">
        <v>1993</v>
      </c>
      <c r="B31" t="s">
        <v>183</v>
      </c>
      <c r="C31" s="199">
        <v>307690</v>
      </c>
      <c r="D31" s="112" t="s">
        <v>210</v>
      </c>
      <c r="E31" s="33">
        <f t="shared" si="0"/>
        <v>34150</v>
      </c>
      <c r="F31" s="90" t="str">
        <f t="shared" si="1"/>
        <v>Date check - OK</v>
      </c>
      <c r="H31" s="116"/>
      <c r="I31" s="26"/>
      <c r="J31" s="98">
        <f t="shared" si="2"/>
        <v>0.12628967301448812</v>
      </c>
      <c r="K31" s="36"/>
      <c r="L31" s="26">
        <v>60</v>
      </c>
      <c r="M31" s="26" t="s">
        <v>205</v>
      </c>
      <c r="N31" s="26">
        <v>639.39681303841667</v>
      </c>
      <c r="O31" s="93">
        <f t="shared" si="3"/>
        <v>38363.808782305001</v>
      </c>
      <c r="P31" s="95">
        <f t="shared" si="4"/>
        <v>4844.9528667076465</v>
      </c>
      <c r="Q31" s="197">
        <v>1</v>
      </c>
    </row>
    <row r="32" spans="1:17" x14ac:dyDescent="0.25">
      <c r="A32">
        <v>1985</v>
      </c>
      <c r="B32" t="s">
        <v>183</v>
      </c>
      <c r="C32" s="199">
        <v>37546</v>
      </c>
      <c r="D32" s="112" t="s">
        <v>211</v>
      </c>
      <c r="E32" s="33">
        <f t="shared" si="0"/>
        <v>31228</v>
      </c>
      <c r="F32" s="90" t="str">
        <f t="shared" si="1"/>
        <v>Date check - OK</v>
      </c>
      <c r="H32" s="116"/>
      <c r="I32" s="26"/>
      <c r="J32" s="98">
        <f t="shared" si="2"/>
        <v>0.12628967301448812</v>
      </c>
      <c r="K32" s="36"/>
      <c r="L32" s="26">
        <v>39</v>
      </c>
      <c r="M32" s="26" t="s">
        <v>205</v>
      </c>
      <c r="N32" s="26">
        <v>567.62778300349237</v>
      </c>
      <c r="O32" s="93">
        <f t="shared" si="3"/>
        <v>22137.483537136202</v>
      </c>
      <c r="P32" s="95">
        <f t="shared" si="4"/>
        <v>2795.7355572685451</v>
      </c>
      <c r="Q32" s="197">
        <v>1</v>
      </c>
    </row>
    <row r="33" spans="1:17" x14ac:dyDescent="0.25">
      <c r="A33">
        <v>1986</v>
      </c>
      <c r="B33" t="s">
        <v>183</v>
      </c>
      <c r="C33" s="199">
        <v>37587</v>
      </c>
      <c r="D33" s="112" t="s">
        <v>212</v>
      </c>
      <c r="E33" s="33">
        <f t="shared" si="0"/>
        <v>31593</v>
      </c>
      <c r="F33" s="90" t="str">
        <f t="shared" si="1"/>
        <v>Date check - OK</v>
      </c>
      <c r="H33" s="116"/>
      <c r="I33" s="26"/>
      <c r="J33" s="98">
        <f t="shared" si="2"/>
        <v>0.12628967301448812</v>
      </c>
      <c r="K33" s="36"/>
      <c r="L33" s="26">
        <v>640</v>
      </c>
      <c r="M33" s="26" t="s">
        <v>205</v>
      </c>
      <c r="N33" s="26">
        <v>567.62778300349237</v>
      </c>
      <c r="O33" s="93">
        <f t="shared" si="3"/>
        <v>363281.78112223512</v>
      </c>
      <c r="P33" s="95">
        <f t="shared" si="4"/>
        <v>45878.737350047915</v>
      </c>
      <c r="Q33" s="197">
        <v>1</v>
      </c>
    </row>
    <row r="34" spans="1:17" x14ac:dyDescent="0.25">
      <c r="A34">
        <v>1977</v>
      </c>
      <c r="B34" t="s">
        <v>183</v>
      </c>
      <c r="C34" s="199">
        <v>47981</v>
      </c>
      <c r="D34" s="112" t="s">
        <v>213</v>
      </c>
      <c r="E34" s="33">
        <f t="shared" si="0"/>
        <v>28306</v>
      </c>
      <c r="F34" s="90" t="str">
        <f t="shared" si="1"/>
        <v>Date check - OK</v>
      </c>
      <c r="H34" s="116"/>
      <c r="I34" s="26"/>
      <c r="J34" s="98">
        <f t="shared" si="2"/>
        <v>0.12628967301448812</v>
      </c>
      <c r="K34" s="36"/>
      <c r="L34" s="26">
        <v>23</v>
      </c>
      <c r="M34" s="26" t="s">
        <v>205</v>
      </c>
      <c r="N34" s="26">
        <v>685.06801396973219</v>
      </c>
      <c r="O34" s="93">
        <f t="shared" si="3"/>
        <v>15756.56432130384</v>
      </c>
      <c r="P34" s="95">
        <f t="shared" si="4"/>
        <v>1989.8913559692119</v>
      </c>
      <c r="Q34" s="197">
        <v>1</v>
      </c>
    </row>
    <row r="35" spans="1:17" x14ac:dyDescent="0.25">
      <c r="A35">
        <v>1979</v>
      </c>
      <c r="B35" t="s">
        <v>183</v>
      </c>
      <c r="C35" s="199">
        <v>48007</v>
      </c>
      <c r="D35" s="112" t="s">
        <v>214</v>
      </c>
      <c r="E35" s="33">
        <f t="shared" si="0"/>
        <v>29036</v>
      </c>
      <c r="F35" s="90" t="str">
        <f t="shared" si="1"/>
        <v>Date check - OK</v>
      </c>
      <c r="H35" s="116"/>
      <c r="I35" s="26"/>
      <c r="J35" s="98">
        <f t="shared" si="2"/>
        <v>0.12628967301448812</v>
      </c>
      <c r="K35" s="36"/>
      <c r="L35" s="26">
        <v>142</v>
      </c>
      <c r="M35" s="26" t="s">
        <v>205</v>
      </c>
      <c r="N35" s="26">
        <v>494.22763864959256</v>
      </c>
      <c r="O35" s="93">
        <f t="shared" si="3"/>
        <v>70180.324688242137</v>
      </c>
      <c r="P35" s="95">
        <f t="shared" si="4"/>
        <v>8863.0502569287073</v>
      </c>
      <c r="Q35" s="197">
        <v>1</v>
      </c>
    </row>
    <row r="36" spans="1:17" x14ac:dyDescent="0.25">
      <c r="A36">
        <v>1980</v>
      </c>
      <c r="B36" t="s">
        <v>183</v>
      </c>
      <c r="C36" s="199">
        <v>48008</v>
      </c>
      <c r="D36" s="112" t="s">
        <v>215</v>
      </c>
      <c r="E36" s="33">
        <f t="shared" si="0"/>
        <v>29402</v>
      </c>
      <c r="F36" s="90" t="str">
        <f t="shared" si="1"/>
        <v>Date check - OK</v>
      </c>
      <c r="H36" s="116"/>
      <c r="I36" s="26"/>
      <c r="J36" s="98">
        <f t="shared" si="2"/>
        <v>0.12628967301448812</v>
      </c>
      <c r="K36" s="36"/>
      <c r="L36" s="26">
        <v>741</v>
      </c>
      <c r="M36" s="26" t="s">
        <v>205</v>
      </c>
      <c r="N36" s="26">
        <v>494.22763864959256</v>
      </c>
      <c r="O36" s="93">
        <f t="shared" si="3"/>
        <v>366222.68023934809</v>
      </c>
      <c r="P36" s="95">
        <f t="shared" si="4"/>
        <v>46250.142537916712</v>
      </c>
      <c r="Q36" s="197">
        <v>1</v>
      </c>
    </row>
    <row r="37" spans="1:17" x14ac:dyDescent="0.25">
      <c r="A37">
        <v>1981</v>
      </c>
      <c r="B37" t="s">
        <v>183</v>
      </c>
      <c r="C37" s="199">
        <v>48201</v>
      </c>
      <c r="D37" s="112" t="s">
        <v>216</v>
      </c>
      <c r="E37" s="33">
        <f t="shared" si="0"/>
        <v>29767</v>
      </c>
      <c r="F37" s="90" t="str">
        <f t="shared" si="1"/>
        <v>Date check - OK</v>
      </c>
      <c r="H37" s="116"/>
      <c r="I37" s="26"/>
      <c r="J37" s="98">
        <f t="shared" si="2"/>
        <v>0.12628967301448812</v>
      </c>
      <c r="K37" s="36"/>
      <c r="L37" s="26">
        <v>132</v>
      </c>
      <c r="M37" s="26" t="s">
        <v>205</v>
      </c>
      <c r="N37" s="26">
        <v>450.18755203725266</v>
      </c>
      <c r="O37" s="93">
        <f t="shared" si="3"/>
        <v>59424.756868917349</v>
      </c>
      <c r="P37" s="95">
        <f t="shared" si="4"/>
        <v>7504.7331139410289</v>
      </c>
      <c r="Q37" s="197">
        <v>1</v>
      </c>
    </row>
    <row r="38" spans="1:17" x14ac:dyDescent="0.25">
      <c r="A38">
        <v>1983</v>
      </c>
      <c r="B38" t="s">
        <v>183</v>
      </c>
      <c r="C38" s="199">
        <v>48476</v>
      </c>
      <c r="D38" s="112" t="s">
        <v>217</v>
      </c>
      <c r="E38" s="33">
        <f t="shared" si="0"/>
        <v>30497</v>
      </c>
      <c r="F38" s="90" t="str">
        <f t="shared" si="1"/>
        <v>Date check - OK</v>
      </c>
      <c r="H38" s="116"/>
      <c r="I38" s="26"/>
      <c r="J38" s="98">
        <f t="shared" si="2"/>
        <v>0.12628967301448812</v>
      </c>
      <c r="K38" s="36"/>
      <c r="L38" s="26">
        <v>890</v>
      </c>
      <c r="M38" s="26" t="s">
        <v>205</v>
      </c>
      <c r="N38" s="26">
        <v>450.18755203725266</v>
      </c>
      <c r="O38" s="93">
        <f t="shared" si="3"/>
        <v>400666.92131315486</v>
      </c>
      <c r="P38" s="95">
        <f t="shared" si="4"/>
        <v>50600.09448035997</v>
      </c>
      <c r="Q38" s="197">
        <v>1</v>
      </c>
    </row>
    <row r="39" spans="1:17" x14ac:dyDescent="0.25">
      <c r="A39">
        <v>1990</v>
      </c>
      <c r="B39" t="s">
        <v>183</v>
      </c>
      <c r="C39" s="199">
        <v>300336</v>
      </c>
      <c r="D39" s="112" t="s">
        <v>218</v>
      </c>
      <c r="E39" s="33">
        <f t="shared" si="0"/>
        <v>33054</v>
      </c>
      <c r="F39" s="90" t="str">
        <f t="shared" si="1"/>
        <v>Date check - OK</v>
      </c>
      <c r="H39" s="116"/>
      <c r="I39" s="26"/>
      <c r="J39" s="98">
        <f t="shared" si="2"/>
        <v>0.12628967301448812</v>
      </c>
      <c r="K39" s="36"/>
      <c r="L39" s="26">
        <v>67</v>
      </c>
      <c r="M39" s="26" t="s">
        <v>205</v>
      </c>
      <c r="N39" s="26">
        <v>567.62778300349237</v>
      </c>
      <c r="O39" s="93">
        <f t="shared" si="3"/>
        <v>38031.061461233985</v>
      </c>
      <c r="P39" s="95">
        <f t="shared" si="4"/>
        <v>4802.9303163331406</v>
      </c>
      <c r="Q39" s="197">
        <v>1</v>
      </c>
    </row>
    <row r="40" spans="1:17" x14ac:dyDescent="0.25">
      <c r="A40">
        <v>1984</v>
      </c>
      <c r="B40" t="s">
        <v>183</v>
      </c>
      <c r="C40" s="199">
        <v>37311</v>
      </c>
      <c r="D40" s="112" t="s">
        <v>219</v>
      </c>
      <c r="E40" s="33">
        <f t="shared" si="0"/>
        <v>30863</v>
      </c>
      <c r="F40" s="90" t="str">
        <f t="shared" si="1"/>
        <v>Date check - OK</v>
      </c>
      <c r="H40" s="116"/>
      <c r="I40" s="26"/>
      <c r="J40" s="98">
        <f t="shared" si="2"/>
        <v>0.12628967301448812</v>
      </c>
      <c r="K40" s="36"/>
      <c r="L40" s="26">
        <v>7</v>
      </c>
      <c r="M40" s="26" t="s">
        <v>205</v>
      </c>
      <c r="N40" s="26">
        <v>468.12980954598368</v>
      </c>
      <c r="O40" s="93">
        <f t="shared" si="3"/>
        <v>3276.9086668218856</v>
      </c>
      <c r="P40" s="95">
        <f t="shared" si="4"/>
        <v>413.83972403127814</v>
      </c>
      <c r="Q40" s="197">
        <v>1</v>
      </c>
    </row>
    <row r="41" spans="1:17" x14ac:dyDescent="0.25">
      <c r="A41">
        <v>1986</v>
      </c>
      <c r="B41" t="s">
        <v>183</v>
      </c>
      <c r="C41" s="199">
        <v>37211</v>
      </c>
      <c r="D41" s="112" t="s">
        <v>220</v>
      </c>
      <c r="E41" s="33">
        <f t="shared" si="0"/>
        <v>31593</v>
      </c>
      <c r="F41" s="90" t="str">
        <f t="shared" si="1"/>
        <v>Date check - OK</v>
      </c>
      <c r="H41" s="116"/>
      <c r="I41" s="26"/>
      <c r="J41" s="98">
        <f t="shared" si="2"/>
        <v>0.12628967301448812</v>
      </c>
      <c r="K41" s="36"/>
      <c r="L41" s="26">
        <v>80</v>
      </c>
      <c r="M41" s="26" t="s">
        <v>205</v>
      </c>
      <c r="N41" s="26">
        <v>1666.9988339930151</v>
      </c>
      <c r="O41" s="93">
        <f t="shared" si="3"/>
        <v>133359.90671944121</v>
      </c>
      <c r="P41" s="95">
        <f t="shared" si="4"/>
        <v>16841.979012840868</v>
      </c>
      <c r="Q41" s="197">
        <v>1</v>
      </c>
    </row>
    <row r="42" spans="1:17" x14ac:dyDescent="0.25">
      <c r="A42">
        <v>1990</v>
      </c>
      <c r="B42" t="s">
        <v>184</v>
      </c>
      <c r="C42" s="199">
        <v>300520</v>
      </c>
      <c r="D42" s="112" t="s">
        <v>221</v>
      </c>
      <c r="E42" s="33">
        <f t="shared" ref="E42:E53" si="5">DATEVALUE("30 Jun "&amp;A42)</f>
        <v>33054</v>
      </c>
      <c r="F42" s="90" t="str">
        <f t="shared" si="1"/>
        <v>Date check - OK</v>
      </c>
      <c r="H42" s="116"/>
      <c r="I42" s="26"/>
      <c r="J42" s="98">
        <f t="shared" si="2"/>
        <v>0.12628967301448812</v>
      </c>
      <c r="K42" s="36"/>
      <c r="L42" s="26">
        <v>127</v>
      </c>
      <c r="M42" s="26" t="s">
        <v>205</v>
      </c>
      <c r="N42" s="26">
        <v>184.31591804423746</v>
      </c>
      <c r="O42" s="93">
        <f t="shared" ref="O42:O53" si="6">IF(N42="","-",L42*N42)</f>
        <v>23408.121591618157</v>
      </c>
      <c r="P42" s="95">
        <f t="shared" ref="P42:P53" si="7">IF(O42="-","-",IF(OR(E42&lt;$E$15,E42&gt;$E$16),0,O42*J42))*Q42</f>
        <v>2956.2040216888363</v>
      </c>
      <c r="Q42" s="197">
        <v>1</v>
      </c>
    </row>
    <row r="43" spans="1:17" x14ac:dyDescent="0.25">
      <c r="A43">
        <v>1982</v>
      </c>
      <c r="B43" t="s">
        <v>184</v>
      </c>
      <c r="C43" s="199">
        <v>48476</v>
      </c>
      <c r="D43" s="112" t="s">
        <v>222</v>
      </c>
      <c r="E43" s="33">
        <f t="shared" si="5"/>
        <v>30132</v>
      </c>
      <c r="F43" s="90" t="str">
        <f t="shared" si="1"/>
        <v>Date check - OK</v>
      </c>
      <c r="H43" s="116"/>
      <c r="I43" s="26"/>
      <c r="J43" s="98">
        <f t="shared" si="2"/>
        <v>0.12628967301448812</v>
      </c>
      <c r="K43" s="36"/>
      <c r="L43" s="26">
        <v>560</v>
      </c>
      <c r="M43" s="26" t="s">
        <v>205</v>
      </c>
      <c r="N43" s="26">
        <v>349.05846426076835</v>
      </c>
      <c r="O43" s="93">
        <f t="shared" si="6"/>
        <v>195472.73998603027</v>
      </c>
      <c r="P43" s="95">
        <f t="shared" si="7"/>
        <v>24686.188416081819</v>
      </c>
      <c r="Q43" s="197">
        <v>1</v>
      </c>
    </row>
    <row r="44" spans="1:17" x14ac:dyDescent="0.25">
      <c r="A44">
        <v>1985</v>
      </c>
      <c r="B44" t="s">
        <v>184</v>
      </c>
      <c r="C44" s="199">
        <v>37546</v>
      </c>
      <c r="D44" s="112" t="s">
        <v>223</v>
      </c>
      <c r="E44" s="33">
        <f t="shared" si="5"/>
        <v>31228</v>
      </c>
      <c r="F44" s="90" t="str">
        <f t="shared" si="1"/>
        <v>Date check - OK</v>
      </c>
      <c r="H44" s="116"/>
      <c r="I44" s="26"/>
      <c r="J44" s="98">
        <f t="shared" si="2"/>
        <v>0.12628967301448812</v>
      </c>
      <c r="K44" s="36"/>
      <c r="L44" s="26">
        <v>564</v>
      </c>
      <c r="M44" s="26" t="s">
        <v>205</v>
      </c>
      <c r="N44" s="26">
        <v>285.44500582072175</v>
      </c>
      <c r="O44" s="93">
        <f t="shared" si="6"/>
        <v>160990.98328288706</v>
      </c>
      <c r="P44" s="95">
        <f t="shared" si="7"/>
        <v>20331.498637076729</v>
      </c>
      <c r="Q44" s="197">
        <v>1</v>
      </c>
    </row>
    <row r="45" spans="1:17" x14ac:dyDescent="0.25">
      <c r="A45">
        <v>1986</v>
      </c>
      <c r="B45" t="s">
        <v>184</v>
      </c>
      <c r="C45" s="199">
        <v>37264</v>
      </c>
      <c r="D45" s="112" t="s">
        <v>224</v>
      </c>
      <c r="E45" s="33">
        <f t="shared" si="5"/>
        <v>31593</v>
      </c>
      <c r="F45" s="90" t="str">
        <f t="shared" si="1"/>
        <v>Date check - OK</v>
      </c>
      <c r="H45" s="116"/>
      <c r="I45" s="26"/>
      <c r="J45" s="98">
        <f t="shared" si="2"/>
        <v>0.12628967301448812</v>
      </c>
      <c r="K45" s="36"/>
      <c r="L45" s="26">
        <v>189</v>
      </c>
      <c r="M45" s="26" t="s">
        <v>205</v>
      </c>
      <c r="N45" s="26">
        <v>316.43617788125727</v>
      </c>
      <c r="O45" s="93">
        <f t="shared" si="6"/>
        <v>59806.437619557626</v>
      </c>
      <c r="P45" s="95">
        <f t="shared" si="7"/>
        <v>7552.935451135314</v>
      </c>
      <c r="Q45" s="197">
        <v>1</v>
      </c>
    </row>
    <row r="46" spans="1:17" x14ac:dyDescent="0.25">
      <c r="A46">
        <v>1987</v>
      </c>
      <c r="B46" t="s">
        <v>184</v>
      </c>
      <c r="C46" s="199">
        <v>300519</v>
      </c>
      <c r="D46" s="112" t="s">
        <v>225</v>
      </c>
      <c r="E46" s="33">
        <f t="shared" si="5"/>
        <v>31958</v>
      </c>
      <c r="F46" s="90" t="str">
        <f t="shared" si="1"/>
        <v>Date check - OK</v>
      </c>
      <c r="H46" s="116"/>
      <c r="I46" s="26"/>
      <c r="J46" s="98">
        <f t="shared" si="2"/>
        <v>0.12628967301448812</v>
      </c>
      <c r="K46" s="36"/>
      <c r="L46" s="26">
        <v>359</v>
      </c>
      <c r="M46" s="26" t="s">
        <v>205</v>
      </c>
      <c r="N46" s="26">
        <v>316.43617788125727</v>
      </c>
      <c r="O46" s="93">
        <f t="shared" si="6"/>
        <v>113600.58785937136</v>
      </c>
      <c r="P46" s="95">
        <f t="shared" si="7"/>
        <v>14346.581095013638</v>
      </c>
      <c r="Q46" s="197">
        <v>1</v>
      </c>
    </row>
    <row r="47" spans="1:17" x14ac:dyDescent="0.25">
      <c r="A47">
        <v>1987</v>
      </c>
      <c r="B47" t="s">
        <v>184</v>
      </c>
      <c r="C47" s="199"/>
      <c r="D47" s="112" t="s">
        <v>225</v>
      </c>
      <c r="E47" s="33">
        <f t="shared" si="5"/>
        <v>31958</v>
      </c>
      <c r="F47" s="90" t="str">
        <f t="shared" si="1"/>
        <v>Date check - OK</v>
      </c>
      <c r="H47" s="116"/>
      <c r="I47" s="26"/>
      <c r="J47" s="98">
        <f t="shared" si="2"/>
        <v>0.12628967301448812</v>
      </c>
      <c r="K47" s="36"/>
      <c r="L47" s="26">
        <v>187</v>
      </c>
      <c r="M47" s="26" t="s">
        <v>205</v>
      </c>
      <c r="N47" s="26">
        <v>349.05846426076835</v>
      </c>
      <c r="O47" s="93">
        <f t="shared" si="6"/>
        <v>65273.932816763678</v>
      </c>
      <c r="P47" s="95">
        <f t="shared" si="7"/>
        <v>8243.4236317987506</v>
      </c>
      <c r="Q47" s="197">
        <v>1</v>
      </c>
    </row>
    <row r="48" spans="1:17" x14ac:dyDescent="0.25">
      <c r="A48">
        <v>1988</v>
      </c>
      <c r="B48" t="s">
        <v>184</v>
      </c>
      <c r="C48" s="199">
        <v>302746</v>
      </c>
      <c r="D48" s="112" t="s">
        <v>226</v>
      </c>
      <c r="E48" s="33">
        <f t="shared" si="5"/>
        <v>32324</v>
      </c>
      <c r="F48" s="90" t="str">
        <f t="shared" si="1"/>
        <v>Date check - OK</v>
      </c>
      <c r="H48" s="116"/>
      <c r="I48" s="26"/>
      <c r="J48" s="98">
        <f t="shared" si="2"/>
        <v>0.12628967301448812</v>
      </c>
      <c r="K48" s="36"/>
      <c r="L48" s="26">
        <v>39</v>
      </c>
      <c r="M48" s="26" t="s">
        <v>205</v>
      </c>
      <c r="N48" s="26">
        <v>184.31591804423746</v>
      </c>
      <c r="O48" s="93">
        <f t="shared" si="6"/>
        <v>7188.3208037252607</v>
      </c>
      <c r="P48" s="95">
        <f t="shared" si="7"/>
        <v>907.81068382570561</v>
      </c>
      <c r="Q48" s="197">
        <v>1</v>
      </c>
    </row>
    <row r="49" spans="1:17" x14ac:dyDescent="0.25">
      <c r="A49">
        <v>1989</v>
      </c>
      <c r="B49" t="s">
        <v>184</v>
      </c>
      <c r="C49" s="199">
        <v>301891</v>
      </c>
      <c r="D49" s="112" t="s">
        <v>227</v>
      </c>
      <c r="E49" s="33">
        <f t="shared" si="5"/>
        <v>32689</v>
      </c>
      <c r="F49" s="90" t="str">
        <f t="shared" si="1"/>
        <v>Date check - OK</v>
      </c>
      <c r="H49" s="116"/>
      <c r="I49" s="26"/>
      <c r="J49" s="98">
        <f t="shared" si="2"/>
        <v>0.12628967301448812</v>
      </c>
      <c r="K49" s="36"/>
      <c r="L49" s="26">
        <v>170</v>
      </c>
      <c r="M49" s="26" t="s">
        <v>205</v>
      </c>
      <c r="N49" s="26">
        <v>184.31591804423746</v>
      </c>
      <c r="O49" s="93">
        <f t="shared" si="6"/>
        <v>31333.706067520368</v>
      </c>
      <c r="P49" s="95">
        <f t="shared" si="7"/>
        <v>3957.1234935992297</v>
      </c>
      <c r="Q49" s="197">
        <v>1</v>
      </c>
    </row>
    <row r="50" spans="1:17" x14ac:dyDescent="0.25">
      <c r="A50">
        <v>1992</v>
      </c>
      <c r="B50" t="s">
        <v>184</v>
      </c>
      <c r="C50" s="199">
        <v>303106</v>
      </c>
      <c r="D50" s="112" t="s">
        <v>228</v>
      </c>
      <c r="E50" s="33">
        <f t="shared" si="5"/>
        <v>33785</v>
      </c>
      <c r="F50" s="90" t="str">
        <f t="shared" si="1"/>
        <v>Date check - OK</v>
      </c>
      <c r="H50" s="116"/>
      <c r="I50" s="26"/>
      <c r="J50" s="98">
        <f t="shared" si="2"/>
        <v>0.12628967301448812</v>
      </c>
      <c r="K50" s="36"/>
      <c r="L50" s="26">
        <v>163</v>
      </c>
      <c r="M50" s="26" t="s">
        <v>205</v>
      </c>
      <c r="N50" s="26">
        <v>184.31591804423746</v>
      </c>
      <c r="O50" s="93">
        <f t="shared" si="6"/>
        <v>30043.494641210706</v>
      </c>
      <c r="P50" s="95">
        <f t="shared" si="7"/>
        <v>3794.1831144510261</v>
      </c>
      <c r="Q50" s="197">
        <v>1</v>
      </c>
    </row>
    <row r="51" spans="1:17" x14ac:dyDescent="0.25">
      <c r="A51">
        <v>1993</v>
      </c>
      <c r="B51" t="s">
        <v>184</v>
      </c>
      <c r="C51" s="199">
        <v>307746</v>
      </c>
      <c r="D51" s="112" t="s">
        <v>229</v>
      </c>
      <c r="E51" s="33">
        <f t="shared" si="5"/>
        <v>34150</v>
      </c>
      <c r="F51" s="90" t="str">
        <f t="shared" si="1"/>
        <v>Date check - OK</v>
      </c>
      <c r="H51" s="116"/>
      <c r="I51" s="26"/>
      <c r="J51" s="98">
        <f t="shared" si="2"/>
        <v>0.12628967301448812</v>
      </c>
      <c r="K51" s="36"/>
      <c r="L51" s="26">
        <v>74</v>
      </c>
      <c r="M51" s="26" t="s">
        <v>205</v>
      </c>
      <c r="N51" s="26">
        <v>184.31591804423746</v>
      </c>
      <c r="O51" s="93">
        <f t="shared" si="6"/>
        <v>13639.377935273573</v>
      </c>
      <c r="P51" s="95">
        <f t="shared" si="7"/>
        <v>1722.5125795667236</v>
      </c>
      <c r="Q51" s="197">
        <v>1</v>
      </c>
    </row>
    <row r="52" spans="1:17" x14ac:dyDescent="0.25">
      <c r="A52">
        <v>1994</v>
      </c>
      <c r="B52" t="s">
        <v>184</v>
      </c>
      <c r="C52" s="199">
        <v>307718</v>
      </c>
      <c r="D52" s="112" t="s">
        <v>230</v>
      </c>
      <c r="E52" s="33">
        <f t="shared" si="5"/>
        <v>34515</v>
      </c>
      <c r="F52" s="90" t="str">
        <f t="shared" si="1"/>
        <v>Date check - OK</v>
      </c>
      <c r="H52" s="116"/>
      <c r="I52" s="26"/>
      <c r="J52" s="98">
        <f t="shared" si="2"/>
        <v>0.12628967301448812</v>
      </c>
      <c r="K52" s="36"/>
      <c r="L52" s="26">
        <v>174</v>
      </c>
      <c r="M52" s="26" t="s">
        <v>205</v>
      </c>
      <c r="N52" s="26">
        <v>184.31591804423746</v>
      </c>
      <c r="O52" s="93">
        <f t="shared" si="6"/>
        <v>32070.969739697317</v>
      </c>
      <c r="P52" s="95">
        <f t="shared" si="7"/>
        <v>4050.2322816839173</v>
      </c>
      <c r="Q52" s="197">
        <v>1</v>
      </c>
    </row>
    <row r="53" spans="1:17" x14ac:dyDescent="0.25">
      <c r="A53">
        <v>1989</v>
      </c>
      <c r="B53" t="s">
        <v>184</v>
      </c>
      <c r="C53" s="199">
        <v>88223</v>
      </c>
      <c r="D53" s="112" t="s">
        <v>231</v>
      </c>
      <c r="E53" s="33">
        <f t="shared" si="5"/>
        <v>32689</v>
      </c>
      <c r="F53" s="90" t="str">
        <f t="shared" si="1"/>
        <v>Date check - OK</v>
      </c>
      <c r="H53" s="116"/>
      <c r="I53" s="26"/>
      <c r="J53" s="98">
        <f t="shared" si="2"/>
        <v>0.12628967301448812</v>
      </c>
      <c r="K53" s="36"/>
      <c r="L53" s="26">
        <v>123</v>
      </c>
      <c r="M53" s="26" t="s">
        <v>205</v>
      </c>
      <c r="N53" s="26">
        <v>184.31591804423746</v>
      </c>
      <c r="O53" s="93">
        <f t="shared" si="6"/>
        <v>22670.857919441209</v>
      </c>
      <c r="P53" s="95">
        <f t="shared" si="7"/>
        <v>2863.0952336041487</v>
      </c>
      <c r="Q53" s="197">
        <v>1</v>
      </c>
    </row>
    <row r="54" spans="1:17" x14ac:dyDescent="0.25">
      <c r="A54">
        <v>1982</v>
      </c>
      <c r="B54" t="s">
        <v>186</v>
      </c>
      <c r="C54" s="199">
        <v>36974</v>
      </c>
      <c r="D54" s="112" t="s">
        <v>232</v>
      </c>
      <c r="E54" s="33">
        <f t="shared" ref="E54:E55" si="8">DATEVALUE("30 Jun "&amp;A54)</f>
        <v>30132</v>
      </c>
      <c r="F54" s="90" t="str">
        <f t="shared" si="1"/>
        <v>Date check - OK</v>
      </c>
      <c r="H54" s="116"/>
      <c r="I54" s="26"/>
      <c r="J54" s="98">
        <f t="shared" si="2"/>
        <v>0.12628967301448812</v>
      </c>
      <c r="K54" s="36"/>
      <c r="L54" s="26">
        <v>1</v>
      </c>
      <c r="M54" s="26"/>
      <c r="N54" s="26">
        <v>224382.61017555295</v>
      </c>
      <c r="O54" s="93">
        <f t="shared" ref="O54:O55" si="9">IF(N54="","-",L54*N54)</f>
        <v>224382.61017555295</v>
      </c>
      <c r="P54" s="95">
        <f t="shared" ref="P54:P55" si="10">IF(O54="-","-",IF(OR(E54&lt;$E$15,E54&gt;$E$16),0,O54*J54))*Q54</f>
        <v>28337.206469207937</v>
      </c>
      <c r="Q54" s="197">
        <v>1</v>
      </c>
    </row>
    <row r="55" spans="1:17" x14ac:dyDescent="0.25">
      <c r="A55">
        <v>1978</v>
      </c>
      <c r="B55" t="s">
        <v>186</v>
      </c>
      <c r="C55" s="199">
        <v>307760</v>
      </c>
      <c r="D55" s="112" t="s">
        <v>233</v>
      </c>
      <c r="E55" s="33">
        <f t="shared" si="8"/>
        <v>28671</v>
      </c>
      <c r="F55" s="90" t="str">
        <f t="shared" si="1"/>
        <v>Date check - OK</v>
      </c>
      <c r="H55" s="116"/>
      <c r="I55" s="26"/>
      <c r="J55" s="98">
        <f t="shared" si="2"/>
        <v>0.12628967301448812</v>
      </c>
      <c r="K55" s="36"/>
      <c r="L55" s="26">
        <v>1</v>
      </c>
      <c r="M55" s="26"/>
      <c r="N55" s="26">
        <v>617140.25815599528</v>
      </c>
      <c r="O55" s="93">
        <f t="shared" si="9"/>
        <v>617140.25815599528</v>
      </c>
      <c r="P55" s="95">
        <f t="shared" si="10"/>
        <v>31954.760976704943</v>
      </c>
      <c r="Q55" s="197">
        <v>0.41</v>
      </c>
    </row>
    <row r="56" spans="1:17" x14ac:dyDescent="0.25">
      <c r="C56" s="199"/>
      <c r="D56" s="112"/>
      <c r="E56" s="33"/>
      <c r="F56" s="90"/>
      <c r="H56" s="116"/>
      <c r="I56" s="26"/>
      <c r="J56" s="98">
        <f t="shared" si="2"/>
        <v>0.12628967301448812</v>
      </c>
      <c r="K56" s="36"/>
      <c r="L56" s="26"/>
      <c r="M56" s="26"/>
      <c r="N56" s="26"/>
      <c r="O56" s="93"/>
      <c r="P56" s="95"/>
      <c r="Q56" s="197"/>
    </row>
    <row r="57" spans="1:17" x14ac:dyDescent="0.25">
      <c r="A57">
        <v>1974</v>
      </c>
      <c r="B57" t="s">
        <v>183</v>
      </c>
      <c r="C57" s="199">
        <v>36540</v>
      </c>
      <c r="D57" s="112" t="s">
        <v>234</v>
      </c>
      <c r="E57" s="33">
        <v>27210</v>
      </c>
      <c r="F57" s="90" t="str">
        <f t="shared" si="1"/>
        <v>Date check - OK</v>
      </c>
      <c r="H57" s="116"/>
      <c r="I57" s="26"/>
      <c r="J57" s="98">
        <f t="shared" si="2"/>
        <v>0.12628967301448812</v>
      </c>
      <c r="K57" s="36"/>
      <c r="L57" s="25">
        <v>1988</v>
      </c>
      <c r="M57" s="166" t="s">
        <v>205</v>
      </c>
      <c r="N57" s="25">
        <v>3182.3959300857528</v>
      </c>
      <c r="O57" s="92">
        <f>IF(N57="","-",L57*N57)</f>
        <v>6326603.1090104766</v>
      </c>
      <c r="P57" s="94">
        <f>IF(O57="-","-",IF(OR(E57&lt;$E$15,E57&gt;$E$16),0,O57*J57))*Q57</f>
        <v>798984.63792937703</v>
      </c>
      <c r="Q57" s="196">
        <v>1</v>
      </c>
    </row>
    <row r="58" spans="1:17" x14ac:dyDescent="0.25">
      <c r="A58">
        <v>1974</v>
      </c>
      <c r="B58" t="s">
        <v>183</v>
      </c>
      <c r="C58" s="199">
        <v>36634</v>
      </c>
      <c r="D58" s="112" t="s">
        <v>235</v>
      </c>
      <c r="E58" s="33">
        <v>27210</v>
      </c>
      <c r="F58" s="90" t="str">
        <f t="shared" si="1"/>
        <v>Date check - OK</v>
      </c>
      <c r="H58" s="116"/>
      <c r="I58" s="26"/>
      <c r="J58" s="98">
        <f t="shared" si="2"/>
        <v>0.12628967301448812</v>
      </c>
      <c r="K58" s="36"/>
      <c r="L58" s="26">
        <v>628</v>
      </c>
      <c r="M58" s="26" t="s">
        <v>205</v>
      </c>
      <c r="N58" s="136">
        <v>5303.7188524650946</v>
      </c>
      <c r="O58" s="93">
        <f>IF(N58="","-",L58*N58)</f>
        <v>3330735.4393480793</v>
      </c>
      <c r="P58" s="95">
        <f>IF(O58="-","-",IF(OR(E58&lt;$E$15,E58&gt;$E$16),0,O58*J58))*Q58</f>
        <v>420637.48953303637</v>
      </c>
      <c r="Q58" s="197">
        <v>1</v>
      </c>
    </row>
    <row r="59" spans="1:17" x14ac:dyDescent="0.25">
      <c r="A59">
        <v>1976</v>
      </c>
      <c r="B59" t="s">
        <v>183</v>
      </c>
      <c r="C59" s="199">
        <v>36722</v>
      </c>
      <c r="D59" s="112" t="s">
        <v>236</v>
      </c>
      <c r="E59" s="33">
        <v>27941</v>
      </c>
      <c r="F59" s="90" t="str">
        <f t="shared" si="1"/>
        <v>Date check - OK</v>
      </c>
      <c r="H59" s="116"/>
      <c r="I59" s="26"/>
      <c r="J59" s="98">
        <f t="shared" si="2"/>
        <v>0.12628967301448812</v>
      </c>
      <c r="K59" s="36"/>
      <c r="L59" s="26">
        <v>945</v>
      </c>
      <c r="M59" s="26" t="s">
        <v>205</v>
      </c>
      <c r="N59" s="26">
        <v>4272.3112828870771</v>
      </c>
      <c r="O59" s="93">
        <f t="shared" ref="O59:O122" si="11">IF(N59="","-",L59*N59)</f>
        <v>4037334.162328288</v>
      </c>
      <c r="P59" s="95">
        <f t="shared" ref="P59:P122" si="12">IF(O59="-","-",IF(OR(E59&lt;$E$15,E59&gt;$E$16),0,O59*J59))*Q59</f>
        <v>509873.61121066182</v>
      </c>
      <c r="Q59" s="197">
        <v>1</v>
      </c>
    </row>
    <row r="60" spans="1:17" x14ac:dyDescent="0.25">
      <c r="A60">
        <v>1977</v>
      </c>
      <c r="B60" t="s">
        <v>183</v>
      </c>
      <c r="C60" s="199">
        <v>59175</v>
      </c>
      <c r="D60" s="112" t="s">
        <v>237</v>
      </c>
      <c r="E60" s="33">
        <v>28306</v>
      </c>
      <c r="F60" s="90" t="str">
        <f t="shared" si="1"/>
        <v>Date check - OK</v>
      </c>
      <c r="H60" s="116"/>
      <c r="I60" s="26"/>
      <c r="J60" s="98">
        <f t="shared" si="2"/>
        <v>0.12628967301448812</v>
      </c>
      <c r="K60" s="36"/>
      <c r="L60" s="26">
        <v>164</v>
      </c>
      <c r="M60" s="26" t="s">
        <v>205</v>
      </c>
      <c r="N60" s="26">
        <v>1343.6801493512023</v>
      </c>
      <c r="O60" s="93">
        <f t="shared" si="11"/>
        <v>220363.54449359718</v>
      </c>
      <c r="P60" s="95">
        <f t="shared" si="12"/>
        <v>27829.639978409992</v>
      </c>
      <c r="Q60" s="197">
        <v>1</v>
      </c>
    </row>
    <row r="61" spans="1:17" x14ac:dyDescent="0.25">
      <c r="A61">
        <v>1979</v>
      </c>
      <c r="B61" t="s">
        <v>183</v>
      </c>
      <c r="C61" s="199">
        <v>36613</v>
      </c>
      <c r="D61" s="112" t="s">
        <v>238</v>
      </c>
      <c r="E61" s="33">
        <v>29036</v>
      </c>
      <c r="F61" s="90" t="str">
        <f t="shared" si="1"/>
        <v>Date check - OK</v>
      </c>
      <c r="H61" s="116"/>
      <c r="I61" s="26"/>
      <c r="J61" s="98">
        <f t="shared" si="2"/>
        <v>0.12628967301448812</v>
      </c>
      <c r="K61" s="36"/>
      <c r="L61" s="26">
        <v>1</v>
      </c>
      <c r="M61" s="26" t="s">
        <v>205</v>
      </c>
      <c r="N61" s="26">
        <v>323123.74658905703</v>
      </c>
      <c r="O61" s="93">
        <f t="shared" si="11"/>
        <v>323123.74658905703</v>
      </c>
      <c r="P61" s="95">
        <f t="shared" si="12"/>
        <v>40807.192299948336</v>
      </c>
      <c r="Q61" s="197">
        <v>1</v>
      </c>
    </row>
    <row r="62" spans="1:17" x14ac:dyDescent="0.25">
      <c r="A62">
        <v>1978</v>
      </c>
      <c r="B62" t="s">
        <v>183</v>
      </c>
      <c r="C62" s="199">
        <v>37030</v>
      </c>
      <c r="D62" s="112" t="s">
        <v>239</v>
      </c>
      <c r="E62" s="33">
        <v>28671</v>
      </c>
      <c r="F62" s="90" t="str">
        <f t="shared" si="1"/>
        <v>Date check - OK</v>
      </c>
      <c r="H62" s="116"/>
      <c r="I62" s="26"/>
      <c r="J62" s="98">
        <f t="shared" si="2"/>
        <v>0.12628967301448812</v>
      </c>
      <c r="K62" s="36"/>
      <c r="L62" s="26">
        <v>158</v>
      </c>
      <c r="M62" s="26" t="s">
        <v>205</v>
      </c>
      <c r="N62" s="26">
        <v>1062.2890090036988</v>
      </c>
      <c r="O62" s="93">
        <f t="shared" si="11"/>
        <v>167841.66342258442</v>
      </c>
      <c r="P62" s="95">
        <f t="shared" si="12"/>
        <v>21196.668791845957</v>
      </c>
      <c r="Q62" s="197">
        <v>1</v>
      </c>
    </row>
    <row r="63" spans="1:17" x14ac:dyDescent="0.25">
      <c r="A63">
        <v>1980</v>
      </c>
      <c r="B63" t="s">
        <v>183</v>
      </c>
      <c r="C63" s="199">
        <v>36887</v>
      </c>
      <c r="D63" s="112" t="s">
        <v>240</v>
      </c>
      <c r="E63" s="33">
        <v>29402</v>
      </c>
      <c r="F63" s="90" t="str">
        <f t="shared" si="1"/>
        <v>Date check - OK</v>
      </c>
      <c r="H63" s="116"/>
      <c r="I63" s="26"/>
      <c r="J63" s="98">
        <f t="shared" si="2"/>
        <v>0.12628967301448812</v>
      </c>
      <c r="K63" s="36"/>
      <c r="L63" s="26">
        <v>421</v>
      </c>
      <c r="M63" s="26" t="s">
        <v>205</v>
      </c>
      <c r="N63" s="26">
        <v>5163.7747371273563</v>
      </c>
      <c r="O63" s="93">
        <f t="shared" si="11"/>
        <v>2173949.1643306171</v>
      </c>
      <c r="P63" s="95">
        <f t="shared" si="12"/>
        <v>274547.32911343331</v>
      </c>
      <c r="Q63" s="197">
        <v>1</v>
      </c>
    </row>
    <row r="64" spans="1:17" x14ac:dyDescent="0.25">
      <c r="A64">
        <v>1981</v>
      </c>
      <c r="B64" t="s">
        <v>183</v>
      </c>
      <c r="C64" s="199">
        <v>36973</v>
      </c>
      <c r="D64" s="112" t="s">
        <v>241</v>
      </c>
      <c r="E64" s="33">
        <v>29767</v>
      </c>
      <c r="F64" s="90" t="str">
        <f t="shared" si="1"/>
        <v>Date check - OK</v>
      </c>
      <c r="H64" s="116"/>
      <c r="I64" s="26"/>
      <c r="J64" s="98">
        <f t="shared" si="2"/>
        <v>0.12628967301448812</v>
      </c>
      <c r="K64" s="36"/>
      <c r="L64" s="26">
        <v>1107</v>
      </c>
      <c r="M64" s="26" t="s">
        <v>205</v>
      </c>
      <c r="N64" s="26">
        <v>2898.2853346205175</v>
      </c>
      <c r="O64" s="93">
        <f t="shared" si="11"/>
        <v>3208401.8654249129</v>
      </c>
      <c r="P64" s="95">
        <f t="shared" si="12"/>
        <v>405188.02248358598</v>
      </c>
      <c r="Q64" s="197">
        <v>1</v>
      </c>
    </row>
    <row r="65" spans="1:17" x14ac:dyDescent="0.25">
      <c r="A65">
        <v>1993</v>
      </c>
      <c r="B65" t="s">
        <v>183</v>
      </c>
      <c r="C65" s="199">
        <v>300173</v>
      </c>
      <c r="D65" s="112" t="s">
        <v>242</v>
      </c>
      <c r="E65" s="33">
        <v>34150</v>
      </c>
      <c r="F65" s="90" t="str">
        <f t="shared" si="1"/>
        <v>Date check - OK</v>
      </c>
      <c r="H65" s="116"/>
      <c r="I65" s="26"/>
      <c r="J65" s="98">
        <f t="shared" si="2"/>
        <v>0.12628967301448812</v>
      </c>
      <c r="K65" s="36"/>
      <c r="L65" s="26">
        <v>140</v>
      </c>
      <c r="M65" s="26" t="s">
        <v>205</v>
      </c>
      <c r="N65" s="26">
        <v>675.74736071844325</v>
      </c>
      <c r="O65" s="93">
        <f t="shared" si="11"/>
        <v>94604.630500582061</v>
      </c>
      <c r="P65" s="95">
        <f t="shared" si="12"/>
        <v>11947.587851574979</v>
      </c>
      <c r="Q65" s="197">
        <v>1</v>
      </c>
    </row>
    <row r="66" spans="1:17" x14ac:dyDescent="0.25">
      <c r="A66">
        <v>1972</v>
      </c>
      <c r="B66" t="s">
        <v>183</v>
      </c>
      <c r="C66" s="199">
        <v>36552</v>
      </c>
      <c r="D66" s="112" t="s">
        <v>234</v>
      </c>
      <c r="E66" s="33">
        <v>26480</v>
      </c>
      <c r="F66" s="90" t="str">
        <f t="shared" si="1"/>
        <v>Date check - OK</v>
      </c>
      <c r="H66" s="116"/>
      <c r="I66" s="26"/>
      <c r="J66" s="98">
        <f t="shared" si="2"/>
        <v>0.12628967301448812</v>
      </c>
      <c r="K66" s="36"/>
      <c r="L66" s="26">
        <v>124</v>
      </c>
      <c r="M66" s="26" t="s">
        <v>205</v>
      </c>
      <c r="N66" s="26">
        <v>2926.2190882421423</v>
      </c>
      <c r="O66" s="93">
        <f t="shared" si="11"/>
        <v>362851.16694202565</v>
      </c>
      <c r="P66" s="95">
        <f t="shared" si="12"/>
        <v>45824.355226033862</v>
      </c>
      <c r="Q66" s="197">
        <v>1</v>
      </c>
    </row>
    <row r="67" spans="1:17" x14ac:dyDescent="0.25">
      <c r="A67">
        <v>1973</v>
      </c>
      <c r="B67" t="s">
        <v>183</v>
      </c>
      <c r="C67" s="199">
        <v>36660</v>
      </c>
      <c r="D67" s="112" t="s">
        <v>243</v>
      </c>
      <c r="E67" s="33">
        <v>26845</v>
      </c>
      <c r="F67" s="90" t="str">
        <f t="shared" si="1"/>
        <v>Date check - OK</v>
      </c>
      <c r="H67" s="116"/>
      <c r="I67" s="26"/>
      <c r="J67" s="98">
        <f t="shared" si="2"/>
        <v>0.12628967301448812</v>
      </c>
      <c r="K67" s="36"/>
      <c r="L67" s="26">
        <v>475</v>
      </c>
      <c r="M67" s="26" t="s">
        <v>205</v>
      </c>
      <c r="N67" s="26">
        <v>1177.6645383003492</v>
      </c>
      <c r="O67" s="93">
        <f t="shared" si="11"/>
        <v>559390.65569266584</v>
      </c>
      <c r="P67" s="95">
        <f t="shared" si="12"/>
        <v>70645.262994786885</v>
      </c>
      <c r="Q67" s="197">
        <v>1</v>
      </c>
    </row>
    <row r="68" spans="1:17" x14ac:dyDescent="0.25">
      <c r="A68">
        <v>1973</v>
      </c>
      <c r="B68" t="s">
        <v>183</v>
      </c>
      <c r="C68" s="199">
        <v>36660</v>
      </c>
      <c r="D68" s="112" t="s">
        <v>243</v>
      </c>
      <c r="E68" s="33">
        <v>26845</v>
      </c>
      <c r="F68" s="90" t="str">
        <f t="shared" si="1"/>
        <v>Date check - OK</v>
      </c>
      <c r="H68" s="116"/>
      <c r="I68" s="26"/>
      <c r="J68" s="98">
        <f t="shared" si="2"/>
        <v>0.12628967301448812</v>
      </c>
      <c r="K68" s="36"/>
      <c r="L68" s="26">
        <v>592</v>
      </c>
      <c r="M68" s="26" t="s">
        <v>205</v>
      </c>
      <c r="N68" s="26">
        <v>1008.0286491268917</v>
      </c>
      <c r="O68" s="93">
        <f t="shared" si="11"/>
        <v>596752.96028311981</v>
      </c>
      <c r="P68" s="95">
        <f t="shared" si="12"/>
        <v>75363.736224583015</v>
      </c>
      <c r="Q68" s="197">
        <v>1</v>
      </c>
    </row>
    <row r="69" spans="1:17" x14ac:dyDescent="0.25">
      <c r="A69">
        <v>1973</v>
      </c>
      <c r="B69" t="s">
        <v>183</v>
      </c>
      <c r="C69" s="199">
        <v>36660</v>
      </c>
      <c r="D69" s="112" t="s">
        <v>243</v>
      </c>
      <c r="E69" s="33">
        <v>26845</v>
      </c>
      <c r="F69" s="90" t="str">
        <f t="shared" si="1"/>
        <v>Date check - OK</v>
      </c>
      <c r="H69" s="116"/>
      <c r="I69" s="26"/>
      <c r="J69" s="98">
        <f t="shared" si="2"/>
        <v>0.12628967301448812</v>
      </c>
      <c r="K69" s="36"/>
      <c r="L69" s="26">
        <v>598</v>
      </c>
      <c r="M69" s="26" t="s">
        <v>205</v>
      </c>
      <c r="N69" s="26">
        <v>887.32618952270082</v>
      </c>
      <c r="O69" s="93">
        <f t="shared" si="11"/>
        <v>530621.06133457506</v>
      </c>
      <c r="P69" s="95">
        <f t="shared" si="12"/>
        <v>67011.960330544127</v>
      </c>
      <c r="Q69" s="197">
        <v>1</v>
      </c>
    </row>
    <row r="70" spans="1:17" x14ac:dyDescent="0.25">
      <c r="A70">
        <v>1973</v>
      </c>
      <c r="B70" t="s">
        <v>183</v>
      </c>
      <c r="C70" s="199">
        <v>36660</v>
      </c>
      <c r="D70" s="112" t="s">
        <v>243</v>
      </c>
      <c r="E70" s="33">
        <v>26845</v>
      </c>
      <c r="F70" s="90" t="str">
        <f t="shared" si="1"/>
        <v>Date check - OK</v>
      </c>
      <c r="H70" s="116"/>
      <c r="I70" s="26"/>
      <c r="J70" s="98">
        <f t="shared" si="2"/>
        <v>0.12628967301448812</v>
      </c>
      <c r="K70" s="36"/>
      <c r="L70" s="26">
        <v>602</v>
      </c>
      <c r="M70" s="26" t="s">
        <v>205</v>
      </c>
      <c r="N70" s="26">
        <v>520.32546775320145</v>
      </c>
      <c r="O70" s="93">
        <f t="shared" si="11"/>
        <v>313235.93158742727</v>
      </c>
      <c r="P70" s="95">
        <f t="shared" si="12"/>
        <v>39558.46337656476</v>
      </c>
      <c r="Q70" s="197">
        <v>1</v>
      </c>
    </row>
    <row r="71" spans="1:17" x14ac:dyDescent="0.25">
      <c r="A71">
        <v>1973</v>
      </c>
      <c r="B71" t="s">
        <v>183</v>
      </c>
      <c r="C71" s="199">
        <v>36660</v>
      </c>
      <c r="D71" s="112" t="s">
        <v>243</v>
      </c>
      <c r="E71" s="33">
        <v>26845</v>
      </c>
      <c r="F71" s="90" t="str">
        <f t="shared" si="1"/>
        <v>Date check - OK</v>
      </c>
      <c r="H71" s="116"/>
      <c r="I71" s="26"/>
      <c r="J71" s="98">
        <f t="shared" si="2"/>
        <v>0.12628967301448812</v>
      </c>
      <c r="K71" s="36"/>
      <c r="L71" s="26">
        <v>459</v>
      </c>
      <c r="M71" s="26" t="s">
        <v>205</v>
      </c>
      <c r="N71" s="26">
        <v>567.62778300349237</v>
      </c>
      <c r="O71" s="93">
        <f t="shared" si="11"/>
        <v>260541.15239860301</v>
      </c>
      <c r="P71" s="95">
        <f t="shared" si="12"/>
        <v>32903.656943237489</v>
      </c>
      <c r="Q71" s="197">
        <v>1</v>
      </c>
    </row>
    <row r="72" spans="1:17" x14ac:dyDescent="0.25">
      <c r="A72">
        <v>1974</v>
      </c>
      <c r="B72" t="s">
        <v>183</v>
      </c>
      <c r="C72" s="199">
        <v>36634</v>
      </c>
      <c r="D72" s="112" t="s">
        <v>235</v>
      </c>
      <c r="E72" s="33">
        <v>27210</v>
      </c>
      <c r="F72" s="90" t="str">
        <f t="shared" si="1"/>
        <v>Date check - OK</v>
      </c>
      <c r="H72" s="116"/>
      <c r="I72" s="26"/>
      <c r="J72" s="98">
        <f t="shared" si="2"/>
        <v>0.12628967301448812</v>
      </c>
      <c r="K72" s="36"/>
      <c r="L72" s="26">
        <v>763</v>
      </c>
      <c r="M72" s="26" t="s">
        <v>205</v>
      </c>
      <c r="N72" s="26">
        <v>2546.1694519208381</v>
      </c>
      <c r="O72" s="93">
        <f t="shared" si="11"/>
        <v>1942727.2918155994</v>
      </c>
      <c r="P72" s="95">
        <f t="shared" si="12"/>
        <v>245346.39443971409</v>
      </c>
      <c r="Q72" s="197">
        <v>1</v>
      </c>
    </row>
    <row r="73" spans="1:17" x14ac:dyDescent="0.25">
      <c r="A73">
        <v>1974</v>
      </c>
      <c r="B73" t="s">
        <v>183</v>
      </c>
      <c r="C73" s="199">
        <v>36634</v>
      </c>
      <c r="D73" s="112" t="s">
        <v>235</v>
      </c>
      <c r="E73" s="33">
        <v>27210</v>
      </c>
      <c r="F73" s="90" t="str">
        <f t="shared" si="1"/>
        <v>Date check - OK</v>
      </c>
      <c r="H73" s="116"/>
      <c r="I73" s="26"/>
      <c r="J73" s="98">
        <f t="shared" si="2"/>
        <v>0.12628967301448812</v>
      </c>
      <c r="K73" s="36"/>
      <c r="L73" s="26">
        <v>228</v>
      </c>
      <c r="M73" s="26" t="s">
        <v>205</v>
      </c>
      <c r="N73" s="26">
        <v>1177.6645383003492</v>
      </c>
      <c r="O73" s="93">
        <f t="shared" si="11"/>
        <v>268507.51473247964</v>
      </c>
      <c r="P73" s="95">
        <f t="shared" si="12"/>
        <v>33909.726237497707</v>
      </c>
      <c r="Q73" s="197">
        <v>1</v>
      </c>
    </row>
    <row r="74" spans="1:17" x14ac:dyDescent="0.25">
      <c r="A74">
        <v>1974</v>
      </c>
      <c r="B74" t="s">
        <v>183</v>
      </c>
      <c r="C74" s="199">
        <v>36634</v>
      </c>
      <c r="D74" s="112" t="s">
        <v>235</v>
      </c>
      <c r="E74" s="33">
        <v>27210</v>
      </c>
      <c r="F74" s="90" t="str">
        <f t="shared" si="1"/>
        <v>Date check - OK</v>
      </c>
      <c r="H74" s="116"/>
      <c r="I74" s="26"/>
      <c r="J74" s="98">
        <f t="shared" si="2"/>
        <v>0.12628967301448812</v>
      </c>
      <c r="K74" s="36"/>
      <c r="L74" s="26">
        <v>64.31</v>
      </c>
      <c r="M74" s="26" t="s">
        <v>205</v>
      </c>
      <c r="N74" s="26">
        <v>946.04630500582073</v>
      </c>
      <c r="O74" s="93">
        <f t="shared" si="11"/>
        <v>60840.237874924336</v>
      </c>
      <c r="P74" s="95">
        <f t="shared" si="12"/>
        <v>7683.4937473478703</v>
      </c>
      <c r="Q74" s="197">
        <v>1</v>
      </c>
    </row>
    <row r="75" spans="1:17" x14ac:dyDescent="0.25">
      <c r="A75">
        <v>1974</v>
      </c>
      <c r="B75" t="s">
        <v>183</v>
      </c>
      <c r="C75" s="199">
        <v>36634</v>
      </c>
      <c r="D75" s="112" t="s">
        <v>235</v>
      </c>
      <c r="E75" s="33">
        <v>27210</v>
      </c>
      <c r="F75" s="90" t="str">
        <f t="shared" si="1"/>
        <v>Date check - OK</v>
      </c>
      <c r="H75" s="116"/>
      <c r="I75" s="26"/>
      <c r="J75" s="98">
        <f t="shared" si="2"/>
        <v>0.12628967301448812</v>
      </c>
      <c r="K75" s="36"/>
      <c r="L75" s="26">
        <v>41.8</v>
      </c>
      <c r="M75" s="26" t="s">
        <v>205</v>
      </c>
      <c r="N75" s="26">
        <v>833.49941699650753</v>
      </c>
      <c r="O75" s="93">
        <f t="shared" si="11"/>
        <v>34840.275630454009</v>
      </c>
      <c r="P75" s="95">
        <f t="shared" si="12"/>
        <v>4399.9670171046755</v>
      </c>
      <c r="Q75" s="197">
        <v>1</v>
      </c>
    </row>
    <row r="76" spans="1:17" x14ac:dyDescent="0.25">
      <c r="A76">
        <v>1974</v>
      </c>
      <c r="B76" t="s">
        <v>183</v>
      </c>
      <c r="C76" s="199" t="s">
        <v>244</v>
      </c>
      <c r="D76" s="112" t="s">
        <v>245</v>
      </c>
      <c r="E76" s="33">
        <v>27210</v>
      </c>
      <c r="F76" s="90" t="str">
        <f t="shared" si="1"/>
        <v>Date check - OK</v>
      </c>
      <c r="H76" s="116"/>
      <c r="I76" s="26"/>
      <c r="J76" s="98">
        <f t="shared" si="2"/>
        <v>0.12628967301448812</v>
      </c>
      <c r="K76" s="36"/>
      <c r="L76" s="26">
        <v>15</v>
      </c>
      <c r="M76" s="26" t="s">
        <v>205</v>
      </c>
      <c r="N76" s="26">
        <v>494.22763864959256</v>
      </c>
      <c r="O76" s="93">
        <f t="shared" si="11"/>
        <v>7413.4145797438887</v>
      </c>
      <c r="P76" s="95">
        <f t="shared" si="12"/>
        <v>936.23770319669461</v>
      </c>
      <c r="Q76" s="197">
        <v>1</v>
      </c>
    </row>
    <row r="77" spans="1:17" x14ac:dyDescent="0.25">
      <c r="A77">
        <v>1974</v>
      </c>
      <c r="B77" t="s">
        <v>183</v>
      </c>
      <c r="C77" s="199">
        <v>36723</v>
      </c>
      <c r="D77" s="112" t="s">
        <v>246</v>
      </c>
      <c r="E77" s="33">
        <v>27210</v>
      </c>
      <c r="F77" s="90" t="str">
        <f t="shared" si="1"/>
        <v>Date check - OK</v>
      </c>
      <c r="H77" s="116"/>
      <c r="I77" s="26"/>
      <c r="J77" s="98">
        <f t="shared" si="2"/>
        <v>0.12628967301448812</v>
      </c>
      <c r="K77" s="36"/>
      <c r="L77" s="26">
        <v>634.59</v>
      </c>
      <c r="M77" s="26" t="s">
        <v>205</v>
      </c>
      <c r="N77" s="26">
        <v>520.32546775320145</v>
      </c>
      <c r="O77" s="93">
        <f t="shared" si="11"/>
        <v>330193.33858150413</v>
      </c>
      <c r="P77" s="95">
        <f t="shared" si="12"/>
        <v>41700.008761020319</v>
      </c>
      <c r="Q77" s="197">
        <v>1</v>
      </c>
    </row>
    <row r="78" spans="1:17" x14ac:dyDescent="0.25">
      <c r="A78">
        <v>1974</v>
      </c>
      <c r="B78" t="s">
        <v>183</v>
      </c>
      <c r="C78" s="199" t="s">
        <v>247</v>
      </c>
      <c r="D78" s="112" t="s">
        <v>248</v>
      </c>
      <c r="E78" s="33">
        <v>27210</v>
      </c>
      <c r="F78" s="90" t="str">
        <f t="shared" si="1"/>
        <v>Date check - OK</v>
      </c>
      <c r="H78" s="116"/>
      <c r="I78" s="26"/>
      <c r="J78" s="98">
        <f t="shared" si="2"/>
        <v>0.12628967301448812</v>
      </c>
      <c r="K78" s="36"/>
      <c r="L78" s="26">
        <v>285</v>
      </c>
      <c r="M78" s="26" t="s">
        <v>205</v>
      </c>
      <c r="N78" s="26">
        <v>520.32546775320145</v>
      </c>
      <c r="O78" s="93">
        <f t="shared" si="11"/>
        <v>148292.7583096624</v>
      </c>
      <c r="P78" s="95">
        <f t="shared" si="12"/>
        <v>18727.843957343783</v>
      </c>
      <c r="Q78" s="197">
        <v>1</v>
      </c>
    </row>
    <row r="79" spans="1:17" x14ac:dyDescent="0.25">
      <c r="A79">
        <v>1974</v>
      </c>
      <c r="B79" t="s">
        <v>183</v>
      </c>
      <c r="C79" s="199" t="s">
        <v>247</v>
      </c>
      <c r="D79" s="112" t="s">
        <v>248</v>
      </c>
      <c r="E79" s="33">
        <v>27210</v>
      </c>
      <c r="F79" s="90" t="str">
        <f t="shared" si="1"/>
        <v>Date check - OK</v>
      </c>
      <c r="H79" s="116"/>
      <c r="I79" s="26"/>
      <c r="J79" s="98">
        <f t="shared" si="2"/>
        <v>0.12628967301448812</v>
      </c>
      <c r="K79" s="36"/>
      <c r="L79" s="26">
        <v>96</v>
      </c>
      <c r="M79" s="26" t="s">
        <v>205</v>
      </c>
      <c r="N79" s="26">
        <v>567.62778300349237</v>
      </c>
      <c r="O79" s="93">
        <f t="shared" si="11"/>
        <v>54492.267168335267</v>
      </c>
      <c r="P79" s="95">
        <f t="shared" si="12"/>
        <v>6881.8106025071875</v>
      </c>
      <c r="Q79" s="197">
        <v>1</v>
      </c>
    </row>
    <row r="80" spans="1:17" x14ac:dyDescent="0.25">
      <c r="A80">
        <v>1974</v>
      </c>
      <c r="B80" t="s">
        <v>183</v>
      </c>
      <c r="C80" s="199">
        <v>36630</v>
      </c>
      <c r="D80" s="112" t="s">
        <v>249</v>
      </c>
      <c r="E80" s="33">
        <v>27210</v>
      </c>
      <c r="F80" s="90" t="str">
        <f t="shared" si="1"/>
        <v>Date check - OK</v>
      </c>
      <c r="H80" s="116"/>
      <c r="I80" s="26"/>
      <c r="J80" s="98">
        <f t="shared" si="2"/>
        <v>0.12628967301448812</v>
      </c>
      <c r="K80" s="36"/>
      <c r="L80" s="26">
        <v>1363</v>
      </c>
      <c r="M80" s="26" t="s">
        <v>205</v>
      </c>
      <c r="N80" s="26">
        <v>1764.8656931315481</v>
      </c>
      <c r="O80" s="93">
        <f t="shared" si="11"/>
        <v>2405511.9397383002</v>
      </c>
      <c r="P80" s="95">
        <f t="shared" si="12"/>
        <v>303791.31630199699</v>
      </c>
      <c r="Q80" s="197">
        <v>1</v>
      </c>
    </row>
    <row r="81" spans="1:17" x14ac:dyDescent="0.25">
      <c r="A81">
        <v>1974</v>
      </c>
      <c r="B81" t="s">
        <v>183</v>
      </c>
      <c r="C81" s="199">
        <v>36634</v>
      </c>
      <c r="D81" s="112" t="s">
        <v>235</v>
      </c>
      <c r="E81" s="33">
        <v>27210</v>
      </c>
      <c r="F81" s="90" t="str">
        <f t="shared" si="1"/>
        <v>Date check - OK</v>
      </c>
      <c r="H81" s="116"/>
      <c r="I81" s="26"/>
      <c r="J81" s="98">
        <f t="shared" si="2"/>
        <v>0.12628967301448812</v>
      </c>
      <c r="K81" s="36"/>
      <c r="L81" s="26">
        <v>684</v>
      </c>
      <c r="M81" s="26" t="s">
        <v>205</v>
      </c>
      <c r="N81" s="26">
        <v>2356.960190919674</v>
      </c>
      <c r="O81" s="93">
        <f t="shared" si="11"/>
        <v>1612160.7705890571</v>
      </c>
      <c r="P81" s="95">
        <f t="shared" si="12"/>
        <v>203599.25656447723</v>
      </c>
      <c r="Q81" s="197">
        <v>1</v>
      </c>
    </row>
    <row r="82" spans="1:17" x14ac:dyDescent="0.25">
      <c r="A82">
        <v>1974</v>
      </c>
      <c r="B82" t="s">
        <v>183</v>
      </c>
      <c r="C82" s="199">
        <v>36634</v>
      </c>
      <c r="D82" s="112" t="s">
        <v>235</v>
      </c>
      <c r="E82" s="33">
        <v>27210</v>
      </c>
      <c r="F82" s="90" t="str">
        <f t="shared" si="1"/>
        <v>Date check - OK</v>
      </c>
      <c r="H82" s="116"/>
      <c r="I82" s="26"/>
      <c r="J82" s="98">
        <f t="shared" si="2"/>
        <v>0.12628967301448812</v>
      </c>
      <c r="K82" s="36"/>
      <c r="L82" s="26">
        <v>617</v>
      </c>
      <c r="M82" s="26" t="s">
        <v>205</v>
      </c>
      <c r="N82" s="26">
        <v>1528.354116880093</v>
      </c>
      <c r="O82" s="93">
        <f t="shared" si="11"/>
        <v>942994.4901150174</v>
      </c>
      <c r="P82" s="95">
        <f t="shared" si="12"/>
        <v>119090.4658110895</v>
      </c>
      <c r="Q82" s="197">
        <v>1</v>
      </c>
    </row>
    <row r="83" spans="1:17" x14ac:dyDescent="0.25">
      <c r="A83">
        <v>1974</v>
      </c>
      <c r="B83" t="s">
        <v>183</v>
      </c>
      <c r="C83" s="199">
        <v>36634</v>
      </c>
      <c r="D83" s="112" t="s">
        <v>235</v>
      </c>
      <c r="E83" s="33">
        <v>27210</v>
      </c>
      <c r="F83" s="90" t="str">
        <f t="shared" si="1"/>
        <v>Date check - OK</v>
      </c>
      <c r="H83" s="116"/>
      <c r="I83" s="26"/>
      <c r="J83" s="98">
        <f t="shared" si="2"/>
        <v>0.12628967301448812</v>
      </c>
      <c r="K83" s="36"/>
      <c r="L83" s="26">
        <v>216</v>
      </c>
      <c r="M83" s="26" t="s">
        <v>205</v>
      </c>
      <c r="N83" s="26">
        <v>1177.6645383003492</v>
      </c>
      <c r="O83" s="93">
        <f t="shared" si="11"/>
        <v>254375.54027287543</v>
      </c>
      <c r="P83" s="95">
        <f t="shared" si="12"/>
        <v>32125.003803945194</v>
      </c>
      <c r="Q83" s="197">
        <v>1</v>
      </c>
    </row>
    <row r="84" spans="1:17" x14ac:dyDescent="0.25">
      <c r="A84">
        <v>1974</v>
      </c>
      <c r="B84" t="s">
        <v>183</v>
      </c>
      <c r="C84" s="199">
        <v>36634</v>
      </c>
      <c r="D84" s="112" t="s">
        <v>235</v>
      </c>
      <c r="E84" s="33">
        <v>27210</v>
      </c>
      <c r="F84" s="90" t="str">
        <f t="shared" si="1"/>
        <v>Date check - OK</v>
      </c>
      <c r="H84" s="116"/>
      <c r="I84" s="26"/>
      <c r="J84" s="98">
        <f t="shared" si="2"/>
        <v>0.12628967301448812</v>
      </c>
      <c r="K84" s="36"/>
      <c r="L84" s="26">
        <v>76</v>
      </c>
      <c r="M84" s="26" t="s">
        <v>205</v>
      </c>
      <c r="N84" s="26">
        <v>946.04630500582073</v>
      </c>
      <c r="O84" s="93">
        <f t="shared" si="11"/>
        <v>71899.519180442381</v>
      </c>
      <c r="P84" s="95">
        <f t="shared" si="12"/>
        <v>9080.1667671969863</v>
      </c>
      <c r="Q84" s="197">
        <v>1</v>
      </c>
    </row>
    <row r="85" spans="1:17" x14ac:dyDescent="0.25">
      <c r="A85">
        <v>1974</v>
      </c>
      <c r="B85" t="s">
        <v>183</v>
      </c>
      <c r="C85" s="199">
        <v>36634</v>
      </c>
      <c r="D85" s="112" t="s">
        <v>235</v>
      </c>
      <c r="E85" s="33">
        <v>27210</v>
      </c>
      <c r="F85" s="90" t="str">
        <f t="shared" si="1"/>
        <v>Date check - OK</v>
      </c>
      <c r="H85" s="116"/>
      <c r="I85" s="26"/>
      <c r="J85" s="98">
        <f t="shared" si="2"/>
        <v>0.12628967301448812</v>
      </c>
      <c r="K85" s="36"/>
      <c r="L85" s="26">
        <v>41</v>
      </c>
      <c r="M85" s="26" t="s">
        <v>205</v>
      </c>
      <c r="N85" s="26">
        <v>833.49941699650753</v>
      </c>
      <c r="O85" s="93">
        <f t="shared" si="11"/>
        <v>34173.476096856808</v>
      </c>
      <c r="P85" s="95">
        <f t="shared" si="12"/>
        <v>4315.7571220404725</v>
      </c>
      <c r="Q85" s="197">
        <v>1</v>
      </c>
    </row>
    <row r="86" spans="1:17" x14ac:dyDescent="0.25">
      <c r="A86">
        <v>1975</v>
      </c>
      <c r="B86" t="s">
        <v>183</v>
      </c>
      <c r="C86" s="199">
        <v>47428</v>
      </c>
      <c r="D86" s="112" t="s">
        <v>250</v>
      </c>
      <c r="E86" s="33">
        <v>27575</v>
      </c>
      <c r="F86" s="90" t="str">
        <f t="shared" si="1"/>
        <v>Date check - OK</v>
      </c>
      <c r="H86" s="116"/>
      <c r="I86" s="26"/>
      <c r="J86" s="98">
        <f t="shared" si="2"/>
        <v>0.12628967301448812</v>
      </c>
      <c r="K86" s="36"/>
      <c r="L86" s="26">
        <v>40</v>
      </c>
      <c r="M86" s="26" t="s">
        <v>205</v>
      </c>
      <c r="N86" s="26">
        <v>751.94370104772986</v>
      </c>
      <c r="O86" s="93">
        <f t="shared" si="11"/>
        <v>30077.748041909195</v>
      </c>
      <c r="P86" s="95">
        <f t="shared" si="12"/>
        <v>3798.5089652248726</v>
      </c>
      <c r="Q86" s="197">
        <v>1</v>
      </c>
    </row>
    <row r="87" spans="1:17" x14ac:dyDescent="0.25">
      <c r="A87">
        <v>1976</v>
      </c>
      <c r="B87" t="s">
        <v>183</v>
      </c>
      <c r="C87" s="199">
        <v>47187</v>
      </c>
      <c r="D87" s="112" t="s">
        <v>251</v>
      </c>
      <c r="E87" s="33">
        <v>27941</v>
      </c>
      <c r="F87" s="90" t="str">
        <f t="shared" ref="F87:F150" si="13">IF(E87="","-",IF(OR(E87&lt;$E$15,E87&gt;$E$16),"ERROR - date outside of range","Date check - OK"))</f>
        <v>Date check - OK</v>
      </c>
      <c r="H87" s="116"/>
      <c r="I87" s="26"/>
      <c r="J87" s="98">
        <f t="shared" ref="J87:J150" si="14">J86</f>
        <v>0.12628967301448812</v>
      </c>
      <c r="K87" s="36"/>
      <c r="L87" s="26">
        <v>275</v>
      </c>
      <c r="M87" s="26" t="s">
        <v>205</v>
      </c>
      <c r="N87" s="26">
        <v>685.06801396973219</v>
      </c>
      <c r="O87" s="93">
        <f t="shared" si="11"/>
        <v>188393.70384167635</v>
      </c>
      <c r="P87" s="95">
        <f t="shared" si="12"/>
        <v>23792.17925615362</v>
      </c>
      <c r="Q87" s="197">
        <v>1</v>
      </c>
    </row>
    <row r="88" spans="1:17" x14ac:dyDescent="0.25">
      <c r="A88">
        <v>1976</v>
      </c>
      <c r="B88" t="s">
        <v>183</v>
      </c>
      <c r="C88" s="199">
        <v>36888</v>
      </c>
      <c r="D88" s="112" t="s">
        <v>252</v>
      </c>
      <c r="E88" s="33">
        <v>27941</v>
      </c>
      <c r="F88" s="90" t="str">
        <f t="shared" si="13"/>
        <v>Date check - OK</v>
      </c>
      <c r="H88" s="116"/>
      <c r="I88" s="26"/>
      <c r="J88" s="98">
        <f t="shared" si="14"/>
        <v>0.12628967301448812</v>
      </c>
      <c r="K88" s="36"/>
      <c r="L88" s="26">
        <v>606.49</v>
      </c>
      <c r="M88" s="26" t="s">
        <v>205</v>
      </c>
      <c r="N88" s="26">
        <v>567.62778300349237</v>
      </c>
      <c r="O88" s="93">
        <f t="shared" si="11"/>
        <v>344260.57411378808</v>
      </c>
      <c r="P88" s="95">
        <f t="shared" si="12"/>
        <v>43476.555336610254</v>
      </c>
      <c r="Q88" s="197">
        <v>1</v>
      </c>
    </row>
    <row r="89" spans="1:17" x14ac:dyDescent="0.25">
      <c r="A89">
        <v>1976</v>
      </c>
      <c r="B89" t="s">
        <v>183</v>
      </c>
      <c r="C89" s="199">
        <v>47187</v>
      </c>
      <c r="D89" s="112" t="s">
        <v>253</v>
      </c>
      <c r="E89" s="33">
        <v>27941</v>
      </c>
      <c r="F89" s="90" t="str">
        <f t="shared" si="13"/>
        <v>Date check - OK</v>
      </c>
      <c r="H89" s="116"/>
      <c r="I89" s="26"/>
      <c r="J89" s="98">
        <f t="shared" si="14"/>
        <v>0.12628967301448812</v>
      </c>
      <c r="K89" s="36"/>
      <c r="L89" s="26">
        <v>160</v>
      </c>
      <c r="M89" s="26" t="s">
        <v>205</v>
      </c>
      <c r="N89" s="26">
        <v>751.94370104772986</v>
      </c>
      <c r="O89" s="93">
        <f t="shared" si="11"/>
        <v>120310.99216763678</v>
      </c>
      <c r="P89" s="95">
        <f t="shared" si="12"/>
        <v>15194.03586089949</v>
      </c>
      <c r="Q89" s="197">
        <v>1</v>
      </c>
    </row>
    <row r="90" spans="1:17" x14ac:dyDescent="0.25">
      <c r="A90">
        <v>1976</v>
      </c>
      <c r="B90" t="s">
        <v>183</v>
      </c>
      <c r="C90" s="199">
        <v>47187</v>
      </c>
      <c r="D90" s="112" t="s">
        <v>253</v>
      </c>
      <c r="E90" s="33">
        <v>27941</v>
      </c>
      <c r="F90" s="90" t="str">
        <f t="shared" si="13"/>
        <v>Date check - OK</v>
      </c>
      <c r="H90" s="116"/>
      <c r="I90" s="26"/>
      <c r="J90" s="98">
        <f t="shared" si="14"/>
        <v>0.12628967301448812</v>
      </c>
      <c r="K90" s="36"/>
      <c r="L90" s="26">
        <v>550</v>
      </c>
      <c r="M90" s="26" t="s">
        <v>205</v>
      </c>
      <c r="N90" s="26">
        <v>567.62778300349237</v>
      </c>
      <c r="O90" s="93">
        <f t="shared" si="11"/>
        <v>312195.28065192082</v>
      </c>
      <c r="P90" s="95">
        <f t="shared" si="12"/>
        <v>39427.039910197433</v>
      </c>
      <c r="Q90" s="197">
        <v>1</v>
      </c>
    </row>
    <row r="91" spans="1:17" x14ac:dyDescent="0.25">
      <c r="A91">
        <v>1976</v>
      </c>
      <c r="B91" t="s">
        <v>183</v>
      </c>
      <c r="C91" s="199">
        <v>47193</v>
      </c>
      <c r="D91" s="112" t="s">
        <v>254</v>
      </c>
      <c r="E91" s="33">
        <v>27941</v>
      </c>
      <c r="F91" s="90" t="str">
        <f t="shared" si="13"/>
        <v>Date check - OK</v>
      </c>
      <c r="H91" s="116"/>
      <c r="I91" s="26"/>
      <c r="J91" s="98">
        <f t="shared" si="14"/>
        <v>0.12628967301448812</v>
      </c>
      <c r="K91" s="36"/>
      <c r="L91" s="26">
        <v>317</v>
      </c>
      <c r="M91" s="26" t="s">
        <v>205</v>
      </c>
      <c r="N91" s="26">
        <v>494.22763864959256</v>
      </c>
      <c r="O91" s="93">
        <f t="shared" si="11"/>
        <v>156670.16145192084</v>
      </c>
      <c r="P91" s="95">
        <f t="shared" si="12"/>
        <v>19785.823460890144</v>
      </c>
      <c r="Q91" s="197">
        <v>1</v>
      </c>
    </row>
    <row r="92" spans="1:17" x14ac:dyDescent="0.25">
      <c r="A92">
        <v>1976</v>
      </c>
      <c r="B92" t="s">
        <v>183</v>
      </c>
      <c r="C92" s="199">
        <v>47429</v>
      </c>
      <c r="D92" s="112" t="s">
        <v>255</v>
      </c>
      <c r="E92" s="33">
        <v>27941</v>
      </c>
      <c r="F92" s="90" t="str">
        <f t="shared" si="13"/>
        <v>Date check - OK</v>
      </c>
      <c r="H92" s="116"/>
      <c r="I92" s="26"/>
      <c r="J92" s="98">
        <f t="shared" si="14"/>
        <v>0.12628967301448812</v>
      </c>
      <c r="K92" s="36"/>
      <c r="L92" s="26">
        <v>64</v>
      </c>
      <c r="M92" s="26" t="s">
        <v>205</v>
      </c>
      <c r="N92" s="26">
        <v>468.12980954598368</v>
      </c>
      <c r="O92" s="93">
        <f t="shared" si="11"/>
        <v>29960.307810942955</v>
      </c>
      <c r="P92" s="95">
        <f t="shared" si="12"/>
        <v>3783.6774768574005</v>
      </c>
      <c r="Q92" s="197">
        <v>1</v>
      </c>
    </row>
    <row r="93" spans="1:17" x14ac:dyDescent="0.25">
      <c r="A93">
        <v>1976</v>
      </c>
      <c r="B93" t="s">
        <v>183</v>
      </c>
      <c r="C93" s="199">
        <v>47429</v>
      </c>
      <c r="D93" s="112" t="s">
        <v>255</v>
      </c>
      <c r="E93" s="33">
        <v>27941</v>
      </c>
      <c r="F93" s="90" t="str">
        <f t="shared" si="13"/>
        <v>Date check - OK</v>
      </c>
      <c r="H93" s="116"/>
      <c r="I93" s="26"/>
      <c r="J93" s="98">
        <f t="shared" si="14"/>
        <v>0.12628967301448812</v>
      </c>
      <c r="K93" s="36"/>
      <c r="L93" s="26">
        <v>31</v>
      </c>
      <c r="M93" s="26" t="s">
        <v>205</v>
      </c>
      <c r="N93" s="26">
        <v>567.62778300349237</v>
      </c>
      <c r="O93" s="93">
        <f t="shared" si="11"/>
        <v>17596.461273108263</v>
      </c>
      <c r="P93" s="95">
        <f t="shared" si="12"/>
        <v>2222.2513403929461</v>
      </c>
      <c r="Q93" s="197">
        <v>1</v>
      </c>
    </row>
    <row r="94" spans="1:17" x14ac:dyDescent="0.25">
      <c r="A94">
        <v>1976</v>
      </c>
      <c r="B94" t="s">
        <v>183</v>
      </c>
      <c r="C94" s="199">
        <v>47430</v>
      </c>
      <c r="D94" s="112" t="s">
        <v>256</v>
      </c>
      <c r="E94" s="33">
        <v>27941</v>
      </c>
      <c r="F94" s="90" t="str">
        <f t="shared" si="13"/>
        <v>Date check - OK</v>
      </c>
      <c r="H94" s="116"/>
      <c r="I94" s="26"/>
      <c r="J94" s="98">
        <f t="shared" si="14"/>
        <v>0.12628967301448812</v>
      </c>
      <c r="K94" s="36"/>
      <c r="L94" s="26">
        <v>515</v>
      </c>
      <c r="M94" s="26" t="s">
        <v>205</v>
      </c>
      <c r="N94" s="26">
        <v>567.62778300349237</v>
      </c>
      <c r="O94" s="93">
        <f t="shared" si="11"/>
        <v>292328.30824679858</v>
      </c>
      <c r="P94" s="95">
        <f t="shared" si="12"/>
        <v>36918.046461366685</v>
      </c>
      <c r="Q94" s="197">
        <v>1</v>
      </c>
    </row>
    <row r="95" spans="1:17" x14ac:dyDescent="0.25">
      <c r="A95">
        <v>1976</v>
      </c>
      <c r="B95" t="s">
        <v>183</v>
      </c>
      <c r="C95" s="199">
        <v>47430</v>
      </c>
      <c r="D95" s="112" t="s">
        <v>256</v>
      </c>
      <c r="E95" s="33">
        <v>27941</v>
      </c>
      <c r="F95" s="90" t="str">
        <f t="shared" si="13"/>
        <v>Date check - OK</v>
      </c>
      <c r="H95" s="116"/>
      <c r="I95" s="26"/>
      <c r="J95" s="98">
        <f t="shared" si="14"/>
        <v>0.12628967301448812</v>
      </c>
      <c r="K95" s="36"/>
      <c r="L95" s="26">
        <v>51</v>
      </c>
      <c r="M95" s="26" t="s">
        <v>205</v>
      </c>
      <c r="N95" s="26">
        <v>751.94370104772986</v>
      </c>
      <c r="O95" s="93">
        <f t="shared" si="11"/>
        <v>38349.128753434226</v>
      </c>
      <c r="P95" s="95">
        <f t="shared" si="12"/>
        <v>4843.098930661713</v>
      </c>
      <c r="Q95" s="197">
        <v>1</v>
      </c>
    </row>
    <row r="96" spans="1:17" x14ac:dyDescent="0.25">
      <c r="A96">
        <v>1976</v>
      </c>
      <c r="B96" t="s">
        <v>183</v>
      </c>
      <c r="C96" s="199">
        <v>47614</v>
      </c>
      <c r="D96" s="112" t="s">
        <v>257</v>
      </c>
      <c r="E96" s="33">
        <v>27941</v>
      </c>
      <c r="F96" s="90" t="str">
        <f t="shared" si="13"/>
        <v>Date check - OK</v>
      </c>
      <c r="H96" s="116"/>
      <c r="I96" s="26"/>
      <c r="J96" s="98">
        <f t="shared" si="14"/>
        <v>0.12628967301448812</v>
      </c>
      <c r="K96" s="36"/>
      <c r="L96" s="26">
        <v>47</v>
      </c>
      <c r="M96" s="26" t="s">
        <v>205</v>
      </c>
      <c r="N96" s="26">
        <v>2120.4486146682189</v>
      </c>
      <c r="O96" s="93">
        <f t="shared" si="11"/>
        <v>99661.08488940628</v>
      </c>
      <c r="P96" s="95">
        <f t="shared" si="12"/>
        <v>12586.165822952262</v>
      </c>
      <c r="Q96" s="197">
        <v>1</v>
      </c>
    </row>
    <row r="97" spans="1:17" x14ac:dyDescent="0.25">
      <c r="A97">
        <v>1977</v>
      </c>
      <c r="B97" t="s">
        <v>183</v>
      </c>
      <c r="C97" s="199">
        <v>59175</v>
      </c>
      <c r="D97" s="112" t="s">
        <v>237</v>
      </c>
      <c r="E97" s="33">
        <v>28306</v>
      </c>
      <c r="F97" s="90" t="str">
        <f t="shared" si="13"/>
        <v>Date check - OK</v>
      </c>
      <c r="H97" s="116"/>
      <c r="I97" s="26"/>
      <c r="J97" s="98">
        <f t="shared" si="14"/>
        <v>0.12628967301448812</v>
      </c>
      <c r="K97" s="36"/>
      <c r="L97" s="26">
        <v>125</v>
      </c>
      <c r="M97" s="26" t="s">
        <v>205</v>
      </c>
      <c r="N97" s="26">
        <v>468.12980954598368</v>
      </c>
      <c r="O97" s="93">
        <f t="shared" si="11"/>
        <v>58516.22619324796</v>
      </c>
      <c r="P97" s="95">
        <f t="shared" si="12"/>
        <v>7389.9950719871104</v>
      </c>
      <c r="Q97" s="197">
        <v>1</v>
      </c>
    </row>
    <row r="98" spans="1:17" x14ac:dyDescent="0.25">
      <c r="A98">
        <v>1977</v>
      </c>
      <c r="B98" t="s">
        <v>183</v>
      </c>
      <c r="C98" s="199">
        <v>59175</v>
      </c>
      <c r="D98" s="112" t="s">
        <v>237</v>
      </c>
      <c r="E98" s="33">
        <v>28306</v>
      </c>
      <c r="F98" s="90" t="str">
        <f t="shared" si="13"/>
        <v>Date check - OK</v>
      </c>
      <c r="H98" s="116"/>
      <c r="I98" s="26"/>
      <c r="J98" s="98">
        <f t="shared" si="14"/>
        <v>0.12628967301448812</v>
      </c>
      <c r="K98" s="36"/>
      <c r="L98" s="26">
        <v>800</v>
      </c>
      <c r="M98" s="26" t="s">
        <v>205</v>
      </c>
      <c r="N98" s="26">
        <v>494.22763864959256</v>
      </c>
      <c r="O98" s="93">
        <f t="shared" si="11"/>
        <v>395382.11091967404</v>
      </c>
      <c r="P98" s="95">
        <f t="shared" si="12"/>
        <v>49932.67750382371</v>
      </c>
      <c r="Q98" s="197">
        <v>1</v>
      </c>
    </row>
    <row r="99" spans="1:17" x14ac:dyDescent="0.25">
      <c r="A99">
        <v>1977</v>
      </c>
      <c r="B99" t="s">
        <v>183</v>
      </c>
      <c r="C99" s="199">
        <v>36972</v>
      </c>
      <c r="D99" s="112" t="s">
        <v>258</v>
      </c>
      <c r="E99" s="33">
        <v>28306</v>
      </c>
      <c r="F99" s="90" t="str">
        <f t="shared" si="13"/>
        <v>Date check - OK</v>
      </c>
      <c r="H99" s="116"/>
      <c r="I99" s="26"/>
      <c r="J99" s="98">
        <f t="shared" si="14"/>
        <v>0.12628967301448812</v>
      </c>
      <c r="K99" s="36"/>
      <c r="L99" s="26">
        <v>1428</v>
      </c>
      <c r="M99" s="26" t="s">
        <v>205</v>
      </c>
      <c r="N99" s="26">
        <v>520.32546775320145</v>
      </c>
      <c r="O99" s="93">
        <f t="shared" si="11"/>
        <v>743024.76795157162</v>
      </c>
      <c r="P99" s="95">
        <f t="shared" si="12"/>
        <v>93836.3549862699</v>
      </c>
      <c r="Q99" s="197">
        <v>1</v>
      </c>
    </row>
    <row r="100" spans="1:17" x14ac:dyDescent="0.25">
      <c r="A100">
        <v>1977</v>
      </c>
      <c r="B100" t="s">
        <v>183</v>
      </c>
      <c r="C100" s="199">
        <v>36972</v>
      </c>
      <c r="D100" s="112" t="s">
        <v>258</v>
      </c>
      <c r="E100" s="33">
        <v>28306</v>
      </c>
      <c r="F100" s="90" t="str">
        <f t="shared" si="13"/>
        <v>Date check - OK</v>
      </c>
      <c r="H100" s="116"/>
      <c r="I100" s="26"/>
      <c r="J100" s="98">
        <f t="shared" si="14"/>
        <v>0.12628967301448812</v>
      </c>
      <c r="K100" s="36"/>
      <c r="L100" s="26">
        <v>189</v>
      </c>
      <c r="M100" s="26" t="s">
        <v>205</v>
      </c>
      <c r="N100" s="26">
        <v>567.62778300349237</v>
      </c>
      <c r="O100" s="93">
        <f t="shared" si="11"/>
        <v>107281.65098766006</v>
      </c>
      <c r="P100" s="95">
        <f t="shared" si="12"/>
        <v>13548.564623686027</v>
      </c>
      <c r="Q100" s="197">
        <v>1</v>
      </c>
    </row>
    <row r="101" spans="1:17" x14ac:dyDescent="0.25">
      <c r="A101">
        <v>1977</v>
      </c>
      <c r="B101" t="s">
        <v>183</v>
      </c>
      <c r="C101" s="199">
        <v>37032</v>
      </c>
      <c r="D101" s="112" t="s">
        <v>259</v>
      </c>
      <c r="E101" s="33">
        <v>28306</v>
      </c>
      <c r="F101" s="90" t="str">
        <f t="shared" si="13"/>
        <v>Date check - OK</v>
      </c>
      <c r="H101" s="116"/>
      <c r="I101" s="26"/>
      <c r="J101" s="98">
        <f t="shared" si="14"/>
        <v>0.12628967301448812</v>
      </c>
      <c r="K101" s="36"/>
      <c r="L101" s="26">
        <v>29</v>
      </c>
      <c r="M101" s="26" t="s">
        <v>205</v>
      </c>
      <c r="N101" s="26">
        <v>468.12980954598368</v>
      </c>
      <c r="O101" s="93">
        <f t="shared" si="11"/>
        <v>13575.764476833527</v>
      </c>
      <c r="P101" s="95">
        <f t="shared" si="12"/>
        <v>1714.4788567010096</v>
      </c>
      <c r="Q101" s="197">
        <v>1</v>
      </c>
    </row>
    <row r="102" spans="1:17" x14ac:dyDescent="0.25">
      <c r="A102">
        <v>1977</v>
      </c>
      <c r="B102" t="s">
        <v>183</v>
      </c>
      <c r="C102" s="199">
        <v>37032</v>
      </c>
      <c r="D102" s="112" t="s">
        <v>259</v>
      </c>
      <c r="E102" s="33">
        <v>28306</v>
      </c>
      <c r="F102" s="90" t="str">
        <f t="shared" si="13"/>
        <v>Date check - OK</v>
      </c>
      <c r="H102" s="116"/>
      <c r="I102" s="26"/>
      <c r="J102" s="98">
        <f t="shared" si="14"/>
        <v>0.12628967301448812</v>
      </c>
      <c r="K102" s="36"/>
      <c r="L102" s="26">
        <v>40</v>
      </c>
      <c r="M102" s="26" t="s">
        <v>205</v>
      </c>
      <c r="N102" s="26">
        <v>494.22763864959256</v>
      </c>
      <c r="O102" s="93">
        <f t="shared" si="11"/>
        <v>19769.105545983701</v>
      </c>
      <c r="P102" s="95">
        <f t="shared" si="12"/>
        <v>2496.6338751911853</v>
      </c>
      <c r="Q102" s="197">
        <v>1</v>
      </c>
    </row>
    <row r="103" spans="1:17" ht="23" x14ac:dyDescent="0.25">
      <c r="A103">
        <v>1977</v>
      </c>
      <c r="B103" t="s">
        <v>183</v>
      </c>
      <c r="C103" s="199">
        <v>37033</v>
      </c>
      <c r="D103" s="112" t="s">
        <v>260</v>
      </c>
      <c r="E103" s="33">
        <v>28306</v>
      </c>
      <c r="F103" s="90" t="str">
        <f t="shared" si="13"/>
        <v>Date check - OK</v>
      </c>
      <c r="H103" s="116"/>
      <c r="I103" s="26"/>
      <c r="J103" s="98">
        <f t="shared" si="14"/>
        <v>0.12628967301448812</v>
      </c>
      <c r="K103" s="36"/>
      <c r="L103" s="26">
        <v>60</v>
      </c>
      <c r="M103" s="26" t="s">
        <v>205</v>
      </c>
      <c r="N103" s="26">
        <v>567.62778300349237</v>
      </c>
      <c r="O103" s="93">
        <f t="shared" si="11"/>
        <v>34057.666980209542</v>
      </c>
      <c r="P103" s="95">
        <f t="shared" si="12"/>
        <v>4301.1316265669921</v>
      </c>
      <c r="Q103" s="197">
        <v>1</v>
      </c>
    </row>
    <row r="104" spans="1:17" x14ac:dyDescent="0.25">
      <c r="A104">
        <v>1977</v>
      </c>
      <c r="B104" t="s">
        <v>183</v>
      </c>
      <c r="C104" s="199">
        <v>47427</v>
      </c>
      <c r="D104" s="112" t="s">
        <v>261</v>
      </c>
      <c r="E104" s="33">
        <v>28306</v>
      </c>
      <c r="F104" s="90" t="str">
        <f t="shared" si="13"/>
        <v>Date check - OK</v>
      </c>
      <c r="H104" s="116"/>
      <c r="I104" s="26"/>
      <c r="J104" s="98">
        <f t="shared" si="14"/>
        <v>0.12628967301448812</v>
      </c>
      <c r="K104" s="36"/>
      <c r="L104" s="26">
        <v>642</v>
      </c>
      <c r="M104" s="26" t="s">
        <v>205</v>
      </c>
      <c r="N104" s="26">
        <v>567.62778300349237</v>
      </c>
      <c r="O104" s="93">
        <f t="shared" si="11"/>
        <v>364417.03668824211</v>
      </c>
      <c r="P104" s="95">
        <f t="shared" si="12"/>
        <v>46022.108404266815</v>
      </c>
      <c r="Q104" s="197">
        <v>1</v>
      </c>
    </row>
    <row r="105" spans="1:17" x14ac:dyDescent="0.25">
      <c r="A105">
        <v>1977</v>
      </c>
      <c r="B105" t="s">
        <v>183</v>
      </c>
      <c r="C105" s="199">
        <v>47803</v>
      </c>
      <c r="D105" s="112" t="s">
        <v>262</v>
      </c>
      <c r="E105" s="33">
        <v>28306</v>
      </c>
      <c r="F105" s="90" t="str">
        <f t="shared" si="13"/>
        <v>Date check - OK</v>
      </c>
      <c r="H105" s="116"/>
      <c r="I105" s="26"/>
      <c r="J105" s="98">
        <f t="shared" si="14"/>
        <v>0.12628967301448812</v>
      </c>
      <c r="K105" s="36"/>
      <c r="L105" s="26">
        <v>90</v>
      </c>
      <c r="M105" s="26" t="s">
        <v>205</v>
      </c>
      <c r="N105" s="26">
        <v>567.62778300349237</v>
      </c>
      <c r="O105" s="93">
        <f t="shared" si="11"/>
        <v>51086.500470314313</v>
      </c>
      <c r="P105" s="95">
        <f t="shared" si="12"/>
        <v>6451.6974398504881</v>
      </c>
      <c r="Q105" s="197">
        <v>1</v>
      </c>
    </row>
    <row r="106" spans="1:17" x14ac:dyDescent="0.25">
      <c r="A106">
        <v>1977</v>
      </c>
      <c r="B106" t="s">
        <v>183</v>
      </c>
      <c r="C106" s="199">
        <v>47806</v>
      </c>
      <c r="D106" s="112" t="s">
        <v>263</v>
      </c>
      <c r="E106" s="33">
        <v>28306</v>
      </c>
      <c r="F106" s="90" t="str">
        <f t="shared" si="13"/>
        <v>Date check - OK</v>
      </c>
      <c r="H106" s="116"/>
      <c r="I106" s="26"/>
      <c r="J106" s="98">
        <f t="shared" si="14"/>
        <v>0.12628967301448812</v>
      </c>
      <c r="K106" s="36"/>
      <c r="L106" s="26">
        <v>317</v>
      </c>
      <c r="M106" s="26" t="s">
        <v>205</v>
      </c>
      <c r="N106" s="26">
        <v>624.71678416763677</v>
      </c>
      <c r="O106" s="93">
        <f t="shared" si="11"/>
        <v>198035.22058114086</v>
      </c>
      <c r="P106" s="95">
        <f t="shared" si="12"/>
        <v>25009.803252544309</v>
      </c>
      <c r="Q106" s="197">
        <v>1</v>
      </c>
    </row>
    <row r="107" spans="1:17" x14ac:dyDescent="0.25">
      <c r="A107">
        <v>1977</v>
      </c>
      <c r="B107" t="s">
        <v>183</v>
      </c>
      <c r="C107" s="199">
        <v>36886</v>
      </c>
      <c r="D107" s="112" t="s">
        <v>264</v>
      </c>
      <c r="E107" s="33">
        <v>28306</v>
      </c>
      <c r="F107" s="90" t="str">
        <f t="shared" si="13"/>
        <v>Date check - OK</v>
      </c>
      <c r="H107" s="116"/>
      <c r="I107" s="26"/>
      <c r="J107" s="98">
        <f t="shared" si="14"/>
        <v>0.12628967301448812</v>
      </c>
      <c r="K107" s="36"/>
      <c r="L107" s="26">
        <v>1516</v>
      </c>
      <c r="M107" s="26" t="s">
        <v>205</v>
      </c>
      <c r="N107" s="26">
        <v>639.39681303841667</v>
      </c>
      <c r="O107" s="93">
        <f t="shared" si="11"/>
        <v>969325.56856623967</v>
      </c>
      <c r="P107" s="95">
        <f t="shared" si="12"/>
        <v>122415.8090988132</v>
      </c>
      <c r="Q107" s="197">
        <v>1</v>
      </c>
    </row>
    <row r="108" spans="1:17" x14ac:dyDescent="0.25">
      <c r="A108">
        <v>1977</v>
      </c>
      <c r="B108" t="s">
        <v>183</v>
      </c>
      <c r="C108" s="199">
        <v>36886</v>
      </c>
      <c r="D108" s="112" t="s">
        <v>264</v>
      </c>
      <c r="E108" s="33">
        <v>28306</v>
      </c>
      <c r="F108" s="90" t="str">
        <f t="shared" si="13"/>
        <v>Date check - OK</v>
      </c>
      <c r="H108" s="116"/>
      <c r="I108" s="26"/>
      <c r="J108" s="98">
        <f t="shared" si="14"/>
        <v>0.12628967301448812</v>
      </c>
      <c r="K108" s="36"/>
      <c r="L108" s="26">
        <v>51</v>
      </c>
      <c r="M108" s="26" t="s">
        <v>205</v>
      </c>
      <c r="N108" s="26">
        <v>751.94370104772986</v>
      </c>
      <c r="O108" s="93">
        <f t="shared" si="11"/>
        <v>38349.128753434226</v>
      </c>
      <c r="P108" s="95">
        <f t="shared" si="12"/>
        <v>4843.098930661713</v>
      </c>
      <c r="Q108" s="197">
        <v>1</v>
      </c>
    </row>
    <row r="109" spans="1:17" x14ac:dyDescent="0.25">
      <c r="A109">
        <v>1978</v>
      </c>
      <c r="B109" t="s">
        <v>183</v>
      </c>
      <c r="C109" s="199">
        <v>37030</v>
      </c>
      <c r="D109" s="112" t="s">
        <v>239</v>
      </c>
      <c r="E109" s="33">
        <v>28671</v>
      </c>
      <c r="F109" s="90" t="str">
        <f t="shared" si="13"/>
        <v>Date check - OK</v>
      </c>
      <c r="H109" s="116"/>
      <c r="I109" s="26"/>
      <c r="J109" s="98">
        <f t="shared" si="14"/>
        <v>0.12628967301448812</v>
      </c>
      <c r="K109" s="36"/>
      <c r="L109" s="26">
        <v>48</v>
      </c>
      <c r="M109" s="26" t="s">
        <v>205</v>
      </c>
      <c r="N109" s="26">
        <v>833.49941699650753</v>
      </c>
      <c r="O109" s="93">
        <f t="shared" si="11"/>
        <v>40007.972015832362</v>
      </c>
      <c r="P109" s="95">
        <f t="shared" si="12"/>
        <v>5052.5937038522607</v>
      </c>
      <c r="Q109" s="197">
        <v>1</v>
      </c>
    </row>
    <row r="110" spans="1:17" x14ac:dyDescent="0.25">
      <c r="A110">
        <v>1978</v>
      </c>
      <c r="B110" t="s">
        <v>183</v>
      </c>
      <c r="C110" s="199">
        <v>37030</v>
      </c>
      <c r="D110" s="112" t="s">
        <v>239</v>
      </c>
      <c r="E110" s="33">
        <v>28671</v>
      </c>
      <c r="F110" s="90" t="str">
        <f t="shared" si="13"/>
        <v>Date check - OK</v>
      </c>
      <c r="H110" s="116"/>
      <c r="I110" s="26"/>
      <c r="J110" s="98">
        <f t="shared" si="14"/>
        <v>0.12628967301448812</v>
      </c>
      <c r="K110" s="36"/>
      <c r="L110" s="26">
        <v>457</v>
      </c>
      <c r="M110" s="26" t="s">
        <v>205</v>
      </c>
      <c r="N110" s="26">
        <v>520.32546775320145</v>
      </c>
      <c r="O110" s="93">
        <f t="shared" si="11"/>
        <v>237788.73876321307</v>
      </c>
      <c r="P110" s="95">
        <f t="shared" si="12"/>
        <v>30030.262064933715</v>
      </c>
      <c r="Q110" s="197">
        <v>1</v>
      </c>
    </row>
    <row r="111" spans="1:17" x14ac:dyDescent="0.25">
      <c r="A111">
        <v>1978</v>
      </c>
      <c r="B111" t="s">
        <v>183</v>
      </c>
      <c r="C111" s="199">
        <v>37030</v>
      </c>
      <c r="D111" s="112" t="s">
        <v>239</v>
      </c>
      <c r="E111" s="33">
        <v>28671</v>
      </c>
      <c r="F111" s="90" t="str">
        <f t="shared" si="13"/>
        <v>Date check - OK</v>
      </c>
      <c r="H111" s="116"/>
      <c r="I111" s="26"/>
      <c r="J111" s="98">
        <f t="shared" si="14"/>
        <v>0.12628967301448812</v>
      </c>
      <c r="K111" s="36"/>
      <c r="L111" s="26">
        <v>214</v>
      </c>
      <c r="M111" s="26" t="s">
        <v>205</v>
      </c>
      <c r="N111" s="26">
        <v>494.22763864959256</v>
      </c>
      <c r="O111" s="93">
        <f t="shared" si="11"/>
        <v>105764.71467101281</v>
      </c>
      <c r="P111" s="95">
        <f t="shared" si="12"/>
        <v>13356.991232272843</v>
      </c>
      <c r="Q111" s="197">
        <v>1</v>
      </c>
    </row>
    <row r="112" spans="1:17" x14ac:dyDescent="0.25">
      <c r="A112">
        <v>1978</v>
      </c>
      <c r="B112" t="s">
        <v>183</v>
      </c>
      <c r="C112" s="199">
        <v>48004</v>
      </c>
      <c r="D112" s="112" t="s">
        <v>265</v>
      </c>
      <c r="E112" s="33">
        <v>28671</v>
      </c>
      <c r="F112" s="90" t="str">
        <f t="shared" si="13"/>
        <v>Date check - OK</v>
      </c>
      <c r="H112" s="116"/>
      <c r="I112" s="26"/>
      <c r="J112" s="98">
        <f t="shared" si="14"/>
        <v>0.12628967301448812</v>
      </c>
      <c r="K112" s="36"/>
      <c r="L112" s="26">
        <v>228</v>
      </c>
      <c r="M112" s="26" t="s">
        <v>205</v>
      </c>
      <c r="N112" s="26">
        <v>494.22763864959256</v>
      </c>
      <c r="O112" s="93">
        <f t="shared" si="11"/>
        <v>112683.9016121071</v>
      </c>
      <c r="P112" s="95">
        <f t="shared" si="12"/>
        <v>14230.813088589757</v>
      </c>
      <c r="Q112" s="197">
        <v>1</v>
      </c>
    </row>
    <row r="113" spans="1:17" x14ac:dyDescent="0.25">
      <c r="A113">
        <v>1980</v>
      </c>
      <c r="B113" t="s">
        <v>183</v>
      </c>
      <c r="C113" s="199">
        <v>36887</v>
      </c>
      <c r="D113" s="112" t="s">
        <v>240</v>
      </c>
      <c r="E113" s="33">
        <v>29402</v>
      </c>
      <c r="F113" s="90" t="str">
        <f t="shared" si="13"/>
        <v>Date check - OK</v>
      </c>
      <c r="H113" s="116"/>
      <c r="I113" s="26"/>
      <c r="J113" s="98">
        <f t="shared" si="14"/>
        <v>0.12628967301448812</v>
      </c>
      <c r="K113" s="36"/>
      <c r="L113" s="26">
        <v>60</v>
      </c>
      <c r="M113" s="26" t="s">
        <v>205</v>
      </c>
      <c r="N113" s="26">
        <v>1764.8656931315481</v>
      </c>
      <c r="O113" s="93">
        <f t="shared" si="11"/>
        <v>105891.94158789288</v>
      </c>
      <c r="P113" s="95">
        <f t="shared" si="12"/>
        <v>13373.058678004269</v>
      </c>
      <c r="Q113" s="197">
        <v>1</v>
      </c>
    </row>
    <row r="114" spans="1:17" x14ac:dyDescent="0.25">
      <c r="A114">
        <v>1980</v>
      </c>
      <c r="B114" t="s">
        <v>183</v>
      </c>
      <c r="C114" s="199">
        <v>36973</v>
      </c>
      <c r="D114" s="112" t="s">
        <v>241</v>
      </c>
      <c r="E114" s="33">
        <v>29402</v>
      </c>
      <c r="F114" s="90" t="str">
        <f t="shared" si="13"/>
        <v>Date check - OK</v>
      </c>
      <c r="H114" s="116"/>
      <c r="I114" s="26"/>
      <c r="J114" s="98">
        <f t="shared" si="14"/>
        <v>0.12628967301448812</v>
      </c>
      <c r="K114" s="36"/>
      <c r="L114" s="26">
        <v>102.62</v>
      </c>
      <c r="M114" s="26" t="s">
        <v>205</v>
      </c>
      <c r="N114" s="26">
        <v>946.04630500582073</v>
      </c>
      <c r="O114" s="93">
        <f t="shared" si="11"/>
        <v>97083.271819697329</v>
      </c>
      <c r="P114" s="95">
        <f t="shared" si="12"/>
        <v>12260.614653286246</v>
      </c>
      <c r="Q114" s="197">
        <v>1</v>
      </c>
    </row>
    <row r="115" spans="1:17" x14ac:dyDescent="0.25">
      <c r="A115">
        <v>1980</v>
      </c>
      <c r="B115" t="s">
        <v>183</v>
      </c>
      <c r="C115" s="199">
        <v>59741</v>
      </c>
      <c r="D115" s="112" t="s">
        <v>237</v>
      </c>
      <c r="E115" s="33">
        <v>29402</v>
      </c>
      <c r="F115" s="90" t="str">
        <f t="shared" si="13"/>
        <v>Date check - OK</v>
      </c>
      <c r="H115" s="116"/>
      <c r="I115" s="26"/>
      <c r="J115" s="98">
        <f t="shared" si="14"/>
        <v>0.12628967301448812</v>
      </c>
      <c r="K115" s="36"/>
      <c r="L115" s="26">
        <v>464</v>
      </c>
      <c r="M115" s="26" t="s">
        <v>205</v>
      </c>
      <c r="N115" s="26">
        <v>567.62778300349237</v>
      </c>
      <c r="O115" s="93">
        <f t="shared" si="11"/>
        <v>263379.29131362046</v>
      </c>
      <c r="P115" s="95">
        <f t="shared" si="12"/>
        <v>33262.084578784743</v>
      </c>
      <c r="Q115" s="197">
        <v>1</v>
      </c>
    </row>
    <row r="116" spans="1:17" x14ac:dyDescent="0.25">
      <c r="A116">
        <v>1981</v>
      </c>
      <c r="B116" t="s">
        <v>183</v>
      </c>
      <c r="C116" s="199">
        <v>37209</v>
      </c>
      <c r="D116" s="112" t="s">
        <v>266</v>
      </c>
      <c r="E116" s="33">
        <v>29767</v>
      </c>
      <c r="F116" s="90" t="str">
        <f t="shared" si="13"/>
        <v>Date check - OK</v>
      </c>
      <c r="H116" s="116"/>
      <c r="I116" s="26"/>
      <c r="J116" s="98">
        <f t="shared" si="14"/>
        <v>0.12628967301448812</v>
      </c>
      <c r="K116" s="36"/>
      <c r="L116" s="26">
        <v>1605</v>
      </c>
      <c r="M116" s="26" t="s">
        <v>205</v>
      </c>
      <c r="N116" s="26">
        <v>494.22763864959256</v>
      </c>
      <c r="O116" s="93">
        <f t="shared" si="11"/>
        <v>793235.36003259604</v>
      </c>
      <c r="P116" s="95">
        <f t="shared" si="12"/>
        <v>100177.43424204632</v>
      </c>
      <c r="Q116" s="197">
        <v>1</v>
      </c>
    </row>
    <row r="117" spans="1:17" x14ac:dyDescent="0.25">
      <c r="A117">
        <v>1982</v>
      </c>
      <c r="B117" t="s">
        <v>183</v>
      </c>
      <c r="C117" s="199">
        <v>37209</v>
      </c>
      <c r="D117" s="112" t="s">
        <v>266</v>
      </c>
      <c r="E117" s="33">
        <v>30132</v>
      </c>
      <c r="F117" s="90" t="str">
        <f t="shared" si="13"/>
        <v>Date check - OK</v>
      </c>
      <c r="H117" s="116"/>
      <c r="I117" s="26"/>
      <c r="J117" s="98">
        <f t="shared" si="14"/>
        <v>0.12628967301448812</v>
      </c>
      <c r="K117" s="36"/>
      <c r="L117" s="26">
        <v>1605.79</v>
      </c>
      <c r="M117" s="26" t="s">
        <v>205</v>
      </c>
      <c r="N117" s="26">
        <v>494.22763864959256</v>
      </c>
      <c r="O117" s="93">
        <f t="shared" si="11"/>
        <v>793625.79986712919</v>
      </c>
      <c r="P117" s="95">
        <f t="shared" si="12"/>
        <v>100226.74276108133</v>
      </c>
      <c r="Q117" s="197">
        <v>1</v>
      </c>
    </row>
    <row r="118" spans="1:17" x14ac:dyDescent="0.25">
      <c r="A118">
        <v>1983</v>
      </c>
      <c r="B118" t="s">
        <v>183</v>
      </c>
      <c r="C118" s="199">
        <v>37262</v>
      </c>
      <c r="D118" s="112" t="s">
        <v>267</v>
      </c>
      <c r="E118" s="33">
        <v>30497</v>
      </c>
      <c r="F118" s="90" t="str">
        <f t="shared" si="13"/>
        <v>Date check - OK</v>
      </c>
      <c r="H118" s="116"/>
      <c r="I118" s="26"/>
      <c r="J118" s="98">
        <f t="shared" si="14"/>
        <v>0.12628967301448812</v>
      </c>
      <c r="K118" s="36"/>
      <c r="L118" s="26">
        <v>38</v>
      </c>
      <c r="M118" s="26" t="s">
        <v>205</v>
      </c>
      <c r="N118" s="26">
        <v>1578.9186607683353</v>
      </c>
      <c r="O118" s="93">
        <f t="shared" si="11"/>
        <v>59998.909109196742</v>
      </c>
      <c r="P118" s="95">
        <f t="shared" si="12"/>
        <v>7577.242612626449</v>
      </c>
      <c r="Q118" s="197">
        <v>1</v>
      </c>
    </row>
    <row r="119" spans="1:17" x14ac:dyDescent="0.25">
      <c r="A119">
        <v>1983</v>
      </c>
      <c r="B119" t="s">
        <v>183</v>
      </c>
      <c r="C119" s="199">
        <v>37262</v>
      </c>
      <c r="D119" s="112" t="s">
        <v>267</v>
      </c>
      <c r="E119" s="33">
        <v>30497</v>
      </c>
      <c r="F119" s="90" t="str">
        <f t="shared" si="13"/>
        <v>Date check - OK</v>
      </c>
      <c r="H119" s="116"/>
      <c r="I119" s="26"/>
      <c r="J119" s="98">
        <f t="shared" si="14"/>
        <v>0.12628967301448812</v>
      </c>
      <c r="K119" s="36"/>
      <c r="L119" s="26">
        <v>38</v>
      </c>
      <c r="M119" s="26" t="s">
        <v>205</v>
      </c>
      <c r="N119" s="26">
        <v>1666.9988339930151</v>
      </c>
      <c r="O119" s="93">
        <f t="shared" si="11"/>
        <v>63345.955691734576</v>
      </c>
      <c r="P119" s="95">
        <f t="shared" si="12"/>
        <v>7999.9400310994124</v>
      </c>
      <c r="Q119" s="197">
        <v>1</v>
      </c>
    </row>
    <row r="120" spans="1:17" x14ac:dyDescent="0.25">
      <c r="A120">
        <v>1983</v>
      </c>
      <c r="B120" t="s">
        <v>183</v>
      </c>
      <c r="C120" s="199">
        <v>37262</v>
      </c>
      <c r="D120" s="112" t="s">
        <v>267</v>
      </c>
      <c r="E120" s="33">
        <v>30497</v>
      </c>
      <c r="F120" s="90" t="str">
        <f t="shared" si="13"/>
        <v>Date check - OK</v>
      </c>
      <c r="H120" s="116"/>
      <c r="I120" s="26"/>
      <c r="J120" s="98">
        <f t="shared" si="14"/>
        <v>0.12628967301448812</v>
      </c>
      <c r="K120" s="36"/>
      <c r="L120" s="26">
        <v>11</v>
      </c>
      <c r="M120" s="26" t="s">
        <v>205</v>
      </c>
      <c r="N120" s="26">
        <v>639.39681303841667</v>
      </c>
      <c r="O120" s="93">
        <f t="shared" si="11"/>
        <v>7033.3649434225836</v>
      </c>
      <c r="P120" s="95">
        <f t="shared" si="12"/>
        <v>888.24135889640183</v>
      </c>
      <c r="Q120" s="197">
        <v>1</v>
      </c>
    </row>
    <row r="121" spans="1:17" x14ac:dyDescent="0.25">
      <c r="A121">
        <v>1984</v>
      </c>
      <c r="B121" t="s">
        <v>183</v>
      </c>
      <c r="C121" s="199">
        <v>37262</v>
      </c>
      <c r="D121" s="112" t="s">
        <v>267</v>
      </c>
      <c r="E121" s="33">
        <v>30863</v>
      </c>
      <c r="F121" s="90" t="str">
        <f t="shared" si="13"/>
        <v>Date check - OK</v>
      </c>
      <c r="H121" s="116"/>
      <c r="I121" s="26"/>
      <c r="J121" s="98">
        <f t="shared" si="14"/>
        <v>0.12628967301448812</v>
      </c>
      <c r="K121" s="36"/>
      <c r="L121" s="26">
        <v>47</v>
      </c>
      <c r="M121" s="26" t="s">
        <v>205</v>
      </c>
      <c r="N121" s="26">
        <v>1224.9668535506403</v>
      </c>
      <c r="O121" s="93">
        <f t="shared" si="11"/>
        <v>57573.442116880091</v>
      </c>
      <c r="P121" s="95">
        <f t="shared" si="12"/>
        <v>7270.9311792593453</v>
      </c>
      <c r="Q121" s="197">
        <v>1</v>
      </c>
    </row>
    <row r="122" spans="1:17" x14ac:dyDescent="0.25">
      <c r="A122">
        <v>1986</v>
      </c>
      <c r="B122" t="s">
        <v>183</v>
      </c>
      <c r="C122" s="199">
        <v>37361</v>
      </c>
      <c r="D122" s="112" t="s">
        <v>268</v>
      </c>
      <c r="E122" s="33">
        <v>31593</v>
      </c>
      <c r="F122" s="90" t="str">
        <f t="shared" si="13"/>
        <v>Date check - OK</v>
      </c>
      <c r="H122" s="116"/>
      <c r="I122" s="26"/>
      <c r="J122" s="98">
        <f t="shared" si="14"/>
        <v>0.12628967301448812</v>
      </c>
      <c r="K122" s="36"/>
      <c r="L122" s="26">
        <v>10</v>
      </c>
      <c r="M122" s="26" t="s">
        <v>205</v>
      </c>
      <c r="N122" s="26">
        <v>2296.6089611175785</v>
      </c>
      <c r="O122" s="93">
        <f t="shared" si="11"/>
        <v>22966.089611175783</v>
      </c>
      <c r="P122" s="95">
        <f t="shared" si="12"/>
        <v>2900.3799474168222</v>
      </c>
      <c r="Q122" s="197">
        <v>1</v>
      </c>
    </row>
    <row r="123" spans="1:17" x14ac:dyDescent="0.25">
      <c r="A123">
        <v>1986</v>
      </c>
      <c r="B123" t="s">
        <v>183</v>
      </c>
      <c r="C123" s="199">
        <v>37361</v>
      </c>
      <c r="D123" s="112" t="s">
        <v>268</v>
      </c>
      <c r="E123" s="33">
        <v>31593</v>
      </c>
      <c r="F123" s="90" t="str">
        <f t="shared" si="13"/>
        <v>Date check - OK</v>
      </c>
      <c r="H123" s="116"/>
      <c r="I123" s="26"/>
      <c r="J123" s="98">
        <f t="shared" si="14"/>
        <v>0.12628967301448812</v>
      </c>
      <c r="K123" s="36"/>
      <c r="L123" s="26">
        <v>906</v>
      </c>
      <c r="M123" s="26" t="s">
        <v>205</v>
      </c>
      <c r="N123" s="26">
        <v>1578.9186607683353</v>
      </c>
      <c r="O123" s="93">
        <f t="shared" ref="O123:O151" si="15">IF(N123="","-",L123*N123)</f>
        <v>1430500.3066561117</v>
      </c>
      <c r="P123" s="95">
        <f t="shared" ref="P123:P151" si="16">IF(O123="-","-",IF(OR(E123&lt;$E$15,E123&gt;$E$16),0,O123*J123))*Q123</f>
        <v>180657.41597472533</v>
      </c>
      <c r="Q123" s="197">
        <v>1</v>
      </c>
    </row>
    <row r="124" spans="1:17" x14ac:dyDescent="0.25">
      <c r="A124">
        <v>1986</v>
      </c>
      <c r="B124" t="s">
        <v>183</v>
      </c>
      <c r="C124" s="199">
        <v>37361</v>
      </c>
      <c r="D124" s="112" t="s">
        <v>268</v>
      </c>
      <c r="E124" s="33">
        <v>31593</v>
      </c>
      <c r="F124" s="90" t="str">
        <f t="shared" si="13"/>
        <v>Date check - OK</v>
      </c>
      <c r="H124" s="116"/>
      <c r="I124" s="26"/>
      <c r="J124" s="98">
        <f t="shared" si="14"/>
        <v>0.12628967301448812</v>
      </c>
      <c r="K124" s="36"/>
      <c r="L124" s="26">
        <v>407</v>
      </c>
      <c r="M124" s="26" t="s">
        <v>205</v>
      </c>
      <c r="N124" s="26">
        <v>1177.6645383003492</v>
      </c>
      <c r="O124" s="93">
        <f t="shared" si="15"/>
        <v>479309.46708824212</v>
      </c>
      <c r="P124" s="95">
        <f t="shared" si="16"/>
        <v>60531.835871322655</v>
      </c>
      <c r="Q124" s="197">
        <v>1</v>
      </c>
    </row>
    <row r="125" spans="1:17" x14ac:dyDescent="0.25">
      <c r="A125">
        <v>1986</v>
      </c>
      <c r="B125" t="s">
        <v>183</v>
      </c>
      <c r="C125" s="199">
        <v>37361</v>
      </c>
      <c r="D125" s="112" t="s">
        <v>268</v>
      </c>
      <c r="E125" s="33">
        <v>31593</v>
      </c>
      <c r="F125" s="90" t="str">
        <f t="shared" si="13"/>
        <v>Date check - OK</v>
      </c>
      <c r="H125" s="116"/>
      <c r="I125" s="26"/>
      <c r="J125" s="98">
        <f t="shared" si="14"/>
        <v>0.12628967301448812</v>
      </c>
      <c r="K125" s="36"/>
      <c r="L125" s="26">
        <v>61</v>
      </c>
      <c r="M125" s="26" t="s">
        <v>205</v>
      </c>
      <c r="N125" s="26">
        <v>946.04630500582073</v>
      </c>
      <c r="O125" s="93">
        <f t="shared" si="15"/>
        <v>57708.824605355061</v>
      </c>
      <c r="P125" s="95">
        <f t="shared" si="16"/>
        <v>7288.0285894607377</v>
      </c>
      <c r="Q125" s="197">
        <v>1</v>
      </c>
    </row>
    <row r="126" spans="1:17" x14ac:dyDescent="0.25">
      <c r="A126">
        <v>1987</v>
      </c>
      <c r="B126" t="s">
        <v>183</v>
      </c>
      <c r="C126" s="199">
        <v>300174</v>
      </c>
      <c r="D126" s="112" t="s">
        <v>269</v>
      </c>
      <c r="E126" s="33">
        <v>31958</v>
      </c>
      <c r="F126" s="90" t="str">
        <f t="shared" si="13"/>
        <v>Date check - OK</v>
      </c>
      <c r="H126" s="116"/>
      <c r="I126" s="26"/>
      <c r="J126" s="98">
        <f t="shared" si="14"/>
        <v>0.12628967301448812</v>
      </c>
      <c r="K126" s="36"/>
      <c r="L126" s="26">
        <v>450</v>
      </c>
      <c r="M126" s="26" t="s">
        <v>205</v>
      </c>
      <c r="N126" s="26">
        <v>494.22763864959256</v>
      </c>
      <c r="O126" s="93">
        <f t="shared" si="15"/>
        <v>222402.43739231664</v>
      </c>
      <c r="P126" s="95">
        <f t="shared" si="16"/>
        <v>28087.131095900837</v>
      </c>
      <c r="Q126" s="197">
        <v>1</v>
      </c>
    </row>
    <row r="127" spans="1:17" x14ac:dyDescent="0.25">
      <c r="A127">
        <v>1989</v>
      </c>
      <c r="B127" t="s">
        <v>183</v>
      </c>
      <c r="C127" s="199">
        <v>301106</v>
      </c>
      <c r="D127" s="112" t="s">
        <v>270</v>
      </c>
      <c r="E127" s="33">
        <v>32689</v>
      </c>
      <c r="F127" s="90" t="str">
        <f t="shared" si="13"/>
        <v>Date check - OK</v>
      </c>
      <c r="H127" s="116"/>
      <c r="I127" s="26"/>
      <c r="J127" s="98">
        <f t="shared" si="14"/>
        <v>0.12628967301448812</v>
      </c>
      <c r="K127" s="36"/>
      <c r="L127" s="26">
        <v>573.84</v>
      </c>
      <c r="M127" s="26" t="s">
        <v>205</v>
      </c>
      <c r="N127" s="26">
        <v>1008.0286491268917</v>
      </c>
      <c r="O127" s="93">
        <f t="shared" si="15"/>
        <v>578447.16001497558</v>
      </c>
      <c r="P127" s="95">
        <f t="shared" si="16"/>
        <v>73051.90269445056</v>
      </c>
      <c r="Q127" s="197">
        <v>1</v>
      </c>
    </row>
    <row r="128" spans="1:17" x14ac:dyDescent="0.25">
      <c r="A128">
        <v>1989</v>
      </c>
      <c r="B128" t="s">
        <v>183</v>
      </c>
      <c r="C128" s="199">
        <v>301106</v>
      </c>
      <c r="D128" s="112" t="s">
        <v>270</v>
      </c>
      <c r="E128" s="33">
        <v>32689</v>
      </c>
      <c r="F128" s="90" t="str">
        <f t="shared" si="13"/>
        <v>Date check - OK</v>
      </c>
      <c r="H128" s="116"/>
      <c r="I128" s="26"/>
      <c r="J128" s="98">
        <f t="shared" si="14"/>
        <v>0.12628967301448812</v>
      </c>
      <c r="K128" s="36"/>
      <c r="L128" s="26">
        <v>603.66</v>
      </c>
      <c r="M128" s="26" t="s">
        <v>205</v>
      </c>
      <c r="N128" s="26">
        <v>950.93964796274736</v>
      </c>
      <c r="O128" s="93">
        <f t="shared" si="15"/>
        <v>574044.22788919206</v>
      </c>
      <c r="P128" s="95">
        <f t="shared" si="16"/>
        <v>72495.857835980365</v>
      </c>
      <c r="Q128" s="197">
        <v>1</v>
      </c>
    </row>
    <row r="129" spans="1:17" x14ac:dyDescent="0.25">
      <c r="A129">
        <v>1989</v>
      </c>
      <c r="B129" t="s">
        <v>183</v>
      </c>
      <c r="C129" s="199">
        <v>301642</v>
      </c>
      <c r="D129" s="112" t="s">
        <v>237</v>
      </c>
      <c r="E129" s="33">
        <v>32689</v>
      </c>
      <c r="F129" s="90" t="str">
        <f t="shared" si="13"/>
        <v>Date check - OK</v>
      </c>
      <c r="H129" s="116"/>
      <c r="I129" s="26"/>
      <c r="J129" s="98">
        <f t="shared" si="14"/>
        <v>0.12628967301448812</v>
      </c>
      <c r="K129" s="36"/>
      <c r="L129" s="26">
        <v>213</v>
      </c>
      <c r="M129" s="26" t="s">
        <v>205</v>
      </c>
      <c r="N129" s="26">
        <v>624.71678416763677</v>
      </c>
      <c r="O129" s="93">
        <f t="shared" si="15"/>
        <v>133064.67502770663</v>
      </c>
      <c r="P129" s="95">
        <f t="shared" si="16"/>
        <v>16804.694299028193</v>
      </c>
      <c r="Q129" s="197">
        <v>1</v>
      </c>
    </row>
    <row r="130" spans="1:17" x14ac:dyDescent="0.25">
      <c r="A130">
        <v>1989</v>
      </c>
      <c r="B130" t="s">
        <v>183</v>
      </c>
      <c r="C130" s="199">
        <v>303002</v>
      </c>
      <c r="D130" s="112" t="s">
        <v>271</v>
      </c>
      <c r="E130" s="33">
        <v>32689</v>
      </c>
      <c r="F130" s="90" t="str">
        <f t="shared" si="13"/>
        <v>Date check - OK</v>
      </c>
      <c r="H130" s="116"/>
      <c r="I130" s="26"/>
      <c r="J130" s="98">
        <f t="shared" si="14"/>
        <v>0.12628967301448812</v>
      </c>
      <c r="K130" s="36"/>
      <c r="L130" s="26">
        <v>23</v>
      </c>
      <c r="M130" s="26" t="s">
        <v>205</v>
      </c>
      <c r="N130" s="26">
        <v>624.71678416763677</v>
      </c>
      <c r="O130" s="93">
        <f t="shared" si="15"/>
        <v>14368.486035855645</v>
      </c>
      <c r="P130" s="95">
        <f t="shared" si="16"/>
        <v>1814.5914031814482</v>
      </c>
      <c r="Q130" s="197">
        <v>1</v>
      </c>
    </row>
    <row r="131" spans="1:17" x14ac:dyDescent="0.25">
      <c r="A131">
        <v>1989</v>
      </c>
      <c r="B131" t="s">
        <v>183</v>
      </c>
      <c r="C131" s="199">
        <v>301106</v>
      </c>
      <c r="D131" s="112" t="s">
        <v>270</v>
      </c>
      <c r="E131" s="33">
        <v>32689</v>
      </c>
      <c r="F131" s="90" t="str">
        <f t="shared" si="13"/>
        <v>Date check - OK</v>
      </c>
      <c r="H131" s="116"/>
      <c r="I131" s="26"/>
      <c r="J131" s="98">
        <f t="shared" si="14"/>
        <v>0.12628967301448812</v>
      </c>
      <c r="K131" s="36"/>
      <c r="L131" s="26">
        <v>1159</v>
      </c>
      <c r="M131" s="26" t="s">
        <v>205</v>
      </c>
      <c r="N131" s="26">
        <v>5653.4422295692666</v>
      </c>
      <c r="O131" s="93">
        <f t="shared" si="15"/>
        <v>6552339.5440707803</v>
      </c>
      <c r="P131" s="95">
        <f t="shared" si="16"/>
        <v>330997.12740023964</v>
      </c>
      <c r="Q131" s="197">
        <v>0.4</v>
      </c>
    </row>
    <row r="132" spans="1:17" x14ac:dyDescent="0.25">
      <c r="A132">
        <v>1991</v>
      </c>
      <c r="B132" t="s">
        <v>183</v>
      </c>
      <c r="C132" s="199">
        <v>303001</v>
      </c>
      <c r="D132" s="112" t="s">
        <v>272</v>
      </c>
      <c r="E132" s="33">
        <v>33419</v>
      </c>
      <c r="F132" s="90" t="str">
        <f t="shared" si="13"/>
        <v>Date check - OK</v>
      </c>
      <c r="H132" s="116"/>
      <c r="I132" s="26"/>
      <c r="J132" s="98">
        <f t="shared" si="14"/>
        <v>0.12628967301448812</v>
      </c>
      <c r="K132" s="36"/>
      <c r="L132" s="26">
        <v>286</v>
      </c>
      <c r="M132" s="26" t="s">
        <v>205</v>
      </c>
      <c r="N132" s="26">
        <v>494.22763864959256</v>
      </c>
      <c r="O132" s="93">
        <f t="shared" si="15"/>
        <v>141349.10465378346</v>
      </c>
      <c r="P132" s="95">
        <f t="shared" si="16"/>
        <v>17850.932207616974</v>
      </c>
      <c r="Q132" s="197">
        <v>1</v>
      </c>
    </row>
    <row r="133" spans="1:17" x14ac:dyDescent="0.25">
      <c r="A133">
        <v>1993</v>
      </c>
      <c r="B133" t="s">
        <v>183</v>
      </c>
      <c r="C133" s="199">
        <v>300173</v>
      </c>
      <c r="D133" s="112" t="s">
        <v>242</v>
      </c>
      <c r="E133" s="33">
        <v>34150</v>
      </c>
      <c r="F133" s="90" t="str">
        <f t="shared" si="13"/>
        <v>Date check - OK</v>
      </c>
      <c r="H133" s="116"/>
      <c r="I133" s="26"/>
      <c r="J133" s="98">
        <f t="shared" si="14"/>
        <v>0.12628967301448812</v>
      </c>
      <c r="K133" s="36"/>
      <c r="L133" s="26">
        <v>19</v>
      </c>
      <c r="M133" s="26" t="s">
        <v>205</v>
      </c>
      <c r="N133" s="26">
        <v>1578.9186607683353</v>
      </c>
      <c r="O133" s="93">
        <f t="shared" si="15"/>
        <v>29999.454554598371</v>
      </c>
      <c r="P133" s="95">
        <f t="shared" si="16"/>
        <v>3788.6213063132245</v>
      </c>
      <c r="Q133" s="197">
        <v>1</v>
      </c>
    </row>
    <row r="134" spans="1:17" x14ac:dyDescent="0.25">
      <c r="A134">
        <v>1993</v>
      </c>
      <c r="B134" t="s">
        <v>183</v>
      </c>
      <c r="C134" s="199">
        <v>300173</v>
      </c>
      <c r="D134" s="112" t="s">
        <v>242</v>
      </c>
      <c r="E134" s="33">
        <v>34150</v>
      </c>
      <c r="F134" s="90" t="str">
        <f t="shared" si="13"/>
        <v>Date check - OK</v>
      </c>
      <c r="H134" s="116"/>
      <c r="I134" s="26"/>
      <c r="J134" s="98">
        <f t="shared" si="14"/>
        <v>0.12628967301448812</v>
      </c>
      <c r="K134" s="36"/>
      <c r="L134" s="26">
        <v>264</v>
      </c>
      <c r="M134" s="26" t="s">
        <v>205</v>
      </c>
      <c r="N134" s="26">
        <v>1074.9043362048894</v>
      </c>
      <c r="O134" s="93">
        <f t="shared" si="15"/>
        <v>283774.74475809082</v>
      </c>
      <c r="P134" s="95">
        <f t="shared" si="16"/>
        <v>35837.819725269117</v>
      </c>
      <c r="Q134" s="197">
        <v>1</v>
      </c>
    </row>
    <row r="135" spans="1:17" x14ac:dyDescent="0.25">
      <c r="A135">
        <v>1993</v>
      </c>
      <c r="B135" t="s">
        <v>183</v>
      </c>
      <c r="C135" s="199">
        <v>300173</v>
      </c>
      <c r="D135" s="112" t="s">
        <v>242</v>
      </c>
      <c r="E135" s="33">
        <v>34150</v>
      </c>
      <c r="F135" s="90" t="str">
        <f t="shared" si="13"/>
        <v>Date check - OK</v>
      </c>
      <c r="H135" s="116"/>
      <c r="I135" s="26"/>
      <c r="J135" s="98">
        <f t="shared" si="14"/>
        <v>0.12628967301448812</v>
      </c>
      <c r="K135" s="36"/>
      <c r="L135" s="26">
        <v>257</v>
      </c>
      <c r="M135" s="26" t="s">
        <v>205</v>
      </c>
      <c r="N135" s="26">
        <v>833.49941699650753</v>
      </c>
      <c r="O135" s="93">
        <f t="shared" si="15"/>
        <v>214209.35016810245</v>
      </c>
      <c r="P135" s="95">
        <f t="shared" si="16"/>
        <v>27052.428789375645</v>
      </c>
      <c r="Q135" s="197">
        <v>1</v>
      </c>
    </row>
    <row r="136" spans="1:17" x14ac:dyDescent="0.25">
      <c r="A136">
        <v>1993</v>
      </c>
      <c r="B136" t="s">
        <v>183</v>
      </c>
      <c r="C136" s="199">
        <v>303173</v>
      </c>
      <c r="D136" s="112" t="s">
        <v>273</v>
      </c>
      <c r="E136" s="33">
        <v>34150</v>
      </c>
      <c r="F136" s="90" t="str">
        <f t="shared" si="13"/>
        <v>Date check - OK</v>
      </c>
      <c r="H136" s="116"/>
      <c r="I136" s="26"/>
      <c r="J136" s="98">
        <f t="shared" si="14"/>
        <v>0.12628967301448812</v>
      </c>
      <c r="K136" s="36"/>
      <c r="L136" s="26">
        <v>363.94</v>
      </c>
      <c r="M136" s="26" t="s">
        <v>205</v>
      </c>
      <c r="N136" s="26">
        <v>1024.3397923166472</v>
      </c>
      <c r="O136" s="93">
        <f t="shared" si="15"/>
        <v>372798.22401572054</v>
      </c>
      <c r="P136" s="95">
        <f t="shared" si="16"/>
        <v>47080.565811327244</v>
      </c>
      <c r="Q136" s="197">
        <v>1</v>
      </c>
    </row>
    <row r="137" spans="1:17" x14ac:dyDescent="0.25">
      <c r="C137" s="199"/>
      <c r="D137" s="112"/>
      <c r="E137" s="33"/>
      <c r="F137" s="90" t="str">
        <f t="shared" si="13"/>
        <v>-</v>
      </c>
      <c r="H137" s="116"/>
      <c r="I137" s="26"/>
      <c r="J137" s="98">
        <f t="shared" si="14"/>
        <v>0.12628967301448812</v>
      </c>
      <c r="K137" s="36"/>
      <c r="L137" s="26"/>
      <c r="M137" s="26"/>
      <c r="N137" s="26"/>
      <c r="O137" s="93"/>
      <c r="P137" s="95"/>
      <c r="Q137" s="197"/>
    </row>
    <row r="138" spans="1:17" x14ac:dyDescent="0.25">
      <c r="A138">
        <v>1975</v>
      </c>
      <c r="B138" t="s">
        <v>184</v>
      </c>
      <c r="C138" s="199">
        <v>36671</v>
      </c>
      <c r="D138" s="112" t="s">
        <v>274</v>
      </c>
      <c r="E138" s="33">
        <v>27575</v>
      </c>
      <c r="F138" s="90" t="str">
        <f t="shared" si="13"/>
        <v>Date check - OK</v>
      </c>
      <c r="H138" s="116"/>
      <c r="I138" s="26"/>
      <c r="J138" s="98">
        <f t="shared" si="14"/>
        <v>0.12628967301448812</v>
      </c>
      <c r="K138" s="36"/>
      <c r="L138" s="26">
        <v>351</v>
      </c>
      <c r="M138" s="26" t="s">
        <v>205</v>
      </c>
      <c r="N138" s="26">
        <v>349.05846426076835</v>
      </c>
      <c r="O138" s="93">
        <f t="shared" si="15"/>
        <v>122519.52095552969</v>
      </c>
      <c r="P138" s="95">
        <f t="shared" si="16"/>
        <v>15472.950239365569</v>
      </c>
      <c r="Q138" s="197">
        <v>1</v>
      </c>
    </row>
    <row r="139" spans="1:17" x14ac:dyDescent="0.25">
      <c r="A139">
        <v>1977</v>
      </c>
      <c r="B139" t="s">
        <v>184</v>
      </c>
      <c r="C139" s="199">
        <v>37032</v>
      </c>
      <c r="D139" s="112" t="s">
        <v>275</v>
      </c>
      <c r="E139" s="33">
        <v>28306</v>
      </c>
      <c r="F139" s="90" t="str">
        <f t="shared" si="13"/>
        <v>Date check - OK</v>
      </c>
      <c r="H139" s="116"/>
      <c r="I139" s="26"/>
      <c r="J139" s="98">
        <f t="shared" si="14"/>
        <v>0.12628967301448812</v>
      </c>
      <c r="K139" s="36"/>
      <c r="L139" s="26">
        <v>1252</v>
      </c>
      <c r="M139" s="26" t="s">
        <v>205</v>
      </c>
      <c r="N139" s="26">
        <v>380.04963632130386</v>
      </c>
      <c r="O139" s="93">
        <f t="shared" si="15"/>
        <v>475822.14467427245</v>
      </c>
      <c r="P139" s="95">
        <f t="shared" si="16"/>
        <v>60091.423063966329</v>
      </c>
      <c r="Q139" s="197">
        <v>1</v>
      </c>
    </row>
    <row r="140" spans="1:17" x14ac:dyDescent="0.25">
      <c r="A140">
        <v>1978</v>
      </c>
      <c r="B140" t="s">
        <v>184</v>
      </c>
      <c r="C140" s="199">
        <v>37029</v>
      </c>
      <c r="D140" s="112" t="s">
        <v>276</v>
      </c>
      <c r="E140" s="33">
        <v>28671</v>
      </c>
      <c r="F140" s="90" t="str">
        <f t="shared" si="13"/>
        <v>Date check - OK</v>
      </c>
      <c r="H140" s="116"/>
      <c r="I140" s="26"/>
      <c r="J140" s="98">
        <f t="shared" si="14"/>
        <v>0.12628967301448812</v>
      </c>
      <c r="K140" s="36"/>
      <c r="L140" s="26">
        <v>1824</v>
      </c>
      <c r="M140" s="26" t="s">
        <v>205</v>
      </c>
      <c r="N140" s="26">
        <v>184.31591804423746</v>
      </c>
      <c r="O140" s="93">
        <f t="shared" si="15"/>
        <v>336192.23451268912</v>
      </c>
      <c r="P140" s="95">
        <f t="shared" si="16"/>
        <v>42457.607366617616</v>
      </c>
      <c r="Q140" s="197">
        <v>1</v>
      </c>
    </row>
    <row r="141" spans="1:17" x14ac:dyDescent="0.25">
      <c r="A141">
        <v>1979</v>
      </c>
      <c r="B141" t="s">
        <v>184</v>
      </c>
      <c r="C141" s="199">
        <v>48199</v>
      </c>
      <c r="D141" s="112" t="s">
        <v>277</v>
      </c>
      <c r="E141" s="33">
        <v>29036</v>
      </c>
      <c r="F141" s="90" t="str">
        <f t="shared" si="13"/>
        <v>Date check - OK</v>
      </c>
      <c r="H141" s="116"/>
      <c r="I141" s="26"/>
      <c r="J141" s="98">
        <f t="shared" si="14"/>
        <v>0.12628967301448812</v>
      </c>
      <c r="K141" s="36"/>
      <c r="L141" s="26">
        <v>190</v>
      </c>
      <c r="M141" s="26" t="s">
        <v>205</v>
      </c>
      <c r="N141" s="26">
        <v>349.05846426076835</v>
      </c>
      <c r="O141" s="93">
        <f t="shared" si="15"/>
        <v>66321.108209545986</v>
      </c>
      <c r="P141" s="95">
        <f t="shared" si="16"/>
        <v>8375.6710697420458</v>
      </c>
      <c r="Q141" s="197">
        <v>1</v>
      </c>
    </row>
    <row r="142" spans="1:17" x14ac:dyDescent="0.25">
      <c r="A142">
        <v>1989</v>
      </c>
      <c r="B142" t="s">
        <v>184</v>
      </c>
      <c r="C142" s="199">
        <v>37362</v>
      </c>
      <c r="D142" s="112" t="s">
        <v>278</v>
      </c>
      <c r="E142" s="33">
        <v>32689</v>
      </c>
      <c r="F142" s="90" t="str">
        <f t="shared" si="13"/>
        <v>Date check - OK</v>
      </c>
      <c r="H142" s="116"/>
      <c r="I142" s="26"/>
      <c r="J142" s="98">
        <f t="shared" si="14"/>
        <v>0.12628967301448812</v>
      </c>
      <c r="K142" s="36"/>
      <c r="L142" s="26">
        <v>160</v>
      </c>
      <c r="M142" s="26" t="s">
        <v>205</v>
      </c>
      <c r="N142" s="26">
        <v>349.05846426076835</v>
      </c>
      <c r="O142" s="93">
        <f t="shared" si="15"/>
        <v>55849.354281722932</v>
      </c>
      <c r="P142" s="95">
        <f t="shared" si="16"/>
        <v>7053.1966903090915</v>
      </c>
      <c r="Q142" s="197">
        <v>1</v>
      </c>
    </row>
    <row r="143" spans="1:17" x14ac:dyDescent="0.25">
      <c r="A143">
        <v>1991</v>
      </c>
      <c r="B143" t="s">
        <v>184</v>
      </c>
      <c r="C143" s="199">
        <v>303000</v>
      </c>
      <c r="D143" s="112" t="s">
        <v>279</v>
      </c>
      <c r="E143" s="33">
        <v>33419</v>
      </c>
      <c r="F143" s="90" t="str">
        <f t="shared" si="13"/>
        <v>Date check - OK</v>
      </c>
      <c r="H143" s="116"/>
      <c r="I143" s="26"/>
      <c r="J143" s="98">
        <f t="shared" si="14"/>
        <v>0.12628967301448812</v>
      </c>
      <c r="K143" s="36"/>
      <c r="L143" s="26">
        <v>243</v>
      </c>
      <c r="M143" s="26" t="s">
        <v>205</v>
      </c>
      <c r="N143" s="26">
        <v>399.62300814901045</v>
      </c>
      <c r="O143" s="93">
        <f t="shared" si="15"/>
        <v>97108.390980209544</v>
      </c>
      <c r="P143" s="95">
        <f t="shared" si="16"/>
        <v>12263.786943853731</v>
      </c>
      <c r="Q143" s="197">
        <v>1</v>
      </c>
    </row>
    <row r="144" spans="1:17" x14ac:dyDescent="0.25">
      <c r="C144" s="199"/>
      <c r="D144" s="112"/>
      <c r="E144" s="33"/>
      <c r="F144" s="90" t="str">
        <f t="shared" si="13"/>
        <v>-</v>
      </c>
      <c r="H144" s="116"/>
      <c r="I144" s="26"/>
      <c r="J144" s="98">
        <f t="shared" si="14"/>
        <v>0.12628967301448812</v>
      </c>
      <c r="K144" s="36"/>
      <c r="L144" s="26"/>
      <c r="M144" s="26"/>
      <c r="N144" s="26"/>
      <c r="O144" s="93"/>
      <c r="P144" s="95"/>
      <c r="Q144" s="197"/>
    </row>
    <row r="145" spans="1:17" x14ac:dyDescent="0.25">
      <c r="A145">
        <v>1992</v>
      </c>
      <c r="B145" t="s">
        <v>186</v>
      </c>
      <c r="C145" s="199">
        <v>302999</v>
      </c>
      <c r="D145" s="112" t="s">
        <v>280</v>
      </c>
      <c r="E145" s="33">
        <v>33785</v>
      </c>
      <c r="F145" s="90" t="str">
        <f t="shared" si="13"/>
        <v>Date check - OK</v>
      </c>
      <c r="H145" s="116"/>
      <c r="I145" s="26"/>
      <c r="J145" s="98">
        <f t="shared" si="14"/>
        <v>0.12628967301448812</v>
      </c>
      <c r="K145" s="36"/>
      <c r="L145" s="26">
        <v>1</v>
      </c>
      <c r="M145" s="26" t="s">
        <v>281</v>
      </c>
      <c r="N145" s="26">
        <v>1147707.4927180442</v>
      </c>
      <c r="O145" s="93">
        <f t="shared" si="15"/>
        <v>1147707.4927180442</v>
      </c>
      <c r="P145" s="95">
        <f t="shared" si="16"/>
        <v>144943.60397163982</v>
      </c>
      <c r="Q145" s="197">
        <v>1</v>
      </c>
    </row>
    <row r="146" spans="1:17" x14ac:dyDescent="0.25">
      <c r="A146">
        <v>1976</v>
      </c>
      <c r="B146" t="s">
        <v>186</v>
      </c>
      <c r="C146" s="199">
        <v>37243</v>
      </c>
      <c r="D146" s="112" t="s">
        <v>280</v>
      </c>
      <c r="E146" s="33">
        <v>27941</v>
      </c>
      <c r="F146" s="90" t="str">
        <f t="shared" si="13"/>
        <v>Date check - OK</v>
      </c>
      <c r="H146" s="116"/>
      <c r="I146" s="26"/>
      <c r="J146" s="98">
        <f t="shared" si="14"/>
        <v>0.12628967301448812</v>
      </c>
      <c r="K146" s="36"/>
      <c r="L146" s="26">
        <v>1</v>
      </c>
      <c r="M146" s="26" t="s">
        <v>281</v>
      </c>
      <c r="N146" s="26">
        <v>389754.76651920838</v>
      </c>
      <c r="O146" s="93">
        <f t="shared" si="15"/>
        <v>389754.76651920838</v>
      </c>
      <c r="P146" s="95">
        <f t="shared" si="16"/>
        <v>49222.002019548992</v>
      </c>
      <c r="Q146" s="197">
        <v>1</v>
      </c>
    </row>
    <row r="147" spans="1:17" x14ac:dyDescent="0.25">
      <c r="A147">
        <v>1978</v>
      </c>
      <c r="B147" t="s">
        <v>186</v>
      </c>
      <c r="C147" s="199">
        <v>36958</v>
      </c>
      <c r="D147" s="112" t="s">
        <v>280</v>
      </c>
      <c r="E147" s="33">
        <v>28671</v>
      </c>
      <c r="F147" s="90" t="str">
        <f t="shared" si="13"/>
        <v>Date check - OK</v>
      </c>
      <c r="H147" s="116"/>
      <c r="I147" s="26"/>
      <c r="J147" s="98">
        <f t="shared" si="14"/>
        <v>0.12628967301448812</v>
      </c>
      <c r="K147" s="36"/>
      <c r="L147" s="26">
        <v>1</v>
      </c>
      <c r="M147" s="26" t="s">
        <v>281</v>
      </c>
      <c r="N147" s="26">
        <v>389754.76651920838</v>
      </c>
      <c r="O147" s="93">
        <f t="shared" si="15"/>
        <v>389754.76651920838</v>
      </c>
      <c r="P147" s="95">
        <f t="shared" si="16"/>
        <v>49222.002019548992</v>
      </c>
      <c r="Q147" s="197">
        <v>1</v>
      </c>
    </row>
    <row r="148" spans="1:17" x14ac:dyDescent="0.25">
      <c r="A148">
        <v>1978</v>
      </c>
      <c r="B148" t="s">
        <v>186</v>
      </c>
      <c r="C148" s="199">
        <v>36810</v>
      </c>
      <c r="D148" s="112" t="s">
        <v>280</v>
      </c>
      <c r="E148" s="33">
        <v>28671</v>
      </c>
      <c r="F148" s="90" t="str">
        <f t="shared" si="13"/>
        <v>Date check - OK</v>
      </c>
      <c r="H148" s="116"/>
      <c r="I148" s="26"/>
      <c r="J148" s="98">
        <f t="shared" si="14"/>
        <v>0.12628967301448812</v>
      </c>
      <c r="K148" s="36"/>
      <c r="L148" s="26">
        <v>1</v>
      </c>
      <c r="M148" s="26" t="s">
        <v>281</v>
      </c>
      <c r="N148" s="26">
        <v>617140.25815599528</v>
      </c>
      <c r="O148" s="93">
        <f t="shared" si="15"/>
        <v>617140.25815599528</v>
      </c>
      <c r="P148" s="95">
        <f t="shared" si="16"/>
        <v>77938.441406597427</v>
      </c>
      <c r="Q148" s="197">
        <v>1</v>
      </c>
    </row>
    <row r="149" spans="1:17" x14ac:dyDescent="0.25">
      <c r="A149">
        <v>1980</v>
      </c>
      <c r="B149" t="s">
        <v>186</v>
      </c>
      <c r="C149" s="199">
        <v>37031</v>
      </c>
      <c r="D149" s="112" t="s">
        <v>280</v>
      </c>
      <c r="E149" s="33">
        <v>29402</v>
      </c>
      <c r="F149" s="90" t="str">
        <f t="shared" si="13"/>
        <v>Date check - OK</v>
      </c>
      <c r="H149" s="116"/>
      <c r="I149" s="26"/>
      <c r="J149" s="98">
        <f t="shared" si="14"/>
        <v>0.12628967301448812</v>
      </c>
      <c r="K149" s="36"/>
      <c r="L149" s="26">
        <v>1</v>
      </c>
      <c r="M149" s="26" t="s">
        <v>281</v>
      </c>
      <c r="N149" s="26">
        <v>441433.36148731085</v>
      </c>
      <c r="O149" s="93">
        <f t="shared" si="15"/>
        <v>441433.36148731085</v>
      </c>
      <c r="P149" s="95">
        <f t="shared" si="16"/>
        <v>55748.474879918824</v>
      </c>
      <c r="Q149" s="197">
        <v>1</v>
      </c>
    </row>
    <row r="150" spans="1:17" x14ac:dyDescent="0.25">
      <c r="A150">
        <v>1984</v>
      </c>
      <c r="B150" t="s">
        <v>186</v>
      </c>
      <c r="C150" s="199">
        <v>37260</v>
      </c>
      <c r="D150" s="112" t="s">
        <v>280</v>
      </c>
      <c r="E150" s="33">
        <v>30863</v>
      </c>
      <c r="F150" s="90" t="str">
        <f t="shared" si="13"/>
        <v>Date check - OK</v>
      </c>
      <c r="H150" s="116"/>
      <c r="I150" s="26"/>
      <c r="J150" s="98">
        <f t="shared" si="14"/>
        <v>0.12628967301448812</v>
      </c>
      <c r="K150" s="36"/>
      <c r="L150" s="26">
        <v>1</v>
      </c>
      <c r="M150" s="26" t="s">
        <v>281</v>
      </c>
      <c r="N150" s="26">
        <v>224382.61017555295</v>
      </c>
      <c r="O150" s="93">
        <f t="shared" si="15"/>
        <v>224382.61017555295</v>
      </c>
      <c r="P150" s="95">
        <f t="shared" si="16"/>
        <v>28337.206469207937</v>
      </c>
      <c r="Q150" s="197">
        <v>1</v>
      </c>
    </row>
    <row r="151" spans="1:17" x14ac:dyDescent="0.25">
      <c r="A151">
        <v>1990</v>
      </c>
      <c r="B151" t="s">
        <v>186</v>
      </c>
      <c r="C151" s="199">
        <v>37362</v>
      </c>
      <c r="D151" s="112" t="s">
        <v>280</v>
      </c>
      <c r="E151" s="33">
        <v>33054</v>
      </c>
      <c r="F151" s="90" t="str">
        <f t="shared" ref="F151" si="17">IF(E151="","-",IF(OR(E151&lt;$E$15,E151&gt;$E$16),"ERROR - date outside of range","Date check - OK"))</f>
        <v>Date check - OK</v>
      </c>
      <c r="H151" s="116"/>
      <c r="I151" s="26"/>
      <c r="J151" s="98">
        <f t="shared" ref="J151" si="18">J150</f>
        <v>0.12628967301448812</v>
      </c>
      <c r="K151" s="36"/>
      <c r="L151" s="26">
        <v>1</v>
      </c>
      <c r="M151" s="26" t="s">
        <v>281</v>
      </c>
      <c r="N151" s="26">
        <v>1216612.2860088474</v>
      </c>
      <c r="O151" s="93">
        <f t="shared" si="15"/>
        <v>1216612.2860088474</v>
      </c>
      <c r="P151" s="95">
        <f t="shared" si="16"/>
        <v>153645.56778546624</v>
      </c>
      <c r="Q151" s="197">
        <v>1</v>
      </c>
    </row>
    <row r="152" spans="1:17" x14ac:dyDescent="0.25">
      <c r="C152" s="199"/>
      <c r="D152" s="112"/>
      <c r="E152" s="33"/>
      <c r="F152" s="90"/>
      <c r="H152" s="116"/>
      <c r="I152" s="26"/>
      <c r="J152" s="98"/>
      <c r="K152" s="36"/>
      <c r="L152" s="26"/>
      <c r="M152" s="26"/>
      <c r="N152" s="26"/>
      <c r="O152" s="93"/>
      <c r="P152" s="95"/>
      <c r="Q152" s="197"/>
    </row>
    <row r="153" spans="1:17" x14ac:dyDescent="0.25">
      <c r="C153" s="199"/>
      <c r="D153" s="112"/>
      <c r="E153" s="33"/>
      <c r="F153" s="90"/>
      <c r="H153" s="116"/>
      <c r="I153" s="26"/>
      <c r="J153" s="98"/>
      <c r="K153" s="36"/>
      <c r="L153" s="26"/>
      <c r="M153" s="26"/>
      <c r="N153" s="26"/>
      <c r="O153" s="93"/>
      <c r="P153" s="95"/>
      <c r="Q153" s="197"/>
    </row>
    <row r="154" spans="1:17" x14ac:dyDescent="0.25">
      <c r="C154" s="199"/>
      <c r="D154" s="112"/>
      <c r="E154" s="33"/>
      <c r="F154" s="90"/>
      <c r="H154" s="116"/>
      <c r="I154" s="26"/>
      <c r="J154" s="98"/>
      <c r="K154" s="36"/>
      <c r="L154" s="26"/>
      <c r="M154" s="26"/>
      <c r="N154" s="26"/>
      <c r="O154" s="93"/>
      <c r="P154" s="95"/>
      <c r="Q154" s="197"/>
    </row>
    <row r="155" spans="1:17" x14ac:dyDescent="0.25">
      <c r="C155" s="199"/>
      <c r="D155" s="112"/>
      <c r="E155" s="33"/>
      <c r="F155" s="90"/>
      <c r="H155" s="116"/>
      <c r="I155" s="26"/>
      <c r="J155" s="98"/>
      <c r="K155" s="36"/>
      <c r="L155" s="26"/>
      <c r="M155" s="26"/>
      <c r="N155" s="26"/>
      <c r="O155" s="93"/>
      <c r="P155" s="95"/>
      <c r="Q155" s="197"/>
    </row>
    <row r="156" spans="1:17" x14ac:dyDescent="0.25">
      <c r="C156" s="199"/>
      <c r="D156" s="112"/>
      <c r="E156" s="33"/>
      <c r="F156" s="90"/>
      <c r="H156" s="116"/>
      <c r="I156" s="26"/>
      <c r="J156" s="98"/>
      <c r="K156" s="36"/>
      <c r="L156" s="26"/>
      <c r="M156" s="26"/>
      <c r="N156" s="26"/>
      <c r="O156" s="93"/>
      <c r="P156" s="95"/>
      <c r="Q156" s="197"/>
    </row>
    <row r="157" spans="1:17" x14ac:dyDescent="0.25">
      <c r="C157" s="199"/>
      <c r="D157" s="112"/>
      <c r="E157" s="33"/>
      <c r="F157" s="90"/>
      <c r="H157" s="116"/>
      <c r="I157" s="26"/>
      <c r="J157" s="98"/>
      <c r="K157" s="36"/>
      <c r="L157" s="26"/>
      <c r="M157" s="26"/>
      <c r="N157" s="26"/>
      <c r="O157" s="93"/>
      <c r="P157" s="95"/>
      <c r="Q157" s="197"/>
    </row>
    <row r="158" spans="1:17" x14ac:dyDescent="0.25">
      <c r="C158" s="199"/>
      <c r="D158" s="112"/>
      <c r="E158" s="33"/>
      <c r="F158" s="90"/>
      <c r="H158" s="116"/>
      <c r="I158" s="26"/>
      <c r="J158" s="98"/>
      <c r="K158" s="36"/>
      <c r="L158" s="26"/>
      <c r="M158" s="26"/>
      <c r="N158" s="26"/>
      <c r="O158" s="93"/>
      <c r="P158" s="95"/>
      <c r="Q158" s="197"/>
    </row>
    <row r="159" spans="1:17" x14ac:dyDescent="0.25">
      <c r="C159" s="199"/>
      <c r="D159" s="112"/>
      <c r="E159" s="33"/>
      <c r="F159" s="90"/>
      <c r="H159" s="116"/>
      <c r="I159" s="26"/>
      <c r="J159" s="98"/>
      <c r="K159" s="36"/>
      <c r="L159" s="26"/>
      <c r="M159" s="26"/>
      <c r="N159" s="26"/>
      <c r="O159" s="93"/>
      <c r="P159" s="95"/>
      <c r="Q159" s="197"/>
    </row>
    <row r="160" spans="1:17" x14ac:dyDescent="0.25">
      <c r="C160" s="199"/>
      <c r="D160" s="112"/>
      <c r="E160" s="33"/>
      <c r="F160" s="90"/>
      <c r="H160" s="116"/>
      <c r="I160" s="26"/>
      <c r="J160" s="98"/>
      <c r="K160" s="36"/>
      <c r="L160" s="26"/>
      <c r="M160" s="26"/>
      <c r="N160" s="26"/>
      <c r="O160" s="93"/>
      <c r="P160" s="95"/>
      <c r="Q160" s="197"/>
    </row>
    <row r="161" spans="3:17" x14ac:dyDescent="0.25">
      <c r="C161" s="199"/>
      <c r="D161" s="112"/>
      <c r="E161" s="33"/>
      <c r="F161" s="90"/>
      <c r="H161" s="116"/>
      <c r="I161" s="26"/>
      <c r="J161" s="98"/>
      <c r="K161" s="36"/>
      <c r="L161" s="26"/>
      <c r="M161" s="26"/>
      <c r="N161" s="26"/>
      <c r="O161" s="93"/>
      <c r="P161" s="95"/>
      <c r="Q161" s="197"/>
    </row>
    <row r="162" spans="3:17" x14ac:dyDescent="0.25">
      <c r="C162" s="199"/>
      <c r="D162" s="112"/>
      <c r="E162" s="33"/>
      <c r="F162" s="90"/>
      <c r="H162" s="116"/>
      <c r="I162" s="26"/>
      <c r="J162" s="98"/>
      <c r="K162" s="36"/>
      <c r="L162" s="26"/>
      <c r="M162" s="26"/>
      <c r="N162" s="26"/>
      <c r="O162" s="93"/>
      <c r="P162" s="95"/>
      <c r="Q162" s="197"/>
    </row>
    <row r="163" spans="3:17" x14ac:dyDescent="0.25">
      <c r="C163" s="199"/>
      <c r="D163" s="112"/>
      <c r="E163" s="33"/>
      <c r="F163" s="90"/>
      <c r="H163" s="116"/>
      <c r="I163" s="26"/>
      <c r="J163" s="98"/>
      <c r="K163" s="36"/>
      <c r="L163" s="26"/>
      <c r="M163" s="26"/>
      <c r="N163" s="26"/>
      <c r="O163" s="93"/>
      <c r="P163" s="95"/>
      <c r="Q163" s="197"/>
    </row>
    <row r="164" spans="3:17" x14ac:dyDescent="0.25">
      <c r="C164" s="199"/>
      <c r="D164" s="112"/>
      <c r="E164" s="33"/>
      <c r="F164" s="90"/>
      <c r="H164" s="116"/>
      <c r="I164" s="26"/>
      <c r="J164" s="98"/>
      <c r="K164" s="36"/>
      <c r="L164" s="26"/>
      <c r="M164" s="26"/>
      <c r="N164" s="26"/>
      <c r="O164" s="93"/>
      <c r="P164" s="95"/>
      <c r="Q164" s="197"/>
    </row>
    <row r="165" spans="3:17" x14ac:dyDescent="0.25">
      <c r="C165" s="199"/>
      <c r="D165" s="112"/>
      <c r="E165" s="33"/>
      <c r="F165" s="90"/>
      <c r="H165" s="116"/>
      <c r="I165" s="26"/>
      <c r="J165" s="98"/>
      <c r="K165" s="36"/>
      <c r="L165" s="26"/>
      <c r="M165" s="26"/>
      <c r="N165" s="26"/>
      <c r="O165" s="93"/>
      <c r="P165" s="95"/>
      <c r="Q165" s="197"/>
    </row>
    <row r="166" spans="3:17" x14ac:dyDescent="0.25">
      <c r="C166" s="199"/>
      <c r="D166" s="112"/>
      <c r="E166" s="33"/>
      <c r="F166" s="90"/>
      <c r="H166" s="116"/>
      <c r="I166" s="26"/>
      <c r="J166" s="98"/>
      <c r="K166" s="36"/>
      <c r="L166" s="26"/>
      <c r="M166" s="26"/>
      <c r="N166" s="26"/>
      <c r="O166" s="93"/>
      <c r="P166" s="95"/>
      <c r="Q166" s="197"/>
    </row>
    <row r="167" spans="3:17" x14ac:dyDescent="0.25">
      <c r="C167" s="199"/>
      <c r="D167" s="112"/>
      <c r="E167" s="33"/>
      <c r="F167" s="90"/>
      <c r="H167" s="116"/>
      <c r="I167" s="26"/>
      <c r="J167" s="98"/>
      <c r="K167" s="36"/>
      <c r="L167" s="26"/>
      <c r="M167" s="26"/>
      <c r="N167" s="26"/>
      <c r="O167" s="93"/>
      <c r="P167" s="95"/>
      <c r="Q167" s="197"/>
    </row>
    <row r="168" spans="3:17" x14ac:dyDescent="0.25">
      <c r="C168" s="199"/>
      <c r="D168" s="112"/>
      <c r="E168" s="33"/>
      <c r="F168" s="90"/>
      <c r="H168" s="116"/>
      <c r="I168" s="26"/>
      <c r="J168" s="98"/>
      <c r="K168" s="36"/>
      <c r="L168" s="26"/>
      <c r="M168" s="26"/>
      <c r="N168" s="26"/>
      <c r="O168" s="93"/>
      <c r="P168" s="95"/>
      <c r="Q168" s="197"/>
    </row>
    <row r="169" spans="3:17" x14ac:dyDescent="0.25">
      <c r="C169" s="199"/>
      <c r="D169" s="112"/>
      <c r="E169" s="33"/>
      <c r="F169" s="90"/>
      <c r="H169" s="116"/>
      <c r="I169" s="26"/>
      <c r="J169" s="98"/>
      <c r="K169" s="36"/>
      <c r="L169" s="26"/>
      <c r="M169" s="26"/>
      <c r="N169" s="26"/>
      <c r="O169" s="93"/>
      <c r="P169" s="95"/>
      <c r="Q169" s="197"/>
    </row>
    <row r="170" spans="3:17" x14ac:dyDescent="0.25">
      <c r="C170" s="199"/>
      <c r="D170" s="112"/>
      <c r="E170" s="33"/>
      <c r="F170" s="90"/>
      <c r="H170" s="116"/>
      <c r="I170" s="26"/>
      <c r="J170" s="98"/>
      <c r="K170" s="36"/>
      <c r="L170" s="26"/>
      <c r="M170" s="26"/>
      <c r="N170" s="26"/>
      <c r="O170" s="93"/>
      <c r="P170" s="95"/>
      <c r="Q170" s="197"/>
    </row>
    <row r="171" spans="3:17" x14ac:dyDescent="0.25">
      <c r="C171" s="199"/>
      <c r="D171" s="112"/>
      <c r="E171" s="33"/>
      <c r="F171" s="90"/>
      <c r="H171" s="116"/>
      <c r="I171" s="26"/>
      <c r="J171" s="98"/>
      <c r="K171" s="36"/>
      <c r="L171" s="26"/>
      <c r="M171" s="26"/>
      <c r="N171" s="26"/>
      <c r="O171" s="93"/>
      <c r="P171" s="95"/>
      <c r="Q171" s="197"/>
    </row>
    <row r="172" spans="3:17" x14ac:dyDescent="0.25">
      <c r="C172" s="199"/>
      <c r="D172" s="112"/>
      <c r="E172" s="33"/>
      <c r="F172" s="90"/>
      <c r="H172" s="116"/>
      <c r="I172" s="26"/>
      <c r="J172" s="98"/>
      <c r="K172" s="36"/>
      <c r="L172" s="26"/>
      <c r="M172" s="26"/>
      <c r="N172" s="26"/>
      <c r="O172" s="93"/>
      <c r="P172" s="95"/>
      <c r="Q172" s="197"/>
    </row>
    <row r="173" spans="3:17" x14ac:dyDescent="0.25">
      <c r="C173" s="199"/>
      <c r="D173" s="112"/>
      <c r="E173" s="33"/>
      <c r="F173" s="90"/>
      <c r="H173" s="116"/>
      <c r="I173" s="26"/>
      <c r="J173" s="98"/>
      <c r="K173" s="36"/>
      <c r="L173" s="26"/>
      <c r="M173" s="26"/>
      <c r="N173" s="26"/>
      <c r="O173" s="93"/>
      <c r="P173" s="95"/>
      <c r="Q173" s="197"/>
    </row>
    <row r="174" spans="3:17" x14ac:dyDescent="0.25">
      <c r="C174" s="199"/>
      <c r="D174" s="112"/>
      <c r="E174" s="33"/>
      <c r="F174" s="90"/>
      <c r="H174" s="116"/>
      <c r="I174" s="26"/>
      <c r="J174" s="98"/>
      <c r="K174" s="36"/>
      <c r="L174" s="26"/>
      <c r="M174" s="26"/>
      <c r="N174" s="26"/>
      <c r="O174" s="93"/>
      <c r="P174" s="95"/>
      <c r="Q174" s="197"/>
    </row>
    <row r="175" spans="3:17" x14ac:dyDescent="0.25">
      <c r="C175" s="199"/>
      <c r="D175" s="112"/>
      <c r="E175" s="33"/>
      <c r="F175" s="90"/>
      <c r="H175" s="116"/>
      <c r="I175" s="26"/>
      <c r="J175" s="98"/>
      <c r="K175" s="36"/>
      <c r="L175" s="26"/>
      <c r="M175" s="26"/>
      <c r="N175" s="26"/>
      <c r="O175" s="93"/>
      <c r="P175" s="95"/>
      <c r="Q175" s="197"/>
    </row>
    <row r="176" spans="3:17" x14ac:dyDescent="0.25">
      <c r="C176" s="199"/>
      <c r="D176" s="112"/>
      <c r="E176" s="33"/>
      <c r="F176" s="90"/>
      <c r="H176" s="116"/>
      <c r="I176" s="26"/>
      <c r="J176" s="98"/>
      <c r="K176" s="36"/>
      <c r="L176" s="26"/>
      <c r="M176" s="26"/>
      <c r="N176" s="26"/>
      <c r="O176" s="93"/>
      <c r="P176" s="95"/>
      <c r="Q176" s="197"/>
    </row>
    <row r="177" spans="3:17" x14ac:dyDescent="0.25">
      <c r="C177" s="199"/>
      <c r="D177" s="112"/>
      <c r="E177" s="33"/>
      <c r="F177" s="90"/>
      <c r="H177" s="116"/>
      <c r="I177" s="26"/>
      <c r="J177" s="98"/>
      <c r="K177" s="36"/>
      <c r="L177" s="26"/>
      <c r="M177" s="26"/>
      <c r="N177" s="26"/>
      <c r="O177" s="93"/>
      <c r="P177" s="95"/>
      <c r="Q177" s="197"/>
    </row>
    <row r="178" spans="3:17" x14ac:dyDescent="0.25">
      <c r="C178" s="199"/>
      <c r="D178" s="112"/>
      <c r="E178" s="33"/>
      <c r="F178" s="90"/>
      <c r="H178" s="116"/>
      <c r="I178" s="26"/>
      <c r="J178" s="98"/>
      <c r="K178" s="36"/>
      <c r="L178" s="26"/>
      <c r="M178" s="26"/>
      <c r="N178" s="26"/>
      <c r="O178" s="93"/>
      <c r="P178" s="95"/>
      <c r="Q178" s="197"/>
    </row>
    <row r="179" spans="3:17" x14ac:dyDescent="0.25">
      <c r="C179" s="199"/>
      <c r="D179" s="112"/>
      <c r="E179" s="33"/>
      <c r="F179" s="90"/>
      <c r="H179" s="116"/>
      <c r="I179" s="26"/>
      <c r="J179" s="98"/>
      <c r="K179" s="36"/>
      <c r="L179" s="26"/>
      <c r="M179" s="26"/>
      <c r="N179" s="26"/>
      <c r="O179" s="93"/>
      <c r="P179" s="95"/>
      <c r="Q179" s="197"/>
    </row>
    <row r="180" spans="3:17" x14ac:dyDescent="0.25">
      <c r="C180" s="199"/>
      <c r="D180" s="112"/>
      <c r="E180" s="33"/>
      <c r="F180" s="90"/>
      <c r="H180" s="116"/>
      <c r="I180" s="26"/>
      <c r="J180" s="98"/>
      <c r="K180" s="36"/>
      <c r="L180" s="26"/>
      <c r="M180" s="26"/>
      <c r="N180" s="26"/>
      <c r="O180" s="93"/>
      <c r="P180" s="95"/>
      <c r="Q180" s="197"/>
    </row>
    <row r="181" spans="3:17" x14ac:dyDescent="0.25">
      <c r="C181" s="199"/>
      <c r="D181" s="112"/>
      <c r="E181" s="33"/>
      <c r="F181" s="90"/>
      <c r="H181" s="116"/>
      <c r="I181" s="26"/>
      <c r="J181" s="98"/>
      <c r="K181" s="36"/>
      <c r="L181" s="26"/>
      <c r="M181" s="26"/>
      <c r="N181" s="26"/>
      <c r="O181" s="93"/>
      <c r="P181" s="95"/>
      <c r="Q181" s="197"/>
    </row>
    <row r="182" spans="3:17" x14ac:dyDescent="0.25">
      <c r="C182" s="199"/>
      <c r="D182" s="112"/>
      <c r="E182" s="33"/>
      <c r="F182" s="90"/>
      <c r="H182" s="116"/>
      <c r="I182" s="26"/>
      <c r="J182" s="98"/>
      <c r="K182" s="36"/>
      <c r="L182" s="26"/>
      <c r="M182" s="26"/>
      <c r="N182" s="26"/>
      <c r="O182" s="93"/>
      <c r="P182" s="95"/>
      <c r="Q182" s="197"/>
    </row>
    <row r="183" spans="3:17" x14ac:dyDescent="0.25">
      <c r="C183" s="199"/>
      <c r="D183" s="112"/>
      <c r="E183" s="33"/>
      <c r="F183" s="90"/>
      <c r="H183" s="116"/>
      <c r="I183" s="26"/>
      <c r="J183" s="98"/>
      <c r="K183" s="36"/>
      <c r="L183" s="26"/>
      <c r="M183" s="26"/>
      <c r="N183" s="26"/>
      <c r="O183" s="93"/>
      <c r="P183" s="95"/>
      <c r="Q183" s="197"/>
    </row>
    <row r="184" spans="3:17" x14ac:dyDescent="0.25">
      <c r="C184" s="199"/>
      <c r="D184" s="112"/>
      <c r="E184" s="33"/>
      <c r="F184" s="90"/>
      <c r="H184" s="116"/>
      <c r="I184" s="26"/>
      <c r="J184" s="98"/>
      <c r="K184" s="36"/>
      <c r="L184" s="26"/>
      <c r="M184" s="26"/>
      <c r="N184" s="26"/>
      <c r="O184" s="93"/>
      <c r="P184" s="95"/>
      <c r="Q184" s="197"/>
    </row>
    <row r="185" spans="3:17" x14ac:dyDescent="0.25">
      <c r="C185" s="199"/>
      <c r="D185" s="112"/>
      <c r="E185" s="33"/>
      <c r="F185" s="90"/>
      <c r="H185" s="116"/>
      <c r="I185" s="26"/>
      <c r="J185" s="98"/>
      <c r="K185" s="36"/>
      <c r="L185" s="26"/>
      <c r="M185" s="26"/>
      <c r="N185" s="26"/>
      <c r="O185" s="93"/>
      <c r="P185" s="95"/>
      <c r="Q185" s="197"/>
    </row>
    <row r="186" spans="3:17" x14ac:dyDescent="0.25">
      <c r="C186" s="199"/>
      <c r="D186" s="112"/>
      <c r="E186" s="33"/>
      <c r="F186" s="90"/>
      <c r="H186" s="116"/>
      <c r="I186" s="26"/>
      <c r="J186" s="98"/>
      <c r="K186" s="36"/>
      <c r="L186" s="26"/>
      <c r="M186" s="26"/>
      <c r="N186" s="26"/>
      <c r="O186" s="93"/>
      <c r="P186" s="95"/>
      <c r="Q186" s="197"/>
    </row>
    <row r="187" spans="3:17" x14ac:dyDescent="0.25">
      <c r="C187" s="199"/>
      <c r="D187" s="112"/>
      <c r="E187" s="33"/>
      <c r="F187" s="90"/>
      <c r="H187" s="116"/>
      <c r="I187" s="26"/>
      <c r="J187" s="98"/>
      <c r="K187" s="36"/>
      <c r="L187" s="26"/>
      <c r="M187" s="26"/>
      <c r="N187" s="26"/>
      <c r="O187" s="93"/>
      <c r="P187" s="95"/>
      <c r="Q187" s="197"/>
    </row>
    <row r="188" spans="3:17" x14ac:dyDescent="0.25">
      <c r="C188" s="199"/>
      <c r="D188" s="112"/>
      <c r="E188" s="33"/>
      <c r="F188" s="90"/>
      <c r="H188" s="116"/>
      <c r="I188" s="26"/>
      <c r="J188" s="98"/>
      <c r="K188" s="36"/>
      <c r="L188" s="26"/>
      <c r="M188" s="26"/>
      <c r="N188" s="26"/>
      <c r="O188" s="93"/>
      <c r="P188" s="95"/>
      <c r="Q188" s="197"/>
    </row>
    <row r="189" spans="3:17" x14ac:dyDescent="0.25">
      <c r="C189" s="199"/>
      <c r="D189" s="112"/>
      <c r="E189" s="33"/>
      <c r="F189" s="90"/>
      <c r="H189" s="116"/>
      <c r="I189" s="26"/>
      <c r="J189" s="98"/>
      <c r="K189" s="36"/>
      <c r="L189" s="26"/>
      <c r="M189" s="26"/>
      <c r="N189" s="26"/>
      <c r="O189" s="93"/>
      <c r="P189" s="95"/>
      <c r="Q189" s="197"/>
    </row>
    <row r="190" spans="3:17" x14ac:dyDescent="0.25">
      <c r="C190" s="199"/>
      <c r="D190" s="112"/>
      <c r="E190" s="33"/>
      <c r="F190" s="90"/>
      <c r="H190" s="116"/>
      <c r="I190" s="26"/>
      <c r="J190" s="98"/>
      <c r="K190" s="36"/>
      <c r="L190" s="26"/>
      <c r="M190" s="26"/>
      <c r="N190" s="26"/>
      <c r="O190" s="93"/>
      <c r="P190" s="95"/>
      <c r="Q190" s="197"/>
    </row>
    <row r="191" spans="3:17" x14ac:dyDescent="0.25">
      <c r="C191" s="199"/>
      <c r="D191" s="112"/>
      <c r="E191" s="33"/>
      <c r="F191" s="90"/>
      <c r="H191" s="116"/>
      <c r="I191" s="26"/>
      <c r="J191" s="98"/>
      <c r="K191" s="36"/>
      <c r="L191" s="26"/>
      <c r="M191" s="26"/>
      <c r="N191" s="26"/>
      <c r="O191" s="93"/>
      <c r="P191" s="95"/>
      <c r="Q191" s="197"/>
    </row>
    <row r="192" spans="3:17" x14ac:dyDescent="0.25">
      <c r="C192" s="199"/>
      <c r="D192" s="112"/>
      <c r="E192" s="33"/>
      <c r="F192" s="90"/>
      <c r="H192" s="116"/>
      <c r="I192" s="26"/>
      <c r="J192" s="98"/>
      <c r="K192" s="36"/>
      <c r="L192" s="26"/>
      <c r="M192" s="26"/>
      <c r="N192" s="26"/>
      <c r="O192" s="93"/>
      <c r="P192" s="95"/>
      <c r="Q192" s="197"/>
    </row>
    <row r="193" spans="3:17" x14ac:dyDescent="0.25">
      <c r="C193" s="199"/>
      <c r="D193" s="112"/>
      <c r="E193" s="33"/>
      <c r="F193" s="90"/>
      <c r="H193" s="116"/>
      <c r="I193" s="26"/>
      <c r="J193" s="98"/>
      <c r="K193" s="36"/>
      <c r="L193" s="26"/>
      <c r="M193" s="26"/>
      <c r="N193" s="26"/>
      <c r="O193" s="93"/>
      <c r="P193" s="95"/>
      <c r="Q193" s="197"/>
    </row>
    <row r="194" spans="3:17" x14ac:dyDescent="0.25">
      <c r="C194" s="199"/>
      <c r="D194" s="112"/>
      <c r="E194" s="33"/>
      <c r="F194" s="90"/>
      <c r="H194" s="116"/>
      <c r="I194" s="26"/>
      <c r="J194" s="98"/>
      <c r="K194" s="36"/>
      <c r="L194" s="26"/>
      <c r="M194" s="26"/>
      <c r="N194" s="26"/>
      <c r="O194" s="93"/>
      <c r="P194" s="95"/>
      <c r="Q194" s="197"/>
    </row>
    <row r="195" spans="3:17" x14ac:dyDescent="0.25">
      <c r="C195" s="199"/>
      <c r="D195" s="112"/>
      <c r="E195" s="33"/>
      <c r="F195" s="90"/>
      <c r="H195" s="116"/>
      <c r="I195" s="26"/>
      <c r="J195" s="98"/>
      <c r="K195" s="36"/>
      <c r="L195" s="26"/>
      <c r="M195" s="26"/>
      <c r="N195" s="26"/>
      <c r="O195" s="93"/>
      <c r="P195" s="95"/>
      <c r="Q195" s="197"/>
    </row>
    <row r="196" spans="3:17" x14ac:dyDescent="0.25">
      <c r="C196" s="199"/>
      <c r="D196" s="112"/>
      <c r="E196" s="33"/>
      <c r="F196" s="90"/>
      <c r="H196" s="116"/>
      <c r="I196" s="26"/>
      <c r="J196" s="98"/>
      <c r="K196" s="36"/>
      <c r="L196" s="26"/>
      <c r="M196" s="26"/>
      <c r="N196" s="26"/>
      <c r="O196" s="93"/>
      <c r="P196" s="95"/>
      <c r="Q196" s="197"/>
    </row>
    <row r="197" spans="3:17" x14ac:dyDescent="0.25">
      <c r="C197" s="199"/>
      <c r="D197" s="112"/>
      <c r="E197" s="33"/>
      <c r="F197" s="90"/>
      <c r="H197" s="116"/>
      <c r="I197" s="26"/>
      <c r="J197" s="98"/>
      <c r="K197" s="36"/>
      <c r="L197" s="26"/>
      <c r="M197" s="26"/>
      <c r="N197" s="26"/>
      <c r="O197" s="93"/>
      <c r="P197" s="95"/>
      <c r="Q197" s="197"/>
    </row>
    <row r="198" spans="3:17" x14ac:dyDescent="0.25">
      <c r="C198" s="199"/>
      <c r="D198" s="112"/>
      <c r="E198" s="33"/>
      <c r="F198" s="90"/>
      <c r="H198" s="116"/>
      <c r="I198" s="26"/>
      <c r="J198" s="98"/>
      <c r="K198" s="36"/>
      <c r="L198" s="26"/>
      <c r="M198" s="26"/>
      <c r="N198" s="26"/>
      <c r="O198" s="93"/>
      <c r="P198" s="95"/>
      <c r="Q198" s="197"/>
    </row>
    <row r="199" spans="3:17" x14ac:dyDescent="0.25">
      <c r="C199" s="199"/>
      <c r="D199" s="112"/>
      <c r="E199" s="33"/>
      <c r="F199" s="90"/>
      <c r="H199" s="116"/>
      <c r="I199" s="26"/>
      <c r="J199" s="98"/>
      <c r="K199" s="36"/>
      <c r="L199" s="26"/>
      <c r="M199" s="26"/>
      <c r="N199" s="26"/>
      <c r="O199" s="93"/>
      <c r="P199" s="95"/>
      <c r="Q199" s="197"/>
    </row>
    <row r="200" spans="3:17" x14ac:dyDescent="0.25">
      <c r="C200" s="199"/>
      <c r="D200" s="112"/>
      <c r="E200" s="33"/>
      <c r="F200" s="90"/>
      <c r="H200" s="116"/>
      <c r="I200" s="26"/>
      <c r="J200" s="98"/>
      <c r="K200" s="36"/>
      <c r="L200" s="26"/>
      <c r="M200" s="26"/>
      <c r="N200" s="26"/>
      <c r="O200" s="93"/>
      <c r="P200" s="95"/>
      <c r="Q200" s="197"/>
    </row>
    <row r="201" spans="3:17" x14ac:dyDescent="0.25">
      <c r="C201" s="199"/>
      <c r="D201" s="112"/>
      <c r="E201" s="33"/>
      <c r="F201" s="90"/>
      <c r="H201" s="116"/>
      <c r="I201" s="26"/>
      <c r="J201" s="98"/>
      <c r="K201" s="36"/>
      <c r="L201" s="26"/>
      <c r="M201" s="26"/>
      <c r="N201" s="26"/>
      <c r="O201" s="93"/>
      <c r="P201" s="95"/>
      <c r="Q201" s="197"/>
    </row>
    <row r="202" spans="3:17" x14ac:dyDescent="0.25">
      <c r="C202" s="199"/>
      <c r="D202" s="112"/>
      <c r="E202" s="33"/>
      <c r="F202" s="90"/>
      <c r="H202" s="116"/>
      <c r="I202" s="26"/>
      <c r="J202" s="98"/>
      <c r="K202" s="36"/>
      <c r="L202" s="26"/>
      <c r="M202" s="26"/>
      <c r="N202" s="26"/>
      <c r="O202" s="93"/>
      <c r="P202" s="95"/>
      <c r="Q202" s="197"/>
    </row>
    <row r="203" spans="3:17" x14ac:dyDescent="0.25">
      <c r="C203" s="199"/>
      <c r="D203" s="112"/>
      <c r="E203" s="33"/>
      <c r="F203" s="90"/>
      <c r="H203" s="116"/>
      <c r="I203" s="26"/>
      <c r="J203" s="98"/>
      <c r="K203" s="36"/>
      <c r="L203" s="26"/>
      <c r="M203" s="26"/>
      <c r="N203" s="26"/>
      <c r="O203" s="93"/>
      <c r="P203" s="95"/>
      <c r="Q203" s="197"/>
    </row>
    <row r="204" spans="3:17" x14ac:dyDescent="0.25">
      <c r="C204" s="199"/>
      <c r="D204" s="112"/>
      <c r="E204" s="33"/>
      <c r="F204" s="90"/>
      <c r="H204" s="116"/>
      <c r="I204" s="26"/>
      <c r="J204" s="98"/>
      <c r="K204" s="36"/>
      <c r="L204" s="26"/>
      <c r="M204" s="26"/>
      <c r="N204" s="26"/>
      <c r="O204" s="93"/>
      <c r="P204" s="95"/>
      <c r="Q204" s="197"/>
    </row>
    <row r="205" spans="3:17" x14ac:dyDescent="0.25">
      <c r="C205" s="199"/>
      <c r="D205" s="112"/>
      <c r="E205" s="33"/>
      <c r="F205" s="90"/>
      <c r="H205" s="116"/>
      <c r="I205" s="26"/>
      <c r="J205" s="98"/>
      <c r="K205" s="36"/>
      <c r="L205" s="26"/>
      <c r="M205" s="26"/>
      <c r="N205" s="26"/>
      <c r="O205" s="93"/>
      <c r="P205" s="95"/>
      <c r="Q205" s="197"/>
    </row>
    <row r="206" spans="3:17" x14ac:dyDescent="0.25">
      <c r="C206" s="199"/>
      <c r="D206" s="112"/>
      <c r="E206" s="33"/>
      <c r="F206" s="90"/>
      <c r="H206" s="116"/>
      <c r="I206" s="26"/>
      <c r="J206" s="98"/>
      <c r="K206" s="36"/>
      <c r="L206" s="26"/>
      <c r="M206" s="26"/>
      <c r="N206" s="26"/>
      <c r="O206" s="93"/>
      <c r="P206" s="95"/>
      <c r="Q206" s="197"/>
    </row>
    <row r="207" spans="3:17" x14ac:dyDescent="0.25">
      <c r="C207" s="199"/>
      <c r="D207" s="112"/>
      <c r="E207" s="33"/>
      <c r="F207" s="90"/>
      <c r="H207" s="116"/>
      <c r="I207" s="26"/>
      <c r="J207" s="98"/>
      <c r="K207" s="36"/>
      <c r="L207" s="26"/>
      <c r="M207" s="26"/>
      <c r="N207" s="26"/>
      <c r="O207" s="93"/>
      <c r="P207" s="95"/>
      <c r="Q207" s="197"/>
    </row>
    <row r="208" spans="3:17" x14ac:dyDescent="0.25">
      <c r="C208" s="199"/>
      <c r="D208" s="112"/>
      <c r="E208" s="33"/>
      <c r="F208" s="90"/>
      <c r="H208" s="116"/>
      <c r="I208" s="26"/>
      <c r="J208" s="98"/>
      <c r="K208" s="36"/>
      <c r="L208" s="26"/>
      <c r="M208" s="26"/>
      <c r="N208" s="26"/>
      <c r="O208" s="93"/>
      <c r="P208" s="95"/>
      <c r="Q208" s="197"/>
    </row>
    <row r="209" spans="3:17" x14ac:dyDescent="0.25">
      <c r="C209" s="199"/>
      <c r="D209" s="112"/>
      <c r="E209" s="33"/>
      <c r="F209" s="90"/>
      <c r="H209" s="116"/>
      <c r="I209" s="26"/>
      <c r="J209" s="98"/>
      <c r="K209" s="36"/>
      <c r="L209" s="26"/>
      <c r="M209" s="26"/>
      <c r="N209" s="26"/>
      <c r="O209" s="93"/>
      <c r="P209" s="95"/>
      <c r="Q209" s="197"/>
    </row>
    <row r="210" spans="3:17" x14ac:dyDescent="0.25">
      <c r="C210" s="199"/>
      <c r="D210" s="112"/>
      <c r="E210" s="33"/>
      <c r="F210" s="90"/>
      <c r="H210" s="116"/>
      <c r="I210" s="26"/>
      <c r="J210" s="98"/>
      <c r="K210" s="36"/>
      <c r="L210" s="26"/>
      <c r="M210" s="26"/>
      <c r="N210" s="26"/>
      <c r="O210" s="93"/>
      <c r="P210" s="95"/>
      <c r="Q210" s="197"/>
    </row>
    <row r="211" spans="3:17" x14ac:dyDescent="0.25">
      <c r="C211" s="199"/>
      <c r="D211" s="112"/>
      <c r="E211" s="33"/>
      <c r="F211" s="90"/>
      <c r="H211" s="116"/>
      <c r="I211" s="26"/>
      <c r="J211" s="98"/>
      <c r="K211" s="36"/>
      <c r="L211" s="26"/>
      <c r="M211" s="26"/>
      <c r="N211" s="26"/>
      <c r="O211" s="93"/>
      <c r="P211" s="95"/>
      <c r="Q211" s="197"/>
    </row>
    <row r="212" spans="3:17" x14ac:dyDescent="0.25">
      <c r="C212" s="199"/>
      <c r="D212" s="112"/>
      <c r="E212" s="33"/>
      <c r="F212" s="90"/>
      <c r="H212" s="116"/>
      <c r="I212" s="26"/>
      <c r="J212" s="98"/>
      <c r="K212" s="36"/>
      <c r="L212" s="26"/>
      <c r="M212" s="26"/>
      <c r="N212" s="26"/>
      <c r="O212" s="93"/>
      <c r="P212" s="95"/>
      <c r="Q212" s="197"/>
    </row>
    <row r="213" spans="3:17" x14ac:dyDescent="0.25">
      <c r="C213" s="199"/>
      <c r="D213" s="112"/>
      <c r="E213" s="33"/>
      <c r="F213" s="90"/>
      <c r="H213" s="116"/>
      <c r="I213" s="26"/>
      <c r="J213" s="98"/>
      <c r="K213" s="36"/>
      <c r="L213" s="26"/>
      <c r="M213" s="26"/>
      <c r="N213" s="26"/>
      <c r="O213" s="93"/>
      <c r="P213" s="95"/>
      <c r="Q213" s="197"/>
    </row>
    <row r="214" spans="3:17" x14ac:dyDescent="0.25">
      <c r="C214" s="199"/>
      <c r="D214" s="112"/>
      <c r="E214" s="33"/>
      <c r="F214" s="90"/>
      <c r="H214" s="116"/>
      <c r="I214" s="26"/>
      <c r="J214" s="98"/>
      <c r="K214" s="36"/>
      <c r="L214" s="26"/>
      <c r="M214" s="26"/>
      <c r="N214" s="26"/>
      <c r="O214" s="93"/>
      <c r="P214" s="95"/>
      <c r="Q214" s="197"/>
    </row>
    <row r="215" spans="3:17" x14ac:dyDescent="0.25">
      <c r="C215" s="199"/>
      <c r="D215" s="112"/>
      <c r="E215" s="33"/>
      <c r="F215" s="90"/>
      <c r="H215" s="116"/>
      <c r="I215" s="26"/>
      <c r="J215" s="98"/>
      <c r="K215" s="36"/>
      <c r="L215" s="26"/>
      <c r="M215" s="26"/>
      <c r="N215" s="26"/>
      <c r="O215" s="93"/>
      <c r="P215" s="95"/>
      <c r="Q215" s="197"/>
    </row>
    <row r="216" spans="3:17" x14ac:dyDescent="0.25">
      <c r="C216" s="199"/>
      <c r="D216" s="112"/>
      <c r="E216" s="33"/>
      <c r="F216" s="90"/>
      <c r="H216" s="116"/>
      <c r="I216" s="26"/>
      <c r="J216" s="98"/>
      <c r="K216" s="36"/>
      <c r="L216" s="26"/>
      <c r="M216" s="26"/>
      <c r="N216" s="26"/>
      <c r="O216" s="93"/>
      <c r="P216" s="95"/>
      <c r="Q216" s="197"/>
    </row>
    <row r="217" spans="3:17" x14ac:dyDescent="0.25">
      <c r="C217" s="199"/>
      <c r="D217" s="112"/>
      <c r="E217" s="33"/>
      <c r="F217" s="90"/>
      <c r="H217" s="116"/>
      <c r="I217" s="26"/>
      <c r="J217" s="98"/>
      <c r="K217" s="36"/>
      <c r="L217" s="26"/>
      <c r="M217" s="26"/>
      <c r="N217" s="26"/>
      <c r="O217" s="93"/>
      <c r="P217" s="95"/>
      <c r="Q217" s="197"/>
    </row>
    <row r="218" spans="3:17" x14ac:dyDescent="0.25">
      <c r="C218" s="199"/>
      <c r="D218" s="112"/>
      <c r="E218" s="33"/>
      <c r="F218" s="90"/>
      <c r="H218" s="116"/>
      <c r="I218" s="26"/>
      <c r="J218" s="98"/>
      <c r="K218" s="36"/>
      <c r="L218" s="26"/>
      <c r="M218" s="26"/>
      <c r="N218" s="26"/>
      <c r="O218" s="93"/>
      <c r="P218" s="95"/>
      <c r="Q218" s="197"/>
    </row>
    <row r="219" spans="3:17" x14ac:dyDescent="0.25">
      <c r="C219" s="199"/>
      <c r="D219" s="112"/>
      <c r="E219" s="33"/>
      <c r="F219" s="90"/>
      <c r="H219" s="116"/>
      <c r="I219" s="26"/>
      <c r="J219" s="98"/>
      <c r="K219" s="36"/>
      <c r="L219" s="26"/>
      <c r="M219" s="26"/>
      <c r="N219" s="26"/>
      <c r="O219" s="93"/>
      <c r="P219" s="95"/>
      <c r="Q219" s="197"/>
    </row>
    <row r="220" spans="3:17" x14ac:dyDescent="0.25">
      <c r="C220" s="199"/>
      <c r="D220" s="112"/>
      <c r="E220" s="33"/>
      <c r="F220" s="90"/>
      <c r="H220" s="116"/>
      <c r="I220" s="26"/>
      <c r="J220" s="98"/>
      <c r="K220" s="36"/>
      <c r="L220" s="26"/>
      <c r="M220" s="26"/>
      <c r="N220" s="26"/>
      <c r="O220" s="93"/>
      <c r="P220" s="95"/>
      <c r="Q220" s="197"/>
    </row>
    <row r="221" spans="3:17" x14ac:dyDescent="0.25">
      <c r="C221" s="199"/>
      <c r="D221" s="112"/>
      <c r="E221" s="33"/>
      <c r="F221" s="90"/>
      <c r="H221" s="116"/>
      <c r="I221" s="26"/>
      <c r="J221" s="98"/>
      <c r="K221" s="36"/>
      <c r="L221" s="26"/>
      <c r="M221" s="26"/>
      <c r="N221" s="26"/>
      <c r="O221" s="93"/>
      <c r="P221" s="95"/>
      <c r="Q221" s="197"/>
    </row>
    <row r="222" spans="3:17" x14ac:dyDescent="0.25">
      <c r="C222" s="199"/>
      <c r="D222" s="112"/>
      <c r="E222" s="33"/>
      <c r="F222" s="90"/>
      <c r="H222" s="116"/>
      <c r="I222" s="26"/>
      <c r="J222" s="98"/>
      <c r="K222" s="36"/>
      <c r="L222" s="26"/>
      <c r="M222" s="26"/>
      <c r="N222" s="26"/>
      <c r="O222" s="93"/>
      <c r="P222" s="95"/>
      <c r="Q222" s="197"/>
    </row>
    <row r="223" spans="3:17" x14ac:dyDescent="0.25">
      <c r="C223" s="199"/>
      <c r="D223" s="112"/>
      <c r="E223" s="33"/>
      <c r="F223" s="90"/>
      <c r="H223" s="116"/>
      <c r="I223" s="26"/>
      <c r="J223" s="98"/>
      <c r="K223" s="36"/>
      <c r="L223" s="26"/>
      <c r="M223" s="26"/>
      <c r="N223" s="26"/>
      <c r="O223" s="93"/>
      <c r="P223" s="95"/>
      <c r="Q223" s="197"/>
    </row>
    <row r="224" spans="3:17" x14ac:dyDescent="0.25">
      <c r="C224" s="199"/>
      <c r="D224" s="112"/>
      <c r="E224" s="33"/>
      <c r="F224" s="90"/>
      <c r="H224" s="116"/>
      <c r="I224" s="26"/>
      <c r="J224" s="98"/>
      <c r="K224" s="36"/>
      <c r="L224" s="26"/>
      <c r="M224" s="26"/>
      <c r="N224" s="26"/>
      <c r="O224" s="93"/>
      <c r="P224" s="95"/>
      <c r="Q224" s="197"/>
    </row>
    <row r="225" spans="3:17" x14ac:dyDescent="0.25">
      <c r="C225" s="199"/>
      <c r="D225" s="112"/>
      <c r="E225" s="33"/>
      <c r="F225" s="90"/>
      <c r="H225" s="116"/>
      <c r="I225" s="26"/>
      <c r="J225" s="98"/>
      <c r="K225" s="36"/>
      <c r="L225" s="26"/>
      <c r="M225" s="26"/>
      <c r="N225" s="26"/>
      <c r="O225" s="93"/>
      <c r="P225" s="95"/>
      <c r="Q225" s="197"/>
    </row>
    <row r="226" spans="3:17" x14ac:dyDescent="0.25">
      <c r="C226" s="199"/>
      <c r="D226" s="112"/>
      <c r="E226" s="33"/>
      <c r="F226" s="90"/>
      <c r="H226" s="116"/>
      <c r="I226" s="26"/>
      <c r="J226" s="98"/>
      <c r="K226" s="36"/>
      <c r="L226" s="26"/>
      <c r="M226" s="26"/>
      <c r="N226" s="26"/>
      <c r="O226" s="93"/>
      <c r="P226" s="95"/>
      <c r="Q226" s="197"/>
    </row>
    <row r="227" spans="3:17" x14ac:dyDescent="0.25">
      <c r="C227" s="199"/>
      <c r="D227" s="112"/>
      <c r="E227" s="33"/>
      <c r="F227" s="90"/>
      <c r="H227" s="116"/>
      <c r="I227" s="26"/>
      <c r="J227" s="98"/>
      <c r="K227" s="36"/>
      <c r="L227" s="26"/>
      <c r="M227" s="26"/>
      <c r="N227" s="26"/>
      <c r="O227" s="93"/>
      <c r="P227" s="95"/>
      <c r="Q227" s="197"/>
    </row>
    <row r="228" spans="3:17" x14ac:dyDescent="0.25">
      <c r="C228" s="199"/>
      <c r="D228" s="112"/>
      <c r="E228" s="33"/>
      <c r="F228" s="90"/>
      <c r="H228" s="116"/>
      <c r="I228" s="26"/>
      <c r="J228" s="98"/>
      <c r="K228" s="36"/>
      <c r="L228" s="26"/>
      <c r="M228" s="26"/>
      <c r="N228" s="26"/>
      <c r="O228" s="93"/>
      <c r="P228" s="95"/>
      <c r="Q228" s="197"/>
    </row>
    <row r="229" spans="3:17" x14ac:dyDescent="0.25">
      <c r="C229" s="199"/>
      <c r="D229" s="112"/>
      <c r="E229" s="33"/>
      <c r="F229" s="90"/>
      <c r="H229" s="116"/>
      <c r="I229" s="26"/>
      <c r="J229" s="98"/>
      <c r="K229" s="36"/>
      <c r="L229" s="26"/>
      <c r="M229" s="26"/>
      <c r="N229" s="26"/>
      <c r="O229" s="93"/>
      <c r="P229" s="95"/>
      <c r="Q229" s="197"/>
    </row>
    <row r="230" spans="3:17" x14ac:dyDescent="0.25">
      <c r="C230" s="199"/>
      <c r="D230" s="112"/>
      <c r="E230" s="33"/>
      <c r="F230" s="90"/>
      <c r="H230" s="116"/>
      <c r="I230" s="26"/>
      <c r="J230" s="98"/>
      <c r="K230" s="36"/>
      <c r="L230" s="26"/>
      <c r="M230" s="26"/>
      <c r="N230" s="26"/>
      <c r="O230" s="93"/>
      <c r="P230" s="95"/>
      <c r="Q230" s="197"/>
    </row>
    <row r="231" spans="3:17" x14ac:dyDescent="0.25">
      <c r="C231" s="199"/>
      <c r="D231" s="112"/>
      <c r="E231" s="33"/>
      <c r="F231" s="90"/>
      <c r="H231" s="116"/>
      <c r="I231" s="26"/>
      <c r="J231" s="98"/>
      <c r="K231" s="36"/>
      <c r="L231" s="26"/>
      <c r="M231" s="26"/>
      <c r="N231" s="26"/>
      <c r="O231" s="93"/>
      <c r="P231" s="95"/>
      <c r="Q231" s="197"/>
    </row>
    <row r="232" spans="3:17" x14ac:dyDescent="0.25">
      <c r="C232" s="199"/>
      <c r="D232" s="112"/>
      <c r="E232" s="33"/>
      <c r="F232" s="90"/>
      <c r="H232" s="116"/>
      <c r="I232" s="26"/>
      <c r="J232" s="98"/>
      <c r="K232" s="36"/>
      <c r="L232" s="26"/>
      <c r="M232" s="26"/>
      <c r="N232" s="26"/>
      <c r="O232" s="93"/>
      <c r="P232" s="95"/>
      <c r="Q232" s="197"/>
    </row>
    <row r="233" spans="3:17" x14ac:dyDescent="0.25">
      <c r="C233" s="199"/>
      <c r="D233" s="112"/>
      <c r="E233" s="33"/>
      <c r="F233" s="90"/>
      <c r="H233" s="116"/>
      <c r="I233" s="26"/>
      <c r="J233" s="98"/>
      <c r="K233" s="36"/>
      <c r="L233" s="26"/>
      <c r="M233" s="26"/>
      <c r="N233" s="26"/>
      <c r="O233" s="93"/>
      <c r="P233" s="95"/>
      <c r="Q233" s="197"/>
    </row>
    <row r="234" spans="3:17" x14ac:dyDescent="0.25">
      <c r="C234" s="199"/>
      <c r="D234" s="112"/>
      <c r="E234" s="33"/>
      <c r="F234" s="90"/>
      <c r="H234" s="116"/>
      <c r="I234" s="26"/>
      <c r="J234" s="98"/>
      <c r="K234" s="36"/>
      <c r="L234" s="26"/>
      <c r="M234" s="26"/>
      <c r="N234" s="26"/>
      <c r="O234" s="93"/>
      <c r="P234" s="95"/>
      <c r="Q234" s="197"/>
    </row>
    <row r="235" spans="3:17" x14ac:dyDescent="0.25">
      <c r="C235" s="199"/>
      <c r="D235" s="112"/>
      <c r="E235" s="33"/>
      <c r="F235" s="90"/>
      <c r="H235" s="116"/>
      <c r="I235" s="26"/>
      <c r="J235" s="98"/>
      <c r="K235" s="36"/>
      <c r="L235" s="26"/>
      <c r="M235" s="26"/>
      <c r="N235" s="26"/>
      <c r="O235" s="93"/>
      <c r="P235" s="95"/>
      <c r="Q235" s="197"/>
    </row>
    <row r="236" spans="3:17" x14ac:dyDescent="0.25">
      <c r="C236" s="199"/>
      <c r="D236" s="112"/>
      <c r="E236" s="33"/>
      <c r="F236" s="90"/>
      <c r="H236" s="116"/>
      <c r="I236" s="26"/>
      <c r="J236" s="98"/>
      <c r="K236" s="36"/>
      <c r="L236" s="26"/>
      <c r="M236" s="26"/>
      <c r="N236" s="26"/>
      <c r="O236" s="93"/>
      <c r="P236" s="95"/>
      <c r="Q236" s="197"/>
    </row>
    <row r="237" spans="3:17" x14ac:dyDescent="0.25">
      <c r="C237" s="199"/>
      <c r="D237" s="112"/>
      <c r="E237" s="33"/>
      <c r="F237" s="90"/>
      <c r="H237" s="116"/>
      <c r="I237" s="26"/>
      <c r="J237" s="98"/>
      <c r="K237" s="36"/>
      <c r="L237" s="26"/>
      <c r="M237" s="26"/>
      <c r="N237" s="26"/>
      <c r="O237" s="93"/>
      <c r="P237" s="95"/>
      <c r="Q237" s="197"/>
    </row>
    <row r="238" spans="3:17" x14ac:dyDescent="0.25">
      <c r="C238" s="199"/>
      <c r="D238" s="112"/>
      <c r="E238" s="33"/>
      <c r="F238" s="90"/>
      <c r="H238" s="116"/>
      <c r="I238" s="26"/>
      <c r="J238" s="98"/>
      <c r="K238" s="36"/>
      <c r="L238" s="26"/>
      <c r="M238" s="26"/>
      <c r="N238" s="26"/>
      <c r="O238" s="93"/>
      <c r="P238" s="95"/>
      <c r="Q238" s="197"/>
    </row>
    <row r="239" spans="3:17" x14ac:dyDescent="0.25">
      <c r="C239" s="199"/>
      <c r="D239" s="112"/>
      <c r="E239" s="33"/>
      <c r="F239" s="90"/>
      <c r="H239" s="116"/>
      <c r="I239" s="26"/>
      <c r="J239" s="98"/>
      <c r="K239" s="36"/>
      <c r="L239" s="26"/>
      <c r="M239" s="26"/>
      <c r="N239" s="26"/>
      <c r="O239" s="93"/>
      <c r="P239" s="95"/>
      <c r="Q239" s="197"/>
    </row>
    <row r="240" spans="3:17" x14ac:dyDescent="0.25">
      <c r="C240" s="199"/>
      <c r="D240" s="112"/>
      <c r="E240" s="33"/>
      <c r="F240" s="90"/>
      <c r="H240" s="116"/>
      <c r="I240" s="26"/>
      <c r="J240" s="98"/>
      <c r="K240" s="36"/>
      <c r="L240" s="26"/>
      <c r="M240" s="26"/>
      <c r="N240" s="26"/>
      <c r="O240" s="93"/>
      <c r="P240" s="95"/>
      <c r="Q240" s="197"/>
    </row>
    <row r="241" spans="3:17" x14ac:dyDescent="0.25">
      <c r="C241" s="199"/>
      <c r="D241" s="112"/>
      <c r="E241" s="33"/>
      <c r="F241" s="90"/>
      <c r="H241" s="116"/>
      <c r="I241" s="26"/>
      <c r="J241" s="98"/>
      <c r="K241" s="36"/>
      <c r="L241" s="26"/>
      <c r="M241" s="26"/>
      <c r="N241" s="26"/>
      <c r="O241" s="93"/>
      <c r="P241" s="95"/>
      <c r="Q241" s="197"/>
    </row>
    <row r="242" spans="3:17" x14ac:dyDescent="0.25">
      <c r="C242" s="199"/>
      <c r="D242" s="112"/>
      <c r="E242" s="33"/>
      <c r="F242" s="90"/>
      <c r="H242" s="116"/>
      <c r="I242" s="26"/>
      <c r="J242" s="98"/>
      <c r="K242" s="36"/>
      <c r="L242" s="26"/>
      <c r="M242" s="26"/>
      <c r="N242" s="26"/>
      <c r="O242" s="93"/>
      <c r="P242" s="95"/>
      <c r="Q242" s="197"/>
    </row>
    <row r="243" spans="3:17" x14ac:dyDescent="0.25">
      <c r="C243" s="199"/>
      <c r="D243" s="112"/>
      <c r="E243" s="33"/>
      <c r="F243" s="90"/>
      <c r="H243" s="116"/>
      <c r="I243" s="26"/>
      <c r="J243" s="98"/>
      <c r="K243" s="36"/>
      <c r="L243" s="26"/>
      <c r="M243" s="26"/>
      <c r="N243" s="26"/>
      <c r="O243" s="93"/>
      <c r="P243" s="95"/>
      <c r="Q243" s="197"/>
    </row>
    <row r="244" spans="3:17" x14ac:dyDescent="0.25">
      <c r="C244" s="199"/>
      <c r="D244" s="112"/>
      <c r="E244" s="33"/>
      <c r="F244" s="90"/>
      <c r="H244" s="116"/>
      <c r="I244" s="26"/>
      <c r="J244" s="98"/>
      <c r="K244" s="36"/>
      <c r="L244" s="26"/>
      <c r="M244" s="26"/>
      <c r="N244" s="26"/>
      <c r="O244" s="93"/>
      <c r="P244" s="95"/>
      <c r="Q244" s="197"/>
    </row>
    <row r="245" spans="3:17" x14ac:dyDescent="0.25">
      <c r="C245" s="199"/>
      <c r="D245" s="112"/>
      <c r="E245" s="33"/>
      <c r="F245" s="90"/>
      <c r="H245" s="116"/>
      <c r="I245" s="26"/>
      <c r="J245" s="98"/>
      <c r="K245" s="36"/>
      <c r="L245" s="26"/>
      <c r="M245" s="26"/>
      <c r="N245" s="26"/>
      <c r="O245" s="93"/>
      <c r="P245" s="95"/>
      <c r="Q245" s="197"/>
    </row>
    <row r="246" spans="3:17" x14ac:dyDescent="0.25">
      <c r="C246" s="199"/>
      <c r="D246" s="112"/>
      <c r="E246" s="33"/>
      <c r="F246" s="90"/>
      <c r="H246" s="116"/>
      <c r="I246" s="26"/>
      <c r="J246" s="98"/>
      <c r="K246" s="36"/>
      <c r="L246" s="26"/>
      <c r="M246" s="26"/>
      <c r="N246" s="26"/>
      <c r="O246" s="93"/>
      <c r="P246" s="95"/>
      <c r="Q246" s="197"/>
    </row>
    <row r="247" spans="3:17" x14ac:dyDescent="0.25">
      <c r="C247" s="199"/>
      <c r="D247" s="112"/>
      <c r="E247" s="33"/>
      <c r="F247" s="90"/>
      <c r="H247" s="116"/>
      <c r="I247" s="26"/>
      <c r="J247" s="98"/>
      <c r="K247" s="36"/>
      <c r="L247" s="26"/>
      <c r="M247" s="26"/>
      <c r="N247" s="26"/>
      <c r="O247" s="93"/>
      <c r="P247" s="95"/>
      <c r="Q247" s="197"/>
    </row>
    <row r="248" spans="3:17" x14ac:dyDescent="0.25">
      <c r="C248" s="199"/>
      <c r="D248" s="112"/>
      <c r="E248" s="33"/>
      <c r="F248" s="90"/>
      <c r="H248" s="116"/>
      <c r="I248" s="26"/>
      <c r="J248" s="98"/>
      <c r="K248" s="36"/>
      <c r="L248" s="26"/>
      <c r="M248" s="26"/>
      <c r="N248" s="26"/>
      <c r="O248" s="93"/>
      <c r="P248" s="95"/>
      <c r="Q248" s="197"/>
    </row>
    <row r="249" spans="3:17" x14ac:dyDescent="0.25">
      <c r="C249" s="199"/>
      <c r="D249" s="112"/>
      <c r="E249" s="33"/>
      <c r="F249" s="90"/>
      <c r="H249" s="116"/>
      <c r="I249" s="26"/>
      <c r="J249" s="98"/>
      <c r="K249" s="36"/>
      <c r="L249" s="26"/>
      <c r="M249" s="26"/>
      <c r="N249" s="26"/>
      <c r="O249" s="93"/>
      <c r="P249" s="95"/>
      <c r="Q249" s="197"/>
    </row>
    <row r="250" spans="3:17" x14ac:dyDescent="0.25">
      <c r="C250" s="199"/>
      <c r="D250" s="112"/>
      <c r="E250" s="33"/>
      <c r="F250" s="90"/>
      <c r="H250" s="116"/>
      <c r="I250" s="26"/>
      <c r="J250" s="98"/>
      <c r="K250" s="36"/>
      <c r="L250" s="26"/>
      <c r="M250" s="26"/>
      <c r="N250" s="26"/>
      <c r="O250" s="93"/>
      <c r="P250" s="95"/>
      <c r="Q250" s="197"/>
    </row>
    <row r="251" spans="3:17" x14ac:dyDescent="0.25">
      <c r="C251" s="199"/>
      <c r="D251" s="112"/>
      <c r="E251" s="33"/>
      <c r="F251" s="90"/>
      <c r="H251" s="116"/>
      <c r="I251" s="26"/>
      <c r="J251" s="98"/>
      <c r="K251" s="36"/>
      <c r="L251" s="26"/>
      <c r="M251" s="26"/>
      <c r="N251" s="26"/>
      <c r="O251" s="93"/>
      <c r="P251" s="95"/>
      <c r="Q251" s="197"/>
    </row>
    <row r="252" spans="3:17" x14ac:dyDescent="0.25">
      <c r="C252" s="199"/>
      <c r="D252" s="112"/>
      <c r="E252" s="33"/>
      <c r="F252" s="90"/>
      <c r="H252" s="116"/>
      <c r="I252" s="26"/>
      <c r="J252" s="98"/>
      <c r="K252" s="36"/>
      <c r="L252" s="26"/>
      <c r="M252" s="26"/>
      <c r="N252" s="26"/>
      <c r="O252" s="93"/>
      <c r="P252" s="95"/>
      <c r="Q252" s="197"/>
    </row>
    <row r="253" spans="3:17" x14ac:dyDescent="0.25">
      <c r="C253" s="199"/>
      <c r="D253" s="112"/>
      <c r="E253" s="33"/>
      <c r="F253" s="90"/>
      <c r="H253" s="116"/>
      <c r="I253" s="26"/>
      <c r="J253" s="98"/>
      <c r="K253" s="36"/>
      <c r="L253" s="26"/>
      <c r="M253" s="26"/>
      <c r="N253" s="26"/>
      <c r="O253" s="93"/>
      <c r="P253" s="95"/>
      <c r="Q253" s="197"/>
    </row>
    <row r="254" spans="3:17" x14ac:dyDescent="0.25">
      <c r="C254" s="199"/>
      <c r="D254" s="112"/>
      <c r="E254" s="33"/>
      <c r="F254" s="90"/>
      <c r="H254" s="116"/>
      <c r="I254" s="26"/>
      <c r="J254" s="98"/>
      <c r="K254" s="36"/>
      <c r="L254" s="26"/>
      <c r="M254" s="26"/>
      <c r="N254" s="26"/>
      <c r="O254" s="93"/>
      <c r="P254" s="95"/>
      <c r="Q254" s="197"/>
    </row>
    <row r="255" spans="3:17" x14ac:dyDescent="0.25">
      <c r="C255" s="199"/>
      <c r="D255" s="112"/>
      <c r="E255" s="33"/>
      <c r="F255" s="90"/>
      <c r="H255" s="116"/>
      <c r="I255" s="26"/>
      <c r="J255" s="98"/>
      <c r="K255" s="36"/>
      <c r="L255" s="26"/>
      <c r="M255" s="26"/>
      <c r="N255" s="26"/>
      <c r="O255" s="93"/>
      <c r="P255" s="95"/>
      <c r="Q255" s="197"/>
    </row>
    <row r="256" spans="3:17" x14ac:dyDescent="0.25">
      <c r="C256" s="199"/>
      <c r="D256" s="112"/>
      <c r="E256" s="33"/>
      <c r="F256" s="90"/>
      <c r="H256" s="116"/>
      <c r="I256" s="26"/>
      <c r="J256" s="98"/>
      <c r="K256" s="36"/>
      <c r="L256" s="26"/>
      <c r="M256" s="26"/>
      <c r="N256" s="26"/>
      <c r="O256" s="93"/>
      <c r="P256" s="95"/>
      <c r="Q256" s="197"/>
    </row>
    <row r="257" spans="3:17" x14ac:dyDescent="0.25">
      <c r="C257" s="199"/>
      <c r="D257" s="112"/>
      <c r="E257" s="33"/>
      <c r="F257" s="90"/>
      <c r="H257" s="116"/>
      <c r="I257" s="26"/>
      <c r="J257" s="98"/>
      <c r="K257" s="36"/>
      <c r="L257" s="26"/>
      <c r="M257" s="26"/>
      <c r="N257" s="26"/>
      <c r="O257" s="93"/>
      <c r="P257" s="95"/>
      <c r="Q257" s="197"/>
    </row>
    <row r="258" spans="3:17" x14ac:dyDescent="0.25">
      <c r="C258" s="199"/>
      <c r="D258" s="112"/>
      <c r="E258" s="33"/>
      <c r="F258" s="90"/>
      <c r="H258" s="116"/>
      <c r="I258" s="26"/>
      <c r="J258" s="98"/>
      <c r="K258" s="36"/>
      <c r="L258" s="26"/>
      <c r="M258" s="26"/>
      <c r="N258" s="26"/>
      <c r="O258" s="93"/>
      <c r="P258" s="95"/>
      <c r="Q258" s="197"/>
    </row>
    <row r="259" spans="3:17" x14ac:dyDescent="0.25">
      <c r="C259" s="199"/>
      <c r="D259" s="112"/>
      <c r="E259" s="33"/>
      <c r="F259" s="90"/>
      <c r="H259" s="116"/>
      <c r="I259" s="26"/>
      <c r="J259" s="98"/>
      <c r="K259" s="36"/>
      <c r="L259" s="26"/>
      <c r="M259" s="26"/>
      <c r="N259" s="26"/>
      <c r="O259" s="93"/>
      <c r="P259" s="95"/>
      <c r="Q259" s="197"/>
    </row>
    <row r="260" spans="3:17" x14ac:dyDescent="0.25">
      <c r="C260" s="199"/>
      <c r="D260" s="112"/>
      <c r="E260" s="33"/>
      <c r="F260" s="90"/>
      <c r="H260" s="116"/>
      <c r="I260" s="26"/>
      <c r="J260" s="98"/>
      <c r="K260" s="36"/>
      <c r="L260" s="26"/>
      <c r="M260" s="26"/>
      <c r="N260" s="26"/>
      <c r="O260" s="93"/>
      <c r="P260" s="95"/>
      <c r="Q260" s="197"/>
    </row>
    <row r="261" spans="3:17" x14ac:dyDescent="0.25">
      <c r="C261" s="199"/>
      <c r="D261" s="112"/>
      <c r="E261" s="33"/>
      <c r="F261" s="90"/>
      <c r="H261" s="116"/>
      <c r="I261" s="26"/>
      <c r="J261" s="98"/>
      <c r="K261" s="36"/>
      <c r="L261" s="26"/>
      <c r="M261" s="26"/>
      <c r="N261" s="26"/>
      <c r="O261" s="93"/>
      <c r="P261" s="95"/>
      <c r="Q261" s="197"/>
    </row>
    <row r="262" spans="3:17" x14ac:dyDescent="0.25">
      <c r="C262" s="199"/>
      <c r="D262" s="112"/>
      <c r="E262" s="33"/>
      <c r="F262" s="90"/>
      <c r="H262" s="116"/>
      <c r="I262" s="26"/>
      <c r="J262" s="98"/>
      <c r="K262" s="36"/>
      <c r="L262" s="26"/>
      <c r="M262" s="26"/>
      <c r="N262" s="26"/>
      <c r="O262" s="93"/>
      <c r="P262" s="95"/>
      <c r="Q262" s="197"/>
    </row>
    <row r="263" spans="3:17" x14ac:dyDescent="0.25">
      <c r="C263" s="199"/>
      <c r="D263" s="112"/>
      <c r="E263" s="33"/>
      <c r="F263" s="90"/>
      <c r="H263" s="116"/>
      <c r="I263" s="26"/>
      <c r="J263" s="98"/>
      <c r="K263" s="36"/>
      <c r="L263" s="26"/>
      <c r="M263" s="26"/>
      <c r="N263" s="26"/>
      <c r="O263" s="93"/>
      <c r="P263" s="95"/>
      <c r="Q263" s="197"/>
    </row>
    <row r="264" spans="3:17" x14ac:dyDescent="0.25">
      <c r="C264" s="199"/>
      <c r="D264" s="112"/>
      <c r="E264" s="33"/>
      <c r="F264" s="90"/>
      <c r="H264" s="116"/>
      <c r="I264" s="26"/>
      <c r="J264" s="98"/>
      <c r="K264" s="36"/>
      <c r="L264" s="26"/>
      <c r="M264" s="26"/>
      <c r="N264" s="26"/>
      <c r="O264" s="93"/>
      <c r="P264" s="95"/>
      <c r="Q264" s="197"/>
    </row>
    <row r="265" spans="3:17" x14ac:dyDescent="0.25">
      <c r="C265" s="199"/>
      <c r="D265" s="112"/>
      <c r="E265" s="33"/>
      <c r="F265" s="90"/>
      <c r="H265" s="116"/>
      <c r="I265" s="26"/>
      <c r="J265" s="98"/>
      <c r="K265" s="36"/>
      <c r="L265" s="26"/>
      <c r="M265" s="26"/>
      <c r="N265" s="26"/>
      <c r="O265" s="93"/>
      <c r="P265" s="95"/>
      <c r="Q265" s="197"/>
    </row>
    <row r="266" spans="3:17" x14ac:dyDescent="0.25">
      <c r="C266" s="199"/>
      <c r="D266" s="112"/>
      <c r="E266" s="33"/>
      <c r="F266" s="90"/>
      <c r="H266" s="116"/>
      <c r="I266" s="26"/>
      <c r="J266" s="98"/>
      <c r="K266" s="36"/>
      <c r="L266" s="26"/>
      <c r="M266" s="26"/>
      <c r="N266" s="26"/>
      <c r="O266" s="93"/>
      <c r="P266" s="95"/>
      <c r="Q266" s="197"/>
    </row>
    <row r="267" spans="3:17" x14ac:dyDescent="0.25">
      <c r="C267" s="199"/>
      <c r="D267" s="112"/>
      <c r="E267" s="33"/>
      <c r="F267" s="90"/>
      <c r="H267" s="116"/>
      <c r="I267" s="26"/>
      <c r="J267" s="98"/>
      <c r="K267" s="36"/>
      <c r="L267" s="26"/>
      <c r="M267" s="26"/>
      <c r="N267" s="26"/>
      <c r="O267" s="93"/>
      <c r="P267" s="95"/>
      <c r="Q267" s="197"/>
    </row>
    <row r="268" spans="3:17" x14ac:dyDescent="0.25">
      <c r="C268" s="199"/>
      <c r="D268" s="112"/>
      <c r="E268" s="33"/>
      <c r="F268" s="90"/>
      <c r="H268" s="116"/>
      <c r="I268" s="26"/>
      <c r="J268" s="98"/>
      <c r="K268" s="36"/>
      <c r="L268" s="26"/>
      <c r="M268" s="26"/>
      <c r="N268" s="26"/>
      <c r="O268" s="93"/>
      <c r="P268" s="95"/>
      <c r="Q268" s="197"/>
    </row>
    <row r="269" spans="3:17" x14ac:dyDescent="0.25">
      <c r="C269" s="199"/>
      <c r="D269" s="112"/>
      <c r="E269" s="33"/>
      <c r="F269" s="90"/>
      <c r="H269" s="116"/>
      <c r="I269" s="26"/>
      <c r="J269" s="98"/>
      <c r="K269" s="36"/>
      <c r="L269" s="26"/>
      <c r="M269" s="26"/>
      <c r="N269" s="26"/>
      <c r="O269" s="93"/>
      <c r="P269" s="95"/>
      <c r="Q269" s="197"/>
    </row>
    <row r="270" spans="3:17" x14ac:dyDescent="0.25">
      <c r="C270" s="199"/>
      <c r="D270" s="112"/>
      <c r="E270" s="33"/>
      <c r="F270" s="90"/>
      <c r="H270" s="116"/>
      <c r="I270" s="26"/>
      <c r="J270" s="98"/>
      <c r="K270" s="36"/>
      <c r="L270" s="26"/>
      <c r="M270" s="26"/>
      <c r="N270" s="26"/>
      <c r="O270" s="93"/>
      <c r="P270" s="95"/>
      <c r="Q270" s="197"/>
    </row>
    <row r="271" spans="3:17" x14ac:dyDescent="0.25">
      <c r="C271" s="199"/>
      <c r="D271" s="112"/>
      <c r="E271" s="33"/>
      <c r="F271" s="90"/>
      <c r="H271" s="116"/>
      <c r="I271" s="26"/>
      <c r="J271" s="98"/>
      <c r="K271" s="36"/>
      <c r="L271" s="26"/>
      <c r="M271" s="26"/>
      <c r="N271" s="26"/>
      <c r="O271" s="93"/>
      <c r="P271" s="95"/>
      <c r="Q271" s="197"/>
    </row>
    <row r="272" spans="3:17" x14ac:dyDescent="0.25">
      <c r="C272" s="199"/>
      <c r="D272" s="112"/>
      <c r="E272" s="33"/>
      <c r="F272" s="90"/>
      <c r="H272" s="116"/>
      <c r="I272" s="26"/>
      <c r="J272" s="98"/>
      <c r="K272" s="36"/>
      <c r="L272" s="26"/>
      <c r="M272" s="26"/>
      <c r="N272" s="26"/>
      <c r="O272" s="93"/>
      <c r="P272" s="95"/>
      <c r="Q272" s="197"/>
    </row>
    <row r="273" spans="3:17" x14ac:dyDescent="0.25">
      <c r="C273" s="199"/>
      <c r="D273" s="112"/>
      <c r="E273" s="33"/>
      <c r="F273" s="90"/>
      <c r="H273" s="116"/>
      <c r="I273" s="26"/>
      <c r="J273" s="98"/>
      <c r="K273" s="36"/>
      <c r="L273" s="26"/>
      <c r="M273" s="26"/>
      <c r="N273" s="26"/>
      <c r="O273" s="93"/>
      <c r="P273" s="95"/>
      <c r="Q273" s="197"/>
    </row>
    <row r="274" spans="3:17" x14ac:dyDescent="0.25">
      <c r="C274" s="199"/>
      <c r="D274" s="112"/>
      <c r="E274" s="33"/>
      <c r="F274" s="90"/>
      <c r="H274" s="116"/>
      <c r="I274" s="26"/>
      <c r="J274" s="98"/>
      <c r="K274" s="36"/>
      <c r="L274" s="26"/>
      <c r="M274" s="26"/>
      <c r="N274" s="26"/>
      <c r="O274" s="93"/>
      <c r="P274" s="95"/>
      <c r="Q274" s="197"/>
    </row>
    <row r="275" spans="3:17" x14ac:dyDescent="0.25">
      <c r="C275" s="199"/>
      <c r="D275" s="112"/>
      <c r="E275" s="33"/>
      <c r="F275" s="90"/>
      <c r="H275" s="116"/>
      <c r="I275" s="26"/>
      <c r="J275" s="98"/>
      <c r="K275" s="36"/>
      <c r="L275" s="26"/>
      <c r="M275" s="26"/>
      <c r="N275" s="26"/>
      <c r="O275" s="93"/>
      <c r="P275" s="95"/>
      <c r="Q275" s="197"/>
    </row>
    <row r="276" spans="3:17" x14ac:dyDescent="0.25">
      <c r="C276" s="199"/>
      <c r="D276" s="112"/>
      <c r="E276" s="33"/>
      <c r="F276" s="90"/>
      <c r="H276" s="116"/>
      <c r="I276" s="26"/>
      <c r="J276" s="98"/>
      <c r="K276" s="36"/>
      <c r="L276" s="26"/>
      <c r="M276" s="26"/>
      <c r="N276" s="26"/>
      <c r="O276" s="93"/>
      <c r="P276" s="95"/>
      <c r="Q276" s="197"/>
    </row>
    <row r="277" spans="3:17" x14ac:dyDescent="0.25">
      <c r="C277" s="199"/>
      <c r="D277" s="112"/>
      <c r="E277" s="33"/>
      <c r="F277" s="90"/>
      <c r="H277" s="116"/>
      <c r="I277" s="26"/>
      <c r="J277" s="98"/>
      <c r="K277" s="36"/>
      <c r="L277" s="26"/>
      <c r="M277" s="26"/>
      <c r="N277" s="26"/>
      <c r="O277" s="93"/>
      <c r="P277" s="95"/>
      <c r="Q277" s="197"/>
    </row>
    <row r="278" spans="3:17" x14ac:dyDescent="0.25">
      <c r="C278" s="199"/>
      <c r="D278" s="112"/>
      <c r="E278" s="33"/>
      <c r="F278" s="90"/>
      <c r="H278" s="116"/>
      <c r="I278" s="26"/>
      <c r="J278" s="98"/>
      <c r="K278" s="36"/>
      <c r="L278" s="26"/>
      <c r="M278" s="26"/>
      <c r="N278" s="26"/>
      <c r="O278" s="93"/>
      <c r="P278" s="95"/>
      <c r="Q278" s="197"/>
    </row>
    <row r="279" spans="3:17" x14ac:dyDescent="0.25">
      <c r="C279" s="199"/>
      <c r="D279" s="112"/>
      <c r="E279" s="33"/>
      <c r="F279" s="90"/>
      <c r="H279" s="116"/>
      <c r="I279" s="26"/>
      <c r="J279" s="98"/>
      <c r="K279" s="36"/>
      <c r="L279" s="26"/>
      <c r="M279" s="26"/>
      <c r="N279" s="26"/>
      <c r="O279" s="93"/>
      <c r="P279" s="95"/>
      <c r="Q279" s="197"/>
    </row>
    <row r="280" spans="3:17" x14ac:dyDescent="0.25">
      <c r="C280" s="199"/>
      <c r="D280" s="112"/>
      <c r="E280" s="33"/>
      <c r="F280" s="90"/>
      <c r="H280" s="116"/>
      <c r="I280" s="26"/>
      <c r="J280" s="98"/>
      <c r="K280" s="36"/>
      <c r="L280" s="26"/>
      <c r="M280" s="26"/>
      <c r="N280" s="26"/>
      <c r="O280" s="93"/>
      <c r="P280" s="95"/>
      <c r="Q280" s="197"/>
    </row>
    <row r="281" spans="3:17" x14ac:dyDescent="0.25">
      <c r="C281" s="199"/>
      <c r="D281" s="112"/>
      <c r="E281" s="33"/>
      <c r="F281" s="90"/>
      <c r="H281" s="116"/>
      <c r="I281" s="26"/>
      <c r="J281" s="98"/>
      <c r="K281" s="36"/>
      <c r="L281" s="26"/>
      <c r="M281" s="26"/>
      <c r="N281" s="26"/>
      <c r="O281" s="93"/>
      <c r="P281" s="95"/>
      <c r="Q281" s="197"/>
    </row>
    <row r="282" spans="3:17" x14ac:dyDescent="0.25">
      <c r="C282" s="199"/>
      <c r="D282" s="112"/>
      <c r="E282" s="33"/>
      <c r="F282" s="90"/>
      <c r="H282" s="116"/>
      <c r="I282" s="26"/>
      <c r="J282" s="98"/>
      <c r="K282" s="36"/>
      <c r="L282" s="26"/>
      <c r="M282" s="26"/>
      <c r="N282" s="26"/>
      <c r="O282" s="93"/>
      <c r="P282" s="95"/>
      <c r="Q282" s="197"/>
    </row>
    <row r="283" spans="3:17" x14ac:dyDescent="0.25">
      <c r="C283" s="199"/>
      <c r="D283" s="112"/>
      <c r="E283" s="33"/>
      <c r="F283" s="90"/>
      <c r="H283" s="116"/>
      <c r="I283" s="26"/>
      <c r="J283" s="98"/>
      <c r="K283" s="36"/>
      <c r="L283" s="26"/>
      <c r="M283" s="26"/>
      <c r="N283" s="26"/>
      <c r="O283" s="93"/>
      <c r="P283" s="95"/>
      <c r="Q283" s="197"/>
    </row>
    <row r="284" spans="3:17" x14ac:dyDescent="0.25">
      <c r="C284" s="199"/>
      <c r="D284" s="112"/>
      <c r="E284" s="33"/>
      <c r="F284" s="90"/>
      <c r="H284" s="116"/>
      <c r="I284" s="26"/>
      <c r="J284" s="98"/>
      <c r="K284" s="36"/>
      <c r="L284" s="26"/>
      <c r="M284" s="26"/>
      <c r="N284" s="26"/>
      <c r="O284" s="93"/>
      <c r="P284" s="95"/>
      <c r="Q284" s="197"/>
    </row>
    <row r="285" spans="3:17" x14ac:dyDescent="0.25">
      <c r="C285" s="199"/>
      <c r="D285" s="112"/>
      <c r="E285" s="33"/>
      <c r="F285" s="90"/>
      <c r="H285" s="116"/>
      <c r="I285" s="26"/>
      <c r="J285" s="98"/>
      <c r="K285" s="36"/>
      <c r="L285" s="26"/>
      <c r="M285" s="26"/>
      <c r="N285" s="26"/>
      <c r="O285" s="93"/>
      <c r="P285" s="95"/>
      <c r="Q285" s="197"/>
    </row>
    <row r="286" spans="3:17" x14ac:dyDescent="0.25">
      <c r="C286" s="199"/>
      <c r="D286" s="112"/>
      <c r="E286" s="33"/>
      <c r="F286" s="90"/>
      <c r="H286" s="116"/>
      <c r="I286" s="26"/>
      <c r="J286" s="98"/>
      <c r="K286" s="36"/>
      <c r="L286" s="26"/>
      <c r="M286" s="26"/>
      <c r="N286" s="26"/>
      <c r="O286" s="93"/>
      <c r="P286" s="95"/>
      <c r="Q286" s="197"/>
    </row>
    <row r="287" spans="3:17" x14ac:dyDescent="0.25">
      <c r="C287" s="199"/>
      <c r="D287" s="112"/>
      <c r="E287" s="33"/>
      <c r="F287" s="90"/>
      <c r="H287" s="116"/>
      <c r="I287" s="26"/>
      <c r="J287" s="98"/>
      <c r="K287" s="36"/>
      <c r="L287" s="26"/>
      <c r="M287" s="26"/>
      <c r="N287" s="26"/>
      <c r="O287" s="93"/>
      <c r="P287" s="95"/>
      <c r="Q287" s="197"/>
    </row>
    <row r="288" spans="3:17" x14ac:dyDescent="0.25">
      <c r="C288" s="199"/>
      <c r="D288" s="112"/>
      <c r="E288" s="33"/>
      <c r="F288" s="90"/>
      <c r="H288" s="116"/>
      <c r="I288" s="26"/>
      <c r="J288" s="98"/>
      <c r="K288" s="36"/>
      <c r="L288" s="26"/>
      <c r="M288" s="26"/>
      <c r="N288" s="26"/>
      <c r="O288" s="93"/>
      <c r="P288" s="95"/>
      <c r="Q288" s="197"/>
    </row>
    <row r="289" spans="3:17" x14ac:dyDescent="0.25">
      <c r="C289" s="199"/>
      <c r="D289" s="112"/>
      <c r="E289" s="33"/>
      <c r="F289" s="90"/>
      <c r="H289" s="116"/>
      <c r="I289" s="26"/>
      <c r="J289" s="98"/>
      <c r="K289" s="36"/>
      <c r="L289" s="26"/>
      <c r="M289" s="26"/>
      <c r="N289" s="26"/>
      <c r="O289" s="93"/>
      <c r="P289" s="95"/>
      <c r="Q289" s="197"/>
    </row>
    <row r="290" spans="3:17" x14ac:dyDescent="0.25">
      <c r="C290" s="199"/>
      <c r="D290" s="112"/>
      <c r="E290" s="33"/>
      <c r="F290" s="90"/>
      <c r="H290" s="116"/>
      <c r="I290" s="26"/>
      <c r="J290" s="98"/>
      <c r="K290" s="36"/>
      <c r="L290" s="26"/>
      <c r="M290" s="26"/>
      <c r="N290" s="26"/>
      <c r="O290" s="93"/>
      <c r="P290" s="95"/>
      <c r="Q290" s="197"/>
    </row>
    <row r="291" spans="3:17" x14ac:dyDescent="0.25">
      <c r="C291" s="199"/>
      <c r="D291" s="112"/>
      <c r="E291" s="33"/>
      <c r="F291" s="90"/>
      <c r="H291" s="116"/>
      <c r="I291" s="26"/>
      <c r="J291" s="98"/>
      <c r="K291" s="36"/>
      <c r="L291" s="26"/>
      <c r="M291" s="26"/>
      <c r="N291" s="26"/>
      <c r="O291" s="93"/>
      <c r="P291" s="95"/>
      <c r="Q291" s="197"/>
    </row>
    <row r="292" spans="3:17" x14ac:dyDescent="0.25">
      <c r="C292" s="199"/>
      <c r="D292" s="112"/>
      <c r="E292" s="33"/>
      <c r="F292" s="90"/>
      <c r="H292" s="116"/>
      <c r="I292" s="26"/>
      <c r="J292" s="98"/>
      <c r="K292" s="36"/>
      <c r="L292" s="26"/>
      <c r="M292" s="26"/>
      <c r="N292" s="26"/>
      <c r="O292" s="93"/>
      <c r="P292" s="95"/>
      <c r="Q292" s="197"/>
    </row>
    <row r="293" spans="3:17" x14ac:dyDescent="0.25">
      <c r="C293" s="199"/>
      <c r="D293" s="112"/>
      <c r="E293" s="33"/>
      <c r="F293" s="90"/>
      <c r="H293" s="116"/>
      <c r="I293" s="26"/>
      <c r="J293" s="98"/>
      <c r="K293" s="36"/>
      <c r="L293" s="26"/>
      <c r="M293" s="26"/>
      <c r="N293" s="26"/>
      <c r="O293" s="93"/>
      <c r="P293" s="95"/>
      <c r="Q293" s="197"/>
    </row>
    <row r="294" spans="3:17" x14ac:dyDescent="0.25">
      <c r="C294" s="199"/>
      <c r="D294" s="112"/>
      <c r="E294" s="33"/>
      <c r="F294" s="90"/>
      <c r="H294" s="116"/>
      <c r="I294" s="26"/>
      <c r="J294" s="98"/>
      <c r="K294" s="36"/>
      <c r="L294" s="26"/>
      <c r="M294" s="26"/>
      <c r="N294" s="26"/>
      <c r="O294" s="93"/>
      <c r="P294" s="95"/>
      <c r="Q294" s="197"/>
    </row>
    <row r="295" spans="3:17" x14ac:dyDescent="0.25">
      <c r="C295" s="199"/>
      <c r="D295" s="112"/>
      <c r="E295" s="33"/>
      <c r="F295" s="90"/>
      <c r="H295" s="116"/>
      <c r="I295" s="26"/>
      <c r="J295" s="98"/>
      <c r="K295" s="36"/>
      <c r="L295" s="26"/>
      <c r="M295" s="26"/>
      <c r="N295" s="26"/>
      <c r="O295" s="93"/>
      <c r="P295" s="95"/>
      <c r="Q295" s="197"/>
    </row>
    <row r="296" spans="3:17" x14ac:dyDescent="0.25">
      <c r="C296" s="199"/>
      <c r="D296" s="112"/>
      <c r="E296" s="33"/>
      <c r="F296" s="90"/>
      <c r="H296" s="116"/>
      <c r="I296" s="26"/>
      <c r="J296" s="98"/>
      <c r="K296" s="36"/>
      <c r="L296" s="26"/>
      <c r="M296" s="26"/>
      <c r="N296" s="26"/>
      <c r="O296" s="93"/>
      <c r="P296" s="95"/>
      <c r="Q296" s="197"/>
    </row>
    <row r="297" spans="3:17" x14ac:dyDescent="0.25">
      <c r="C297" s="199"/>
      <c r="D297" s="112"/>
      <c r="E297" s="33"/>
      <c r="F297" s="90"/>
      <c r="H297" s="116"/>
      <c r="I297" s="26"/>
      <c r="J297" s="98"/>
      <c r="K297" s="36"/>
      <c r="L297" s="26"/>
      <c r="M297" s="26"/>
      <c r="N297" s="26"/>
      <c r="O297" s="93"/>
      <c r="P297" s="95"/>
      <c r="Q297" s="197"/>
    </row>
    <row r="298" spans="3:17" x14ac:dyDescent="0.25">
      <c r="C298" s="199"/>
      <c r="D298" s="112"/>
      <c r="E298" s="33"/>
      <c r="F298" s="90"/>
      <c r="H298" s="116"/>
      <c r="I298" s="26"/>
      <c r="J298" s="98"/>
      <c r="K298" s="36"/>
      <c r="L298" s="26"/>
      <c r="M298" s="26"/>
      <c r="N298" s="26"/>
      <c r="O298" s="93"/>
      <c r="P298" s="95"/>
      <c r="Q298" s="197"/>
    </row>
    <row r="299" spans="3:17" x14ac:dyDescent="0.25">
      <c r="C299" s="199"/>
      <c r="D299" s="112"/>
      <c r="E299" s="33"/>
      <c r="F299" s="90"/>
      <c r="H299" s="116"/>
      <c r="I299" s="26"/>
      <c r="J299" s="98"/>
      <c r="K299" s="36"/>
      <c r="L299" s="26"/>
      <c r="M299" s="26"/>
      <c r="N299" s="26"/>
      <c r="O299" s="93"/>
      <c r="P299" s="95"/>
      <c r="Q299" s="197"/>
    </row>
    <row r="300" spans="3:17" x14ac:dyDescent="0.25">
      <c r="C300" s="199"/>
      <c r="D300" s="112"/>
      <c r="E300" s="33"/>
      <c r="F300" s="90"/>
      <c r="H300" s="116"/>
      <c r="I300" s="26"/>
      <c r="J300" s="98"/>
      <c r="K300" s="36"/>
      <c r="L300" s="26"/>
      <c r="M300" s="26"/>
      <c r="N300" s="26"/>
      <c r="O300" s="93"/>
      <c r="P300" s="95"/>
      <c r="Q300" s="197"/>
    </row>
    <row r="301" spans="3:17" x14ac:dyDescent="0.25">
      <c r="C301" s="199"/>
      <c r="D301" s="112"/>
      <c r="E301" s="33"/>
      <c r="F301" s="90"/>
      <c r="H301" s="116"/>
      <c r="I301" s="26"/>
      <c r="J301" s="98"/>
      <c r="K301" s="36"/>
      <c r="L301" s="26"/>
      <c r="M301" s="26"/>
      <c r="N301" s="26"/>
      <c r="O301" s="93"/>
      <c r="P301" s="95"/>
      <c r="Q301" s="197"/>
    </row>
    <row r="302" spans="3:17" x14ac:dyDescent="0.25">
      <c r="C302" s="199"/>
      <c r="D302" s="112"/>
      <c r="E302" s="33"/>
      <c r="F302" s="90"/>
      <c r="H302" s="116"/>
      <c r="I302" s="26"/>
      <c r="J302" s="98"/>
      <c r="K302" s="36"/>
      <c r="L302" s="26"/>
      <c r="M302" s="26"/>
      <c r="N302" s="26"/>
      <c r="O302" s="93"/>
      <c r="P302" s="95"/>
      <c r="Q302" s="197"/>
    </row>
    <row r="303" spans="3:17" x14ac:dyDescent="0.25">
      <c r="C303" s="199"/>
      <c r="D303" s="112"/>
      <c r="E303" s="33"/>
      <c r="F303" s="90"/>
      <c r="H303" s="116"/>
      <c r="I303" s="26"/>
      <c r="J303" s="98"/>
      <c r="K303" s="36"/>
      <c r="L303" s="26"/>
      <c r="M303" s="26"/>
      <c r="N303" s="26"/>
      <c r="O303" s="93"/>
      <c r="P303" s="95"/>
      <c r="Q303" s="197"/>
    </row>
    <row r="304" spans="3:17" x14ac:dyDescent="0.25">
      <c r="C304" s="199"/>
      <c r="D304" s="112"/>
      <c r="E304" s="33"/>
      <c r="F304" s="90"/>
      <c r="H304" s="116"/>
      <c r="I304" s="26"/>
      <c r="J304" s="98"/>
      <c r="K304" s="36"/>
      <c r="L304" s="26"/>
      <c r="M304" s="26"/>
      <c r="N304" s="26"/>
      <c r="O304" s="93"/>
      <c r="P304" s="95"/>
      <c r="Q304" s="197"/>
    </row>
    <row r="305" spans="3:17" x14ac:dyDescent="0.25">
      <c r="C305" s="199"/>
      <c r="D305" s="112"/>
      <c r="E305" s="33"/>
      <c r="F305" s="90"/>
      <c r="H305" s="116"/>
      <c r="I305" s="26"/>
      <c r="J305" s="98"/>
      <c r="K305" s="36"/>
      <c r="L305" s="26"/>
      <c r="M305" s="26"/>
      <c r="N305" s="26"/>
      <c r="O305" s="93"/>
      <c r="P305" s="95"/>
      <c r="Q305" s="197"/>
    </row>
    <row r="306" spans="3:17" x14ac:dyDescent="0.25">
      <c r="C306" s="199"/>
      <c r="D306" s="112"/>
      <c r="E306" s="33"/>
      <c r="F306" s="90"/>
      <c r="H306" s="116"/>
      <c r="I306" s="26"/>
      <c r="J306" s="98"/>
      <c r="K306" s="36"/>
      <c r="L306" s="26"/>
      <c r="M306" s="26"/>
      <c r="N306" s="26"/>
      <c r="O306" s="93"/>
      <c r="P306" s="95"/>
      <c r="Q306" s="197"/>
    </row>
    <row r="307" spans="3:17" x14ac:dyDescent="0.25">
      <c r="C307" s="199"/>
      <c r="D307" s="112"/>
      <c r="E307" s="33"/>
      <c r="F307" s="90"/>
      <c r="H307" s="116"/>
      <c r="I307" s="26"/>
      <c r="J307" s="98"/>
      <c r="K307" s="36"/>
      <c r="L307" s="26"/>
      <c r="M307" s="26"/>
      <c r="N307" s="26"/>
      <c r="O307" s="93"/>
      <c r="P307" s="95"/>
      <c r="Q307" s="197"/>
    </row>
    <row r="308" spans="3:17" x14ac:dyDescent="0.25">
      <c r="C308" s="199"/>
      <c r="D308" s="112"/>
      <c r="E308" s="33"/>
      <c r="F308" s="90"/>
      <c r="H308" s="116"/>
      <c r="I308" s="26"/>
      <c r="J308" s="98"/>
      <c r="K308" s="36"/>
      <c r="L308" s="26"/>
      <c r="M308" s="26"/>
      <c r="N308" s="26"/>
      <c r="O308" s="93"/>
      <c r="P308" s="95"/>
      <c r="Q308" s="197"/>
    </row>
    <row r="309" spans="3:17" x14ac:dyDescent="0.25">
      <c r="C309" s="199"/>
      <c r="D309" s="112"/>
      <c r="E309" s="33"/>
      <c r="F309" s="90"/>
      <c r="H309" s="116"/>
      <c r="I309" s="26"/>
      <c r="J309" s="98"/>
      <c r="K309" s="36"/>
      <c r="L309" s="26"/>
      <c r="M309" s="26"/>
      <c r="N309" s="26"/>
      <c r="O309" s="93"/>
      <c r="P309" s="95"/>
      <c r="Q309" s="197"/>
    </row>
    <row r="310" spans="3:17" x14ac:dyDescent="0.25">
      <c r="C310" s="199"/>
      <c r="D310" s="112"/>
      <c r="E310" s="33"/>
      <c r="F310" s="90"/>
      <c r="H310" s="116"/>
      <c r="I310" s="26"/>
      <c r="J310" s="98"/>
      <c r="K310" s="36"/>
      <c r="L310" s="26"/>
      <c r="M310" s="26"/>
      <c r="N310" s="26"/>
      <c r="O310" s="93"/>
      <c r="P310" s="95"/>
      <c r="Q310" s="197"/>
    </row>
    <row r="311" spans="3:17" x14ac:dyDescent="0.25">
      <c r="C311" s="199"/>
      <c r="D311" s="112"/>
      <c r="E311" s="33"/>
      <c r="F311" s="90"/>
      <c r="H311" s="116"/>
      <c r="I311" s="26"/>
      <c r="J311" s="98"/>
      <c r="K311" s="36"/>
      <c r="L311" s="26"/>
      <c r="M311" s="26"/>
      <c r="N311" s="26"/>
      <c r="O311" s="93"/>
      <c r="P311" s="95"/>
      <c r="Q311" s="197"/>
    </row>
    <row r="312" spans="3:17" x14ac:dyDescent="0.25">
      <c r="C312" s="199"/>
      <c r="D312" s="112"/>
      <c r="E312" s="33"/>
      <c r="F312" s="90"/>
      <c r="H312" s="116"/>
      <c r="I312" s="26"/>
      <c r="J312" s="98"/>
      <c r="K312" s="36"/>
      <c r="L312" s="26"/>
      <c r="M312" s="26"/>
      <c r="N312" s="26"/>
      <c r="O312" s="93"/>
      <c r="P312" s="95"/>
      <c r="Q312" s="197"/>
    </row>
    <row r="313" spans="3:17" x14ac:dyDescent="0.25">
      <c r="C313" s="199"/>
      <c r="D313" s="112"/>
      <c r="E313" s="33"/>
      <c r="F313" s="90"/>
      <c r="H313" s="116"/>
      <c r="I313" s="26"/>
      <c r="J313" s="98"/>
      <c r="K313" s="36"/>
      <c r="L313" s="26"/>
      <c r="M313" s="26"/>
      <c r="N313" s="26"/>
      <c r="O313" s="93"/>
      <c r="P313" s="95"/>
      <c r="Q313" s="197"/>
    </row>
    <row r="314" spans="3:17" x14ac:dyDescent="0.25">
      <c r="C314" s="199"/>
      <c r="D314" s="112"/>
      <c r="E314" s="33"/>
      <c r="F314" s="90"/>
      <c r="H314" s="116"/>
      <c r="I314" s="26"/>
      <c r="J314" s="98"/>
      <c r="K314" s="36"/>
      <c r="L314" s="26"/>
      <c r="M314" s="26"/>
      <c r="N314" s="26"/>
      <c r="O314" s="93"/>
      <c r="P314" s="95"/>
      <c r="Q314" s="197"/>
    </row>
    <row r="315" spans="3:17" x14ac:dyDescent="0.25">
      <c r="C315" s="199"/>
      <c r="D315" s="112"/>
      <c r="E315" s="33"/>
      <c r="F315" s="90"/>
      <c r="H315" s="116"/>
      <c r="I315" s="26"/>
      <c r="J315" s="98"/>
      <c r="K315" s="36"/>
      <c r="L315" s="26"/>
      <c r="M315" s="26"/>
      <c r="N315" s="26"/>
      <c r="O315" s="93"/>
      <c r="P315" s="95"/>
      <c r="Q315" s="197"/>
    </row>
    <row r="316" spans="3:17" x14ac:dyDescent="0.25">
      <c r="C316" s="199"/>
      <c r="D316" s="112"/>
      <c r="E316" s="33"/>
      <c r="F316" s="90"/>
      <c r="H316" s="116"/>
      <c r="I316" s="26"/>
      <c r="J316" s="98"/>
      <c r="K316" s="36"/>
      <c r="L316" s="26"/>
      <c r="M316" s="26"/>
      <c r="N316" s="26"/>
      <c r="O316" s="93"/>
      <c r="P316" s="95"/>
      <c r="Q316" s="197"/>
    </row>
    <row r="317" spans="3:17" x14ac:dyDescent="0.25">
      <c r="C317" s="199"/>
      <c r="D317" s="112"/>
      <c r="E317" s="33"/>
      <c r="F317" s="90"/>
      <c r="H317" s="116"/>
      <c r="I317" s="26"/>
      <c r="J317" s="98"/>
      <c r="K317" s="36"/>
      <c r="L317" s="26"/>
      <c r="M317" s="26"/>
      <c r="N317" s="26"/>
      <c r="O317" s="93"/>
      <c r="P317" s="95"/>
      <c r="Q317" s="197"/>
    </row>
    <row r="318" spans="3:17" x14ac:dyDescent="0.25">
      <c r="C318" s="199"/>
      <c r="D318" s="112"/>
      <c r="E318" s="33"/>
      <c r="F318" s="90"/>
      <c r="H318" s="116"/>
      <c r="I318" s="26"/>
      <c r="J318" s="98"/>
      <c r="K318" s="36"/>
      <c r="L318" s="26"/>
      <c r="M318" s="26"/>
      <c r="N318" s="26"/>
      <c r="O318" s="93"/>
      <c r="P318" s="95"/>
      <c r="Q318" s="197"/>
    </row>
    <row r="319" spans="3:17" x14ac:dyDescent="0.25">
      <c r="C319" s="199"/>
      <c r="D319" s="112"/>
      <c r="E319" s="33"/>
      <c r="F319" s="90"/>
      <c r="H319" s="116"/>
      <c r="I319" s="26"/>
      <c r="J319" s="98"/>
      <c r="K319" s="36"/>
      <c r="L319" s="26"/>
      <c r="M319" s="26"/>
      <c r="N319" s="26"/>
      <c r="O319" s="93"/>
      <c r="P319" s="95"/>
      <c r="Q319" s="197"/>
    </row>
    <row r="320" spans="3:17" x14ac:dyDescent="0.25">
      <c r="C320" s="199"/>
      <c r="D320" s="112"/>
      <c r="E320" s="33"/>
      <c r="F320" s="90"/>
      <c r="H320" s="116"/>
      <c r="I320" s="26"/>
      <c r="J320" s="98"/>
      <c r="K320" s="36"/>
      <c r="L320" s="26"/>
      <c r="M320" s="26"/>
      <c r="N320" s="26"/>
      <c r="O320" s="93"/>
      <c r="P320" s="95"/>
      <c r="Q320" s="197"/>
    </row>
    <row r="321" spans="3:17" x14ac:dyDescent="0.25">
      <c r="C321" s="199"/>
      <c r="D321" s="112"/>
      <c r="E321" s="33"/>
      <c r="F321" s="90"/>
      <c r="H321" s="116"/>
      <c r="I321" s="26"/>
      <c r="J321" s="98"/>
      <c r="K321" s="36"/>
      <c r="L321" s="26"/>
      <c r="M321" s="26"/>
      <c r="N321" s="26"/>
      <c r="O321" s="93"/>
      <c r="P321" s="95"/>
      <c r="Q321" s="197"/>
    </row>
    <row r="322" spans="3:17" x14ac:dyDescent="0.25">
      <c r="C322" s="199"/>
      <c r="D322" s="112"/>
      <c r="E322" s="33"/>
      <c r="F322" s="90"/>
      <c r="H322" s="116"/>
      <c r="I322" s="26"/>
      <c r="J322" s="98"/>
      <c r="K322" s="36"/>
      <c r="L322" s="26"/>
      <c r="M322" s="26"/>
      <c r="N322" s="26"/>
      <c r="O322" s="93"/>
      <c r="P322" s="95"/>
      <c r="Q322" s="197"/>
    </row>
    <row r="323" spans="3:17" x14ac:dyDescent="0.25">
      <c r="C323" s="199"/>
      <c r="D323" s="112"/>
      <c r="E323" s="33"/>
      <c r="F323" s="90"/>
      <c r="H323" s="116"/>
      <c r="I323" s="26"/>
      <c r="J323" s="98"/>
      <c r="K323" s="36"/>
      <c r="L323" s="26"/>
      <c r="M323" s="26"/>
      <c r="N323" s="26"/>
      <c r="O323" s="93"/>
      <c r="P323" s="95"/>
      <c r="Q323" s="197"/>
    </row>
    <row r="324" spans="3:17" x14ac:dyDescent="0.25">
      <c r="C324" s="199"/>
      <c r="D324" s="112"/>
      <c r="E324" s="33"/>
      <c r="F324" s="90"/>
      <c r="H324" s="116"/>
      <c r="I324" s="26"/>
      <c r="J324" s="98"/>
      <c r="K324" s="36"/>
      <c r="L324" s="26"/>
      <c r="M324" s="26"/>
      <c r="N324" s="26"/>
      <c r="O324" s="93"/>
      <c r="P324" s="95"/>
      <c r="Q324" s="197"/>
    </row>
    <row r="325" spans="3:17" x14ac:dyDescent="0.25">
      <c r="C325" s="199"/>
      <c r="D325" s="112"/>
      <c r="E325" s="33"/>
      <c r="F325" s="90"/>
      <c r="H325" s="116"/>
      <c r="I325" s="26"/>
      <c r="J325" s="98"/>
      <c r="K325" s="36"/>
      <c r="L325" s="26"/>
      <c r="M325" s="26"/>
      <c r="N325" s="26"/>
      <c r="O325" s="93"/>
      <c r="P325" s="95"/>
      <c r="Q325" s="197"/>
    </row>
    <row r="326" spans="3:17" x14ac:dyDescent="0.25">
      <c r="C326" s="199"/>
      <c r="D326" s="112"/>
      <c r="E326" s="33"/>
      <c r="F326" s="90"/>
      <c r="H326" s="116"/>
      <c r="I326" s="26"/>
      <c r="J326" s="98"/>
      <c r="K326" s="36"/>
      <c r="L326" s="26"/>
      <c r="M326" s="26"/>
      <c r="N326" s="26"/>
      <c r="O326" s="93"/>
      <c r="P326" s="95"/>
      <c r="Q326" s="197"/>
    </row>
    <row r="327" spans="3:17" x14ac:dyDescent="0.25">
      <c r="C327" s="199"/>
      <c r="D327" s="112"/>
      <c r="E327" s="33"/>
      <c r="F327" s="90"/>
      <c r="H327" s="116"/>
      <c r="I327" s="26"/>
      <c r="J327" s="98"/>
      <c r="K327" s="36"/>
      <c r="L327" s="26"/>
      <c r="M327" s="26"/>
      <c r="N327" s="26"/>
      <c r="O327" s="93"/>
      <c r="P327" s="95"/>
      <c r="Q327" s="197"/>
    </row>
    <row r="328" spans="3:17" x14ac:dyDescent="0.25">
      <c r="C328" s="199"/>
      <c r="D328" s="112"/>
      <c r="E328" s="33"/>
      <c r="F328" s="90"/>
      <c r="H328" s="116"/>
      <c r="I328" s="26"/>
      <c r="J328" s="98"/>
      <c r="K328" s="36"/>
      <c r="L328" s="26"/>
      <c r="M328" s="26"/>
      <c r="N328" s="26"/>
      <c r="O328" s="93"/>
      <c r="P328" s="95"/>
      <c r="Q328" s="197"/>
    </row>
    <row r="329" spans="3:17" x14ac:dyDescent="0.25">
      <c r="C329" s="199"/>
      <c r="D329" s="112"/>
      <c r="E329" s="33"/>
      <c r="F329" s="90"/>
      <c r="H329" s="116"/>
      <c r="I329" s="26"/>
      <c r="J329" s="98"/>
      <c r="K329" s="36"/>
      <c r="L329" s="26"/>
      <c r="M329" s="26"/>
      <c r="N329" s="26"/>
      <c r="O329" s="93"/>
      <c r="P329" s="95"/>
      <c r="Q329" s="197"/>
    </row>
    <row r="330" spans="3:17" x14ac:dyDescent="0.25">
      <c r="C330" s="199"/>
      <c r="D330" s="112"/>
      <c r="E330" s="33"/>
      <c r="F330" s="90"/>
      <c r="H330" s="116"/>
      <c r="I330" s="26"/>
      <c r="J330" s="98"/>
      <c r="K330" s="36"/>
      <c r="L330" s="26"/>
      <c r="M330" s="26"/>
      <c r="N330" s="26"/>
      <c r="O330" s="93"/>
      <c r="P330" s="95"/>
      <c r="Q330" s="197"/>
    </row>
    <row r="331" spans="3:17" x14ac:dyDescent="0.25">
      <c r="C331" s="199"/>
      <c r="D331" s="112"/>
      <c r="E331" s="33"/>
      <c r="F331" s="90"/>
      <c r="H331" s="116"/>
      <c r="I331" s="26"/>
      <c r="J331" s="98"/>
      <c r="K331" s="36"/>
      <c r="L331" s="26"/>
      <c r="M331" s="26"/>
      <c r="N331" s="26"/>
      <c r="O331" s="93"/>
      <c r="P331" s="95"/>
      <c r="Q331" s="197"/>
    </row>
    <row r="332" spans="3:17" x14ac:dyDescent="0.25">
      <c r="C332" s="199"/>
      <c r="D332" s="112"/>
      <c r="E332" s="33"/>
      <c r="F332" s="90"/>
      <c r="H332" s="116"/>
      <c r="I332" s="26"/>
      <c r="J332" s="98"/>
      <c r="K332" s="36"/>
      <c r="L332" s="26"/>
      <c r="M332" s="26"/>
      <c r="N332" s="26"/>
      <c r="O332" s="93"/>
      <c r="P332" s="95"/>
      <c r="Q332" s="197"/>
    </row>
    <row r="333" spans="3:17" x14ac:dyDescent="0.25">
      <c r="C333" s="199"/>
      <c r="D333" s="112"/>
      <c r="E333" s="33"/>
      <c r="F333" s="90"/>
      <c r="H333" s="116"/>
      <c r="I333" s="26"/>
      <c r="J333" s="98"/>
      <c r="K333" s="36"/>
      <c r="L333" s="26"/>
      <c r="M333" s="26"/>
      <c r="N333" s="26"/>
      <c r="O333" s="93"/>
      <c r="P333" s="95"/>
      <c r="Q333" s="197"/>
    </row>
    <row r="334" spans="3:17" x14ac:dyDescent="0.25">
      <c r="C334" s="199"/>
      <c r="D334" s="112"/>
      <c r="E334" s="33"/>
      <c r="F334" s="90"/>
      <c r="H334" s="116"/>
      <c r="I334" s="26"/>
      <c r="J334" s="98"/>
      <c r="K334" s="36"/>
      <c r="L334" s="26"/>
      <c r="M334" s="26"/>
      <c r="N334" s="26"/>
      <c r="O334" s="93"/>
      <c r="P334" s="95"/>
      <c r="Q334" s="197"/>
    </row>
    <row r="335" spans="3:17" x14ac:dyDescent="0.25">
      <c r="C335" s="199"/>
      <c r="D335" s="112"/>
      <c r="E335" s="33"/>
      <c r="F335" s="90"/>
      <c r="H335" s="116"/>
      <c r="I335" s="26"/>
      <c r="J335" s="98"/>
      <c r="K335" s="36"/>
      <c r="L335" s="26"/>
      <c r="M335" s="26"/>
      <c r="N335" s="26"/>
      <c r="O335" s="93"/>
      <c r="P335" s="95"/>
      <c r="Q335" s="197"/>
    </row>
    <row r="336" spans="3:17" x14ac:dyDescent="0.25">
      <c r="C336" s="199"/>
      <c r="D336" s="112"/>
      <c r="E336" s="33"/>
      <c r="F336" s="90"/>
      <c r="H336" s="116"/>
      <c r="I336" s="26"/>
      <c r="J336" s="98"/>
      <c r="K336" s="36"/>
      <c r="L336" s="26"/>
      <c r="M336" s="26"/>
      <c r="N336" s="26"/>
      <c r="O336" s="93"/>
      <c r="P336" s="95"/>
      <c r="Q336" s="197"/>
    </row>
    <row r="337" spans="3:17" x14ac:dyDescent="0.25">
      <c r="C337" s="199"/>
      <c r="D337" s="112"/>
      <c r="E337" s="33"/>
      <c r="F337" s="90"/>
      <c r="H337" s="116"/>
      <c r="I337" s="26"/>
      <c r="J337" s="98"/>
      <c r="K337" s="36"/>
      <c r="L337" s="26"/>
      <c r="M337" s="26"/>
      <c r="N337" s="26"/>
      <c r="O337" s="93"/>
      <c r="P337" s="95"/>
      <c r="Q337" s="197"/>
    </row>
    <row r="338" spans="3:17" x14ac:dyDescent="0.25">
      <c r="C338" s="199"/>
      <c r="D338" s="112"/>
      <c r="E338" s="33"/>
      <c r="F338" s="90"/>
      <c r="H338" s="116"/>
      <c r="I338" s="26"/>
      <c r="J338" s="98"/>
      <c r="K338" s="36"/>
      <c r="L338" s="26"/>
      <c r="M338" s="26"/>
      <c r="N338" s="26"/>
      <c r="O338" s="93"/>
      <c r="P338" s="95"/>
      <c r="Q338" s="197"/>
    </row>
    <row r="339" spans="3:17" x14ac:dyDescent="0.25">
      <c r="C339" s="199"/>
      <c r="D339" s="112"/>
      <c r="E339" s="33"/>
      <c r="F339" s="90"/>
      <c r="H339" s="116"/>
      <c r="I339" s="26"/>
      <c r="J339" s="98"/>
      <c r="K339" s="36"/>
      <c r="L339" s="26"/>
      <c r="M339" s="26"/>
      <c r="N339" s="26"/>
      <c r="O339" s="93"/>
      <c r="P339" s="95"/>
      <c r="Q339" s="197"/>
    </row>
    <row r="340" spans="3:17" x14ac:dyDescent="0.25">
      <c r="C340" s="199"/>
      <c r="D340" s="112"/>
      <c r="E340" s="33"/>
      <c r="F340" s="90"/>
      <c r="H340" s="116"/>
      <c r="I340" s="26"/>
      <c r="J340" s="98"/>
      <c r="K340" s="36"/>
      <c r="L340" s="26"/>
      <c r="M340" s="26"/>
      <c r="N340" s="26"/>
      <c r="O340" s="93"/>
      <c r="P340" s="95"/>
      <c r="Q340" s="197"/>
    </row>
    <row r="341" spans="3:17" x14ac:dyDescent="0.25">
      <c r="C341" s="199"/>
      <c r="D341" s="112"/>
      <c r="E341" s="33"/>
      <c r="F341" s="90"/>
      <c r="H341" s="116"/>
      <c r="I341" s="26"/>
      <c r="J341" s="98"/>
      <c r="K341" s="36"/>
      <c r="L341" s="26"/>
      <c r="M341" s="26"/>
      <c r="N341" s="26"/>
      <c r="O341" s="93"/>
      <c r="P341" s="95"/>
      <c r="Q341" s="197"/>
    </row>
    <row r="342" spans="3:17" x14ac:dyDescent="0.25">
      <c r="C342" s="199"/>
      <c r="D342" s="112"/>
      <c r="E342" s="33"/>
      <c r="F342" s="90"/>
      <c r="H342" s="116"/>
      <c r="I342" s="26"/>
      <c r="J342" s="98"/>
      <c r="K342" s="36"/>
      <c r="L342" s="26"/>
      <c r="M342" s="26"/>
      <c r="N342" s="26"/>
      <c r="O342" s="93"/>
      <c r="P342" s="95"/>
      <c r="Q342" s="197"/>
    </row>
    <row r="343" spans="3:17" x14ac:dyDescent="0.25">
      <c r="C343" s="199"/>
      <c r="D343" s="112"/>
      <c r="E343" s="33"/>
      <c r="F343" s="90"/>
      <c r="H343" s="116"/>
      <c r="I343" s="26"/>
      <c r="J343" s="98"/>
      <c r="K343" s="36"/>
      <c r="L343" s="26"/>
      <c r="M343" s="26"/>
      <c r="N343" s="26"/>
      <c r="O343" s="93"/>
      <c r="P343" s="95"/>
      <c r="Q343" s="197"/>
    </row>
    <row r="344" spans="3:17" x14ac:dyDescent="0.25">
      <c r="C344" s="199"/>
      <c r="D344" s="112"/>
      <c r="E344" s="33"/>
      <c r="F344" s="90"/>
      <c r="H344" s="116"/>
      <c r="I344" s="26"/>
      <c r="J344" s="98"/>
      <c r="K344" s="36"/>
      <c r="L344" s="26"/>
      <c r="M344" s="26"/>
      <c r="N344" s="26"/>
      <c r="O344" s="93"/>
      <c r="P344" s="95"/>
      <c r="Q344" s="197"/>
    </row>
    <row r="345" spans="3:17" x14ac:dyDescent="0.25">
      <c r="C345" s="199"/>
      <c r="D345" s="112"/>
      <c r="E345" s="33"/>
      <c r="F345" s="90"/>
      <c r="H345" s="116"/>
      <c r="I345" s="26"/>
      <c r="J345" s="98"/>
      <c r="K345" s="36"/>
      <c r="L345" s="26"/>
      <c r="M345" s="26"/>
      <c r="N345" s="26"/>
      <c r="O345" s="93"/>
      <c r="P345" s="95"/>
      <c r="Q345" s="197"/>
    </row>
    <row r="346" spans="3:17" x14ac:dyDescent="0.25">
      <c r="C346" s="199"/>
      <c r="D346" s="112"/>
      <c r="E346" s="33"/>
      <c r="F346" s="90"/>
      <c r="H346" s="116"/>
      <c r="I346" s="26"/>
      <c r="J346" s="98"/>
      <c r="K346" s="36"/>
      <c r="L346" s="26"/>
      <c r="M346" s="26"/>
      <c r="N346" s="26"/>
      <c r="O346" s="93"/>
      <c r="P346" s="95"/>
      <c r="Q346" s="197"/>
    </row>
    <row r="347" spans="3:17" x14ac:dyDescent="0.25">
      <c r="C347" s="199"/>
      <c r="D347" s="112"/>
      <c r="E347" s="33"/>
      <c r="F347" s="90"/>
      <c r="H347" s="116"/>
      <c r="I347" s="26"/>
      <c r="J347" s="98"/>
      <c r="K347" s="36"/>
      <c r="L347" s="26"/>
      <c r="M347" s="26"/>
      <c r="N347" s="26"/>
      <c r="O347" s="93"/>
      <c r="P347" s="95"/>
      <c r="Q347" s="197"/>
    </row>
    <row r="348" spans="3:17" x14ac:dyDescent="0.25">
      <c r="C348" s="199"/>
      <c r="D348" s="112"/>
      <c r="E348" s="33"/>
      <c r="F348" s="90"/>
      <c r="H348" s="116"/>
      <c r="I348" s="26"/>
      <c r="J348" s="98"/>
      <c r="K348" s="36"/>
      <c r="L348" s="26"/>
      <c r="M348" s="26"/>
      <c r="N348" s="26"/>
      <c r="O348" s="93"/>
      <c r="P348" s="95"/>
      <c r="Q348" s="197"/>
    </row>
    <row r="349" spans="3:17" x14ac:dyDescent="0.25">
      <c r="C349" s="199"/>
      <c r="D349" s="112"/>
      <c r="E349" s="33"/>
      <c r="F349" s="90"/>
      <c r="H349" s="116"/>
      <c r="I349" s="26"/>
      <c r="J349" s="98"/>
      <c r="K349" s="36"/>
      <c r="L349" s="26"/>
      <c r="M349" s="26"/>
      <c r="N349" s="26"/>
      <c r="O349" s="93"/>
      <c r="P349" s="95"/>
      <c r="Q349" s="197"/>
    </row>
    <row r="350" spans="3:17" x14ac:dyDescent="0.25">
      <c r="C350" s="199"/>
      <c r="D350" s="112"/>
      <c r="E350" s="33"/>
      <c r="F350" s="90"/>
      <c r="H350" s="116"/>
      <c r="I350" s="26"/>
      <c r="J350" s="98"/>
      <c r="K350" s="36"/>
      <c r="L350" s="26"/>
      <c r="M350" s="26"/>
      <c r="N350" s="26"/>
      <c r="O350" s="93"/>
      <c r="P350" s="95"/>
      <c r="Q350" s="197"/>
    </row>
    <row r="351" spans="3:17" x14ac:dyDescent="0.25">
      <c r="C351" s="199"/>
      <c r="D351" s="112"/>
      <c r="E351" s="33"/>
      <c r="F351" s="90"/>
      <c r="H351" s="116"/>
      <c r="I351" s="26"/>
      <c r="J351" s="98"/>
      <c r="K351" s="36"/>
      <c r="L351" s="26"/>
      <c r="M351" s="26"/>
      <c r="N351" s="26"/>
      <c r="O351" s="93"/>
      <c r="P351" s="95"/>
      <c r="Q351" s="197"/>
    </row>
    <row r="352" spans="3:17" x14ac:dyDescent="0.25">
      <c r="C352" s="199"/>
      <c r="D352" s="112"/>
      <c r="E352" s="33"/>
      <c r="F352" s="90"/>
      <c r="H352" s="116"/>
      <c r="I352" s="26"/>
      <c r="J352" s="98"/>
      <c r="K352" s="36"/>
      <c r="L352" s="26"/>
      <c r="M352" s="26"/>
      <c r="N352" s="26"/>
      <c r="O352" s="93"/>
      <c r="P352" s="95"/>
      <c r="Q352" s="197"/>
    </row>
    <row r="353" spans="3:17" x14ac:dyDescent="0.25">
      <c r="C353" s="199"/>
      <c r="D353" s="112"/>
      <c r="E353" s="33"/>
      <c r="F353" s="90"/>
      <c r="H353" s="116"/>
      <c r="I353" s="26"/>
      <c r="J353" s="98"/>
      <c r="K353" s="36"/>
      <c r="L353" s="26"/>
      <c r="M353" s="26"/>
      <c r="N353" s="26"/>
      <c r="O353" s="93"/>
      <c r="P353" s="95"/>
      <c r="Q353" s="197"/>
    </row>
    <row r="354" spans="3:17" x14ac:dyDescent="0.25">
      <c r="C354" s="199"/>
      <c r="D354" s="112"/>
      <c r="E354" s="33"/>
      <c r="F354" s="90"/>
      <c r="H354" s="116"/>
      <c r="I354" s="26"/>
      <c r="J354" s="98"/>
      <c r="K354" s="36"/>
      <c r="L354" s="26"/>
      <c r="M354" s="26"/>
      <c r="N354" s="26"/>
      <c r="O354" s="93"/>
      <c r="P354" s="95"/>
      <c r="Q354" s="197"/>
    </row>
    <row r="355" spans="3:17" x14ac:dyDescent="0.25">
      <c r="C355" s="199"/>
      <c r="D355" s="112"/>
      <c r="E355" s="33"/>
      <c r="F355" s="90"/>
      <c r="H355" s="116"/>
      <c r="I355" s="26"/>
      <c r="J355" s="98"/>
      <c r="K355" s="36"/>
      <c r="L355" s="26"/>
      <c r="M355" s="26"/>
      <c r="N355" s="26"/>
      <c r="O355" s="93"/>
      <c r="P355" s="95"/>
      <c r="Q355" s="197"/>
    </row>
    <row r="356" spans="3:17" x14ac:dyDescent="0.25">
      <c r="C356" s="199"/>
      <c r="D356" s="112"/>
      <c r="E356" s="33"/>
      <c r="F356" s="90"/>
      <c r="H356" s="116"/>
      <c r="I356" s="26"/>
      <c r="J356" s="98"/>
      <c r="K356" s="36"/>
      <c r="L356" s="26"/>
      <c r="M356" s="26"/>
      <c r="N356" s="26"/>
      <c r="O356" s="93"/>
      <c r="P356" s="95"/>
      <c r="Q356" s="197"/>
    </row>
    <row r="357" spans="3:17" x14ac:dyDescent="0.25">
      <c r="C357" s="199"/>
      <c r="D357" s="112"/>
      <c r="E357" s="33"/>
      <c r="F357" s="90"/>
      <c r="H357" s="116"/>
      <c r="I357" s="26"/>
      <c r="J357" s="98"/>
      <c r="K357" s="36"/>
      <c r="L357" s="26"/>
      <c r="M357" s="26"/>
      <c r="N357" s="26"/>
      <c r="O357" s="93"/>
      <c r="P357" s="95"/>
      <c r="Q357" s="197"/>
    </row>
    <row r="358" spans="3:17" x14ac:dyDescent="0.25">
      <c r="C358" s="199"/>
      <c r="D358" s="112"/>
      <c r="E358" s="33"/>
      <c r="F358" s="90"/>
      <c r="H358" s="116"/>
      <c r="I358" s="26"/>
      <c r="J358" s="98"/>
      <c r="K358" s="36"/>
      <c r="L358" s="26"/>
      <c r="M358" s="26"/>
      <c r="N358" s="26"/>
      <c r="O358" s="93"/>
      <c r="P358" s="95"/>
      <c r="Q358" s="197"/>
    </row>
    <row r="359" spans="3:17" x14ac:dyDescent="0.25">
      <c r="C359" s="199"/>
      <c r="D359" s="112"/>
      <c r="E359" s="33"/>
      <c r="F359" s="90"/>
      <c r="H359" s="116"/>
      <c r="I359" s="26"/>
      <c r="J359" s="98"/>
      <c r="K359" s="36"/>
      <c r="L359" s="26"/>
      <c r="M359" s="26"/>
      <c r="N359" s="26"/>
      <c r="O359" s="93"/>
      <c r="P359" s="95"/>
      <c r="Q359" s="197"/>
    </row>
    <row r="360" spans="3:17" x14ac:dyDescent="0.25">
      <c r="C360" s="199"/>
      <c r="D360" s="112"/>
      <c r="E360" s="33"/>
      <c r="F360" s="90"/>
      <c r="H360" s="116"/>
      <c r="I360" s="26"/>
      <c r="J360" s="98"/>
      <c r="K360" s="36"/>
      <c r="L360" s="26"/>
      <c r="M360" s="26"/>
      <c r="N360" s="26"/>
      <c r="O360" s="93"/>
      <c r="P360" s="95"/>
      <c r="Q360" s="197"/>
    </row>
    <row r="361" spans="3:17" x14ac:dyDescent="0.25">
      <c r="C361" s="199"/>
      <c r="D361" s="112"/>
      <c r="E361" s="33"/>
      <c r="F361" s="90"/>
      <c r="H361" s="116"/>
      <c r="I361" s="26"/>
      <c r="J361" s="98"/>
      <c r="K361" s="36"/>
      <c r="L361" s="26"/>
      <c r="M361" s="26"/>
      <c r="N361" s="26"/>
      <c r="O361" s="93"/>
      <c r="P361" s="95"/>
      <c r="Q361" s="197"/>
    </row>
    <row r="362" spans="3:17" x14ac:dyDescent="0.25">
      <c r="C362" s="199"/>
      <c r="D362" s="112"/>
      <c r="E362" s="33"/>
      <c r="F362" s="90"/>
      <c r="H362" s="116"/>
      <c r="I362" s="26"/>
      <c r="J362" s="98"/>
      <c r="K362" s="36"/>
      <c r="L362" s="26"/>
      <c r="M362" s="26"/>
      <c r="N362" s="26"/>
      <c r="O362" s="93"/>
      <c r="P362" s="95"/>
      <c r="Q362" s="197"/>
    </row>
    <row r="363" spans="3:17" x14ac:dyDescent="0.25">
      <c r="C363" s="199"/>
      <c r="D363" s="112"/>
      <c r="E363" s="33"/>
      <c r="F363" s="90"/>
      <c r="H363" s="116"/>
      <c r="I363" s="26"/>
      <c r="J363" s="98"/>
      <c r="K363" s="36"/>
      <c r="L363" s="26"/>
      <c r="M363" s="26"/>
      <c r="N363" s="26"/>
      <c r="O363" s="93"/>
      <c r="P363" s="95"/>
      <c r="Q363" s="197"/>
    </row>
    <row r="364" spans="3:17" x14ac:dyDescent="0.25">
      <c r="C364" s="199"/>
      <c r="D364" s="112"/>
      <c r="E364" s="33"/>
      <c r="F364" s="90"/>
      <c r="H364" s="116"/>
      <c r="I364" s="26"/>
      <c r="J364" s="98"/>
      <c r="K364" s="36"/>
      <c r="L364" s="26"/>
      <c r="M364" s="26"/>
      <c r="N364" s="26"/>
      <c r="O364" s="93"/>
      <c r="P364" s="95"/>
      <c r="Q364" s="197"/>
    </row>
    <row r="365" spans="3:17" x14ac:dyDescent="0.25">
      <c r="C365" s="199"/>
      <c r="D365" s="112"/>
      <c r="E365" s="33"/>
      <c r="F365" s="90"/>
      <c r="H365" s="116"/>
      <c r="I365" s="26"/>
      <c r="J365" s="98"/>
      <c r="K365" s="36"/>
      <c r="L365" s="26"/>
      <c r="M365" s="26"/>
      <c r="N365" s="26"/>
      <c r="O365" s="93"/>
      <c r="P365" s="95"/>
      <c r="Q365" s="197"/>
    </row>
    <row r="366" spans="3:17" x14ac:dyDescent="0.25">
      <c r="C366" s="199"/>
      <c r="D366" s="112"/>
      <c r="E366" s="33"/>
      <c r="F366" s="90"/>
      <c r="H366" s="116"/>
      <c r="I366" s="26"/>
      <c r="J366" s="98"/>
      <c r="K366" s="36"/>
      <c r="L366" s="26"/>
      <c r="M366" s="26"/>
      <c r="N366" s="26"/>
      <c r="O366" s="93"/>
      <c r="P366" s="95"/>
      <c r="Q366" s="197"/>
    </row>
    <row r="367" spans="3:17" x14ac:dyDescent="0.25">
      <c r="C367" s="199"/>
      <c r="D367" s="112"/>
      <c r="E367" s="33"/>
      <c r="F367" s="90"/>
      <c r="H367" s="116"/>
      <c r="I367" s="26"/>
      <c r="J367" s="98"/>
      <c r="K367" s="36"/>
      <c r="L367" s="26"/>
      <c r="M367" s="26"/>
      <c r="N367" s="26"/>
      <c r="O367" s="93"/>
      <c r="P367" s="95"/>
      <c r="Q367" s="197"/>
    </row>
    <row r="368" spans="3:17" x14ac:dyDescent="0.25">
      <c r="C368" s="199"/>
      <c r="D368" s="112"/>
      <c r="E368" s="33"/>
      <c r="F368" s="90"/>
      <c r="H368" s="116"/>
      <c r="I368" s="26"/>
      <c r="J368" s="98"/>
      <c r="K368" s="36"/>
      <c r="L368" s="26"/>
      <c r="M368" s="26"/>
      <c r="N368" s="26"/>
      <c r="O368" s="93"/>
      <c r="P368" s="95"/>
      <c r="Q368" s="197"/>
    </row>
    <row r="369" spans="3:17" x14ac:dyDescent="0.25">
      <c r="C369" s="199"/>
      <c r="D369" s="112"/>
      <c r="E369" s="33"/>
      <c r="F369" s="90"/>
      <c r="H369" s="116"/>
      <c r="I369" s="26"/>
      <c r="J369" s="98"/>
      <c r="K369" s="36"/>
      <c r="L369" s="26"/>
      <c r="M369" s="26"/>
      <c r="N369" s="26"/>
      <c r="O369" s="93"/>
      <c r="P369" s="95"/>
      <c r="Q369" s="197"/>
    </row>
    <row r="370" spans="3:17" x14ac:dyDescent="0.25">
      <c r="C370" s="199"/>
      <c r="D370" s="112"/>
      <c r="E370" s="33"/>
      <c r="F370" s="90"/>
      <c r="H370" s="116"/>
      <c r="I370" s="26"/>
      <c r="J370" s="98"/>
      <c r="K370" s="36"/>
      <c r="L370" s="26"/>
      <c r="M370" s="26"/>
      <c r="N370" s="26"/>
      <c r="O370" s="93"/>
      <c r="P370" s="95"/>
      <c r="Q370" s="197"/>
    </row>
    <row r="371" spans="3:17" x14ac:dyDescent="0.25">
      <c r="C371" s="199"/>
      <c r="D371" s="112"/>
      <c r="E371" s="33"/>
      <c r="F371" s="90"/>
      <c r="H371" s="116"/>
      <c r="I371" s="26"/>
      <c r="J371" s="98"/>
      <c r="K371" s="36"/>
      <c r="L371" s="26"/>
      <c r="M371" s="26"/>
      <c r="N371" s="26"/>
      <c r="O371" s="93"/>
      <c r="P371" s="95"/>
      <c r="Q371" s="197"/>
    </row>
    <row r="372" spans="3:17" x14ac:dyDescent="0.25">
      <c r="C372" s="199"/>
      <c r="D372" s="112"/>
      <c r="E372" s="33"/>
      <c r="F372" s="90"/>
      <c r="H372" s="116"/>
      <c r="I372" s="26"/>
      <c r="J372" s="98"/>
      <c r="K372" s="36"/>
      <c r="L372" s="26"/>
      <c r="M372" s="26"/>
      <c r="N372" s="26"/>
      <c r="O372" s="93"/>
      <c r="P372" s="95"/>
      <c r="Q372" s="197"/>
    </row>
    <row r="373" spans="3:17" x14ac:dyDescent="0.25">
      <c r="C373" s="199"/>
      <c r="D373" s="112"/>
      <c r="E373" s="33"/>
      <c r="F373" s="90"/>
      <c r="H373" s="116"/>
      <c r="I373" s="26"/>
      <c r="J373" s="98"/>
      <c r="K373" s="36"/>
      <c r="L373" s="26"/>
      <c r="M373" s="26"/>
      <c r="N373" s="26"/>
      <c r="O373" s="93"/>
      <c r="P373" s="95"/>
      <c r="Q373" s="197"/>
    </row>
    <row r="374" spans="3:17" x14ac:dyDescent="0.25">
      <c r="C374" s="199"/>
      <c r="D374" s="112"/>
      <c r="E374" s="33"/>
      <c r="F374" s="90"/>
      <c r="H374" s="116"/>
      <c r="I374" s="26"/>
      <c r="J374" s="98"/>
      <c r="K374" s="36"/>
      <c r="L374" s="26"/>
      <c r="M374" s="26"/>
      <c r="N374" s="26"/>
      <c r="O374" s="93"/>
      <c r="P374" s="95"/>
      <c r="Q374" s="197"/>
    </row>
    <row r="375" spans="3:17" x14ac:dyDescent="0.25">
      <c r="C375" s="199"/>
      <c r="D375" s="112"/>
      <c r="E375" s="33"/>
      <c r="F375" s="90"/>
      <c r="H375" s="116"/>
      <c r="I375" s="26"/>
      <c r="J375" s="98"/>
      <c r="K375" s="36"/>
      <c r="L375" s="26"/>
      <c r="M375" s="26"/>
      <c r="N375" s="26"/>
      <c r="O375" s="93"/>
      <c r="P375" s="95"/>
      <c r="Q375" s="197"/>
    </row>
    <row r="376" spans="3:17" x14ac:dyDescent="0.25">
      <c r="C376" s="199"/>
      <c r="D376" s="112"/>
      <c r="E376" s="33"/>
      <c r="F376" s="90"/>
      <c r="H376" s="116"/>
      <c r="I376" s="26"/>
      <c r="J376" s="98"/>
      <c r="K376" s="36"/>
      <c r="L376" s="26"/>
      <c r="M376" s="26"/>
      <c r="N376" s="26"/>
      <c r="O376" s="93"/>
      <c r="P376" s="95"/>
      <c r="Q376" s="197"/>
    </row>
    <row r="377" spans="3:17" x14ac:dyDescent="0.25">
      <c r="C377" s="199"/>
      <c r="D377" s="112"/>
      <c r="E377" s="33"/>
      <c r="F377" s="90"/>
      <c r="H377" s="116"/>
      <c r="I377" s="26"/>
      <c r="J377" s="98"/>
      <c r="K377" s="36"/>
      <c r="L377" s="26"/>
      <c r="M377" s="26"/>
      <c r="N377" s="26"/>
      <c r="O377" s="93"/>
      <c r="P377" s="95"/>
      <c r="Q377" s="197"/>
    </row>
    <row r="378" spans="3:17" x14ac:dyDescent="0.25">
      <c r="C378" s="199"/>
      <c r="D378" s="112"/>
      <c r="E378" s="33"/>
      <c r="F378" s="90"/>
      <c r="H378" s="116"/>
      <c r="I378" s="26"/>
      <c r="J378" s="98"/>
      <c r="K378" s="36"/>
      <c r="L378" s="26"/>
      <c r="M378" s="26"/>
      <c r="N378" s="26"/>
      <c r="O378" s="93"/>
      <c r="P378" s="95"/>
      <c r="Q378" s="197"/>
    </row>
    <row r="379" spans="3:17" x14ac:dyDescent="0.25">
      <c r="C379" s="199"/>
      <c r="D379" s="112"/>
      <c r="E379" s="33"/>
      <c r="F379" s="90"/>
      <c r="H379" s="116"/>
      <c r="I379" s="26"/>
      <c r="J379" s="98"/>
      <c r="K379" s="36"/>
      <c r="L379" s="26"/>
      <c r="M379" s="26"/>
      <c r="N379" s="26"/>
      <c r="O379" s="93"/>
      <c r="P379" s="95"/>
      <c r="Q379" s="197"/>
    </row>
    <row r="380" spans="3:17" x14ac:dyDescent="0.25">
      <c r="C380" s="199"/>
      <c r="D380" s="112"/>
      <c r="E380" s="33"/>
      <c r="F380" s="90"/>
      <c r="H380" s="116"/>
      <c r="I380" s="26"/>
      <c r="J380" s="98"/>
      <c r="K380" s="36"/>
      <c r="L380" s="26"/>
      <c r="M380" s="26"/>
      <c r="N380" s="26"/>
      <c r="O380" s="93"/>
      <c r="P380" s="95"/>
      <c r="Q380" s="197"/>
    </row>
    <row r="381" spans="3:17" x14ac:dyDescent="0.25">
      <c r="C381" s="199"/>
      <c r="D381" s="112"/>
      <c r="E381" s="33"/>
      <c r="F381" s="90"/>
      <c r="H381" s="116"/>
      <c r="I381" s="26"/>
      <c r="J381" s="98"/>
      <c r="K381" s="36"/>
      <c r="L381" s="26"/>
      <c r="M381" s="26"/>
      <c r="N381" s="26"/>
      <c r="O381" s="93"/>
      <c r="P381" s="95"/>
      <c r="Q381" s="197"/>
    </row>
    <row r="382" spans="3:17" x14ac:dyDescent="0.25">
      <c r="C382" s="199"/>
      <c r="D382" s="112"/>
      <c r="E382" s="33"/>
      <c r="F382" s="90"/>
      <c r="H382" s="116"/>
      <c r="I382" s="26"/>
      <c r="J382" s="98"/>
      <c r="K382" s="36"/>
      <c r="L382" s="26"/>
      <c r="M382" s="26"/>
      <c r="N382" s="26"/>
      <c r="O382" s="93"/>
      <c r="P382" s="95"/>
      <c r="Q382" s="197"/>
    </row>
    <row r="383" spans="3:17" x14ac:dyDescent="0.25">
      <c r="C383" s="199"/>
      <c r="D383" s="112"/>
      <c r="E383" s="33"/>
      <c r="F383" s="90"/>
      <c r="H383" s="116"/>
      <c r="I383" s="26"/>
      <c r="J383" s="98"/>
      <c r="K383" s="36"/>
      <c r="L383" s="26"/>
      <c r="M383" s="26"/>
      <c r="N383" s="26"/>
      <c r="O383" s="93"/>
      <c r="P383" s="95"/>
      <c r="Q383" s="197"/>
    </row>
    <row r="384" spans="3:17" x14ac:dyDescent="0.25">
      <c r="C384" s="199"/>
      <c r="D384" s="112"/>
      <c r="E384" s="33"/>
      <c r="F384" s="90"/>
      <c r="H384" s="116"/>
      <c r="I384" s="26"/>
      <c r="J384" s="98"/>
      <c r="K384" s="36"/>
      <c r="L384" s="26"/>
      <c r="M384" s="26"/>
      <c r="N384" s="26"/>
      <c r="O384" s="93"/>
      <c r="P384" s="95"/>
      <c r="Q384" s="197"/>
    </row>
    <row r="385" spans="3:17" x14ac:dyDescent="0.25">
      <c r="C385" s="199"/>
      <c r="D385" s="112"/>
      <c r="E385" s="33"/>
      <c r="F385" s="90"/>
      <c r="H385" s="116"/>
      <c r="I385" s="26"/>
      <c r="J385" s="98"/>
      <c r="K385" s="36"/>
      <c r="L385" s="26"/>
      <c r="M385" s="26"/>
      <c r="N385" s="26"/>
      <c r="O385" s="93"/>
      <c r="P385" s="95"/>
      <c r="Q385" s="197"/>
    </row>
    <row r="386" spans="3:17" x14ac:dyDescent="0.25">
      <c r="C386" s="199"/>
      <c r="D386" s="112"/>
      <c r="E386" s="33"/>
      <c r="F386" s="90"/>
      <c r="H386" s="116"/>
      <c r="I386" s="26"/>
      <c r="J386" s="98"/>
      <c r="K386" s="36"/>
      <c r="L386" s="26"/>
      <c r="M386" s="26"/>
      <c r="N386" s="26"/>
      <c r="O386" s="93"/>
      <c r="P386" s="95"/>
      <c r="Q386" s="197"/>
    </row>
    <row r="387" spans="3:17" x14ac:dyDescent="0.25">
      <c r="C387" s="199"/>
      <c r="D387" s="112"/>
      <c r="E387" s="33"/>
      <c r="F387" s="90"/>
      <c r="H387" s="116"/>
      <c r="I387" s="26"/>
      <c r="J387" s="98"/>
      <c r="K387" s="36"/>
      <c r="L387" s="26"/>
      <c r="M387" s="26"/>
      <c r="N387" s="26"/>
      <c r="O387" s="93"/>
      <c r="P387" s="95"/>
      <c r="Q387" s="197"/>
    </row>
    <row r="388" spans="3:17" x14ac:dyDescent="0.25">
      <c r="C388" s="199"/>
      <c r="D388" s="112"/>
      <c r="E388" s="33"/>
      <c r="F388" s="90"/>
      <c r="H388" s="116"/>
      <c r="I388" s="26"/>
      <c r="J388" s="98"/>
      <c r="K388" s="36"/>
      <c r="L388" s="26"/>
      <c r="M388" s="26"/>
      <c r="N388" s="26"/>
      <c r="O388" s="93"/>
      <c r="P388" s="95"/>
      <c r="Q388" s="197"/>
    </row>
    <row r="389" spans="3:17" x14ac:dyDescent="0.25">
      <c r="C389" s="199"/>
      <c r="D389" s="112"/>
      <c r="E389" s="33"/>
      <c r="F389" s="90"/>
      <c r="H389" s="116"/>
      <c r="I389" s="26"/>
      <c r="J389" s="98"/>
      <c r="K389" s="36"/>
      <c r="L389" s="26"/>
      <c r="M389" s="26"/>
      <c r="N389" s="26"/>
      <c r="O389" s="93"/>
      <c r="P389" s="95"/>
      <c r="Q389" s="197"/>
    </row>
    <row r="390" spans="3:17" x14ac:dyDescent="0.25">
      <c r="C390" s="199"/>
      <c r="D390" s="112"/>
      <c r="E390" s="33"/>
      <c r="F390" s="90"/>
      <c r="H390" s="116"/>
      <c r="I390" s="26"/>
      <c r="J390" s="98"/>
      <c r="K390" s="36"/>
      <c r="L390" s="26"/>
      <c r="M390" s="26"/>
      <c r="N390" s="26"/>
      <c r="O390" s="93"/>
      <c r="P390" s="95"/>
      <c r="Q390" s="197"/>
    </row>
    <row r="391" spans="3:17" x14ac:dyDescent="0.25">
      <c r="C391" s="199"/>
      <c r="D391" s="112"/>
      <c r="E391" s="33"/>
      <c r="F391" s="90"/>
      <c r="H391" s="116"/>
      <c r="I391" s="26"/>
      <c r="J391" s="98"/>
      <c r="K391" s="36"/>
      <c r="L391" s="26"/>
      <c r="M391" s="26"/>
      <c r="N391" s="26"/>
      <c r="O391" s="93"/>
      <c r="P391" s="95"/>
      <c r="Q391" s="197"/>
    </row>
    <row r="392" spans="3:17" x14ac:dyDescent="0.25">
      <c r="C392" s="199"/>
      <c r="D392" s="112"/>
      <c r="E392" s="33"/>
      <c r="F392" s="90"/>
      <c r="H392" s="116"/>
      <c r="I392" s="26"/>
      <c r="J392" s="98"/>
      <c r="K392" s="36"/>
      <c r="L392" s="26"/>
      <c r="M392" s="26"/>
      <c r="N392" s="26"/>
      <c r="O392" s="93"/>
      <c r="P392" s="95"/>
      <c r="Q392" s="197"/>
    </row>
    <row r="393" spans="3:17" x14ac:dyDescent="0.25">
      <c r="C393" s="199"/>
      <c r="D393" s="112"/>
      <c r="E393" s="33"/>
      <c r="F393" s="90"/>
      <c r="H393" s="116"/>
      <c r="I393" s="26"/>
      <c r="J393" s="98"/>
      <c r="K393" s="36"/>
      <c r="L393" s="26"/>
      <c r="M393" s="26"/>
      <c r="N393" s="26"/>
      <c r="O393" s="93"/>
      <c r="P393" s="95"/>
      <c r="Q393" s="197"/>
    </row>
    <row r="394" spans="3:17" x14ac:dyDescent="0.25">
      <c r="C394" s="199"/>
      <c r="D394" s="112"/>
      <c r="E394" s="33"/>
      <c r="F394" s="90"/>
      <c r="H394" s="116"/>
      <c r="I394" s="26"/>
      <c r="J394" s="98"/>
      <c r="K394" s="36"/>
      <c r="L394" s="26"/>
      <c r="M394" s="26"/>
      <c r="N394" s="26"/>
      <c r="O394" s="93"/>
      <c r="P394" s="95"/>
      <c r="Q394" s="197"/>
    </row>
    <row r="395" spans="3:17" x14ac:dyDescent="0.25">
      <c r="C395" s="199"/>
      <c r="D395" s="112"/>
      <c r="E395" s="33"/>
      <c r="F395" s="90"/>
      <c r="H395" s="116"/>
      <c r="I395" s="26"/>
      <c r="J395" s="98"/>
      <c r="K395" s="36"/>
      <c r="L395" s="26"/>
      <c r="M395" s="26"/>
      <c r="N395" s="26"/>
      <c r="O395" s="93"/>
      <c r="P395" s="95"/>
      <c r="Q395" s="197"/>
    </row>
    <row r="396" spans="3:17" x14ac:dyDescent="0.25">
      <c r="C396" s="199"/>
      <c r="D396" s="112"/>
      <c r="E396" s="33"/>
      <c r="F396" s="90"/>
      <c r="H396" s="116"/>
      <c r="I396" s="26"/>
      <c r="J396" s="98"/>
      <c r="K396" s="36"/>
      <c r="L396" s="26"/>
      <c r="M396" s="26"/>
      <c r="N396" s="26"/>
      <c r="O396" s="93"/>
      <c r="P396" s="95"/>
      <c r="Q396" s="197"/>
    </row>
    <row r="397" spans="3:17" x14ac:dyDescent="0.25">
      <c r="C397" s="199"/>
      <c r="D397" s="112"/>
      <c r="E397" s="33"/>
      <c r="F397" s="90"/>
      <c r="H397" s="116"/>
      <c r="I397" s="26"/>
      <c r="J397" s="98"/>
      <c r="K397" s="36"/>
      <c r="L397" s="26"/>
      <c r="M397" s="26"/>
      <c r="N397" s="26"/>
      <c r="O397" s="93"/>
      <c r="P397" s="95"/>
      <c r="Q397" s="197"/>
    </row>
    <row r="398" spans="3:17" x14ac:dyDescent="0.25">
      <c r="C398" s="199"/>
      <c r="D398" s="112"/>
      <c r="E398" s="33"/>
      <c r="F398" s="90"/>
      <c r="H398" s="116"/>
      <c r="I398" s="26"/>
      <c r="J398" s="98"/>
      <c r="K398" s="36"/>
      <c r="L398" s="26"/>
      <c r="M398" s="26"/>
      <c r="N398" s="26"/>
      <c r="O398" s="93"/>
      <c r="P398" s="95"/>
      <c r="Q398" s="197"/>
    </row>
    <row r="399" spans="3:17" x14ac:dyDescent="0.25">
      <c r="C399" s="199"/>
      <c r="D399" s="112"/>
      <c r="E399" s="33"/>
      <c r="F399" s="90"/>
      <c r="H399" s="116"/>
      <c r="I399" s="26"/>
      <c r="J399" s="98"/>
      <c r="K399" s="36"/>
      <c r="L399" s="26"/>
      <c r="M399" s="26"/>
      <c r="N399" s="26"/>
      <c r="O399" s="93"/>
      <c r="P399" s="95"/>
      <c r="Q399" s="197"/>
    </row>
    <row r="400" spans="3:17" x14ac:dyDescent="0.25">
      <c r="C400" s="199"/>
      <c r="D400" s="112"/>
      <c r="E400" s="33"/>
      <c r="F400" s="90"/>
      <c r="H400" s="116"/>
      <c r="I400" s="26"/>
      <c r="J400" s="98"/>
      <c r="K400" s="36"/>
      <c r="L400" s="26"/>
      <c r="M400" s="26"/>
      <c r="N400" s="26"/>
      <c r="O400" s="93"/>
      <c r="P400" s="95"/>
      <c r="Q400" s="197"/>
    </row>
    <row r="401" spans="3:17" x14ac:dyDescent="0.25">
      <c r="C401" s="199"/>
      <c r="D401" s="112"/>
      <c r="E401" s="33"/>
      <c r="F401" s="90"/>
      <c r="H401" s="116"/>
      <c r="I401" s="26"/>
      <c r="J401" s="98"/>
      <c r="K401" s="36"/>
      <c r="L401" s="26"/>
      <c r="M401" s="26"/>
      <c r="N401" s="26"/>
      <c r="O401" s="93"/>
      <c r="P401" s="95"/>
      <c r="Q401" s="197"/>
    </row>
    <row r="402" spans="3:17" x14ac:dyDescent="0.25">
      <c r="C402" s="199"/>
      <c r="D402" s="112"/>
      <c r="E402" s="33"/>
      <c r="F402" s="90"/>
      <c r="H402" s="116"/>
      <c r="I402" s="26"/>
      <c r="J402" s="98"/>
      <c r="K402" s="36"/>
      <c r="L402" s="26"/>
      <c r="M402" s="26"/>
      <c r="N402" s="26"/>
      <c r="O402" s="93"/>
      <c r="P402" s="95"/>
      <c r="Q402" s="197"/>
    </row>
    <row r="403" spans="3:17" x14ac:dyDescent="0.25">
      <c r="C403" s="199"/>
      <c r="D403" s="112"/>
      <c r="E403" s="33"/>
      <c r="F403" s="90"/>
      <c r="H403" s="116"/>
      <c r="I403" s="26"/>
      <c r="J403" s="98"/>
      <c r="K403" s="36"/>
      <c r="L403" s="26"/>
      <c r="M403" s="26"/>
      <c r="N403" s="26"/>
      <c r="O403" s="93"/>
      <c r="P403" s="95"/>
      <c r="Q403" s="197"/>
    </row>
    <row r="404" spans="3:17" x14ac:dyDescent="0.25">
      <c r="C404" s="199"/>
      <c r="D404" s="112"/>
      <c r="E404" s="33"/>
      <c r="F404" s="90"/>
      <c r="H404" s="116"/>
      <c r="I404" s="26"/>
      <c r="J404" s="98"/>
      <c r="K404" s="36"/>
      <c r="L404" s="26"/>
      <c r="M404" s="26"/>
      <c r="N404" s="26"/>
      <c r="O404" s="93"/>
      <c r="P404" s="95"/>
      <c r="Q404" s="197"/>
    </row>
    <row r="405" spans="3:17" x14ac:dyDescent="0.25">
      <c r="C405" s="199"/>
      <c r="D405" s="112"/>
      <c r="E405" s="33"/>
      <c r="F405" s="90"/>
      <c r="H405" s="116"/>
      <c r="I405" s="26"/>
      <c r="J405" s="98"/>
      <c r="K405" s="36"/>
      <c r="L405" s="26"/>
      <c r="M405" s="26"/>
      <c r="N405" s="26"/>
      <c r="O405" s="93"/>
      <c r="P405" s="95"/>
      <c r="Q405" s="197"/>
    </row>
    <row r="406" spans="3:17" x14ac:dyDescent="0.25">
      <c r="C406" s="199"/>
      <c r="D406" s="112"/>
      <c r="E406" s="33"/>
      <c r="F406" s="90"/>
      <c r="H406" s="116"/>
      <c r="I406" s="26"/>
      <c r="J406" s="98"/>
      <c r="K406" s="36"/>
      <c r="L406" s="26"/>
      <c r="M406" s="26"/>
      <c r="N406" s="26"/>
      <c r="O406" s="93"/>
      <c r="P406" s="95"/>
      <c r="Q406" s="197"/>
    </row>
    <row r="407" spans="3:17" x14ac:dyDescent="0.25">
      <c r="C407" s="199"/>
      <c r="D407" s="112"/>
      <c r="E407" s="33"/>
      <c r="F407" s="90"/>
      <c r="H407" s="116"/>
      <c r="I407" s="26"/>
      <c r="J407" s="98"/>
      <c r="K407" s="36"/>
      <c r="L407" s="26"/>
      <c r="M407" s="26"/>
      <c r="N407" s="26"/>
      <c r="O407" s="93"/>
      <c r="P407" s="95"/>
      <c r="Q407" s="197"/>
    </row>
    <row r="408" spans="3:17" x14ac:dyDescent="0.25">
      <c r="C408" s="199"/>
      <c r="D408" s="112"/>
      <c r="E408" s="33"/>
      <c r="F408" s="90"/>
      <c r="H408" s="116"/>
      <c r="I408" s="26"/>
      <c r="J408" s="98"/>
      <c r="K408" s="36"/>
      <c r="L408" s="26"/>
      <c r="M408" s="26"/>
      <c r="N408" s="26"/>
      <c r="O408" s="93"/>
      <c r="P408" s="95"/>
      <c r="Q408" s="197"/>
    </row>
    <row r="409" spans="3:17" x14ac:dyDescent="0.25">
      <c r="C409" s="199"/>
      <c r="D409" s="112"/>
      <c r="E409" s="33"/>
      <c r="F409" s="90"/>
      <c r="H409" s="116"/>
      <c r="I409" s="26"/>
      <c r="J409" s="98"/>
      <c r="K409" s="36"/>
      <c r="L409" s="26"/>
      <c r="M409" s="26"/>
      <c r="N409" s="26"/>
      <c r="O409" s="93"/>
      <c r="P409" s="95"/>
      <c r="Q409" s="197"/>
    </row>
    <row r="410" spans="3:17" x14ac:dyDescent="0.25">
      <c r="C410" s="199"/>
      <c r="D410" s="112"/>
      <c r="E410" s="33"/>
      <c r="F410" s="90"/>
      <c r="H410" s="116"/>
      <c r="I410" s="26"/>
      <c r="J410" s="98"/>
      <c r="K410" s="36"/>
      <c r="L410" s="26"/>
      <c r="M410" s="26"/>
      <c r="N410" s="26"/>
      <c r="O410" s="93"/>
      <c r="P410" s="95"/>
      <c r="Q410" s="197"/>
    </row>
    <row r="411" spans="3:17" x14ac:dyDescent="0.25">
      <c r="C411" s="199"/>
      <c r="D411" s="112"/>
      <c r="E411" s="33"/>
      <c r="F411" s="90"/>
      <c r="H411" s="116"/>
      <c r="I411" s="26"/>
      <c r="J411" s="98"/>
      <c r="K411" s="36"/>
      <c r="L411" s="26"/>
      <c r="M411" s="26"/>
      <c r="N411" s="26"/>
      <c r="O411" s="93"/>
      <c r="P411" s="95"/>
      <c r="Q411" s="197"/>
    </row>
    <row r="412" spans="3:17" x14ac:dyDescent="0.25">
      <c r="C412" s="199"/>
      <c r="D412" s="112"/>
      <c r="E412" s="33"/>
      <c r="F412" s="90"/>
      <c r="H412" s="116"/>
      <c r="I412" s="26"/>
      <c r="J412" s="98"/>
      <c r="K412" s="36"/>
      <c r="L412" s="26"/>
      <c r="M412" s="26"/>
      <c r="N412" s="26"/>
      <c r="O412" s="93"/>
      <c r="P412" s="95"/>
      <c r="Q412" s="197"/>
    </row>
    <row r="413" spans="3:17" x14ac:dyDescent="0.25">
      <c r="C413" s="199"/>
      <c r="D413" s="112"/>
      <c r="E413" s="33"/>
      <c r="F413" s="90"/>
      <c r="H413" s="116"/>
      <c r="I413" s="26"/>
      <c r="J413" s="98"/>
      <c r="K413" s="36"/>
      <c r="L413" s="26"/>
      <c r="M413" s="26"/>
      <c r="N413" s="26"/>
      <c r="O413" s="93"/>
      <c r="P413" s="95"/>
      <c r="Q413" s="197"/>
    </row>
    <row r="414" spans="3:17" x14ac:dyDescent="0.25">
      <c r="C414" s="199"/>
      <c r="D414" s="112"/>
      <c r="E414" s="33"/>
      <c r="F414" s="90"/>
      <c r="H414" s="116"/>
      <c r="I414" s="26"/>
      <c r="J414" s="98"/>
      <c r="K414" s="36"/>
      <c r="L414" s="26"/>
      <c r="M414" s="26"/>
      <c r="N414" s="26"/>
      <c r="O414" s="93"/>
      <c r="P414" s="95"/>
      <c r="Q414" s="197"/>
    </row>
    <row r="415" spans="3:17" x14ac:dyDescent="0.25">
      <c r="C415" s="199"/>
      <c r="D415" s="112"/>
      <c r="E415" s="33"/>
      <c r="F415" s="90"/>
      <c r="H415" s="116"/>
      <c r="I415" s="26"/>
      <c r="J415" s="98"/>
      <c r="K415" s="36"/>
      <c r="L415" s="26"/>
      <c r="M415" s="26"/>
      <c r="N415" s="26"/>
      <c r="O415" s="93"/>
      <c r="P415" s="95"/>
      <c r="Q415" s="197"/>
    </row>
    <row r="416" spans="3:17" x14ac:dyDescent="0.25">
      <c r="C416" s="199"/>
      <c r="D416" s="112"/>
      <c r="E416" s="33"/>
      <c r="F416" s="90"/>
      <c r="H416" s="116"/>
      <c r="I416" s="26"/>
      <c r="J416" s="98"/>
      <c r="K416" s="36"/>
      <c r="L416" s="26"/>
      <c r="M416" s="26"/>
      <c r="N416" s="26"/>
      <c r="O416" s="93"/>
      <c r="P416" s="95"/>
      <c r="Q416" s="197"/>
    </row>
    <row r="417" spans="3:17" x14ac:dyDescent="0.25">
      <c r="C417" s="199"/>
      <c r="D417" s="112"/>
      <c r="E417" s="33"/>
      <c r="F417" s="90"/>
      <c r="H417" s="116"/>
      <c r="I417" s="26"/>
      <c r="J417" s="98"/>
      <c r="K417" s="36"/>
      <c r="L417" s="26"/>
      <c r="M417" s="26"/>
      <c r="N417" s="26"/>
      <c r="O417" s="93"/>
      <c r="P417" s="95"/>
      <c r="Q417" s="197"/>
    </row>
    <row r="418" spans="3:17" x14ac:dyDescent="0.25">
      <c r="C418" s="199"/>
      <c r="D418" s="112"/>
      <c r="E418" s="33"/>
      <c r="F418" s="90"/>
      <c r="H418" s="116"/>
      <c r="I418" s="26"/>
      <c r="J418" s="98"/>
      <c r="K418" s="36"/>
      <c r="L418" s="26"/>
      <c r="M418" s="26"/>
      <c r="N418" s="26"/>
      <c r="O418" s="93"/>
      <c r="P418" s="95"/>
      <c r="Q418" s="197"/>
    </row>
    <row r="419" spans="3:17" x14ac:dyDescent="0.25">
      <c r="C419" s="199"/>
      <c r="D419" s="112"/>
      <c r="E419" s="33"/>
      <c r="F419" s="90"/>
      <c r="H419" s="116"/>
      <c r="I419" s="26"/>
      <c r="J419" s="98"/>
      <c r="K419" s="36"/>
      <c r="L419" s="26"/>
      <c r="M419" s="26"/>
      <c r="N419" s="26"/>
      <c r="O419" s="93"/>
      <c r="P419" s="95"/>
      <c r="Q419" s="197"/>
    </row>
    <row r="420" spans="3:17" x14ac:dyDescent="0.25">
      <c r="C420" s="199"/>
      <c r="D420" s="112"/>
      <c r="E420" s="33"/>
      <c r="F420" s="90"/>
      <c r="H420" s="116"/>
      <c r="I420" s="26"/>
      <c r="J420" s="98"/>
      <c r="K420" s="36"/>
      <c r="L420" s="26"/>
      <c r="M420" s="26"/>
      <c r="N420" s="26"/>
      <c r="O420" s="93"/>
      <c r="P420" s="95"/>
      <c r="Q420" s="197"/>
    </row>
    <row r="421" spans="3:17" x14ac:dyDescent="0.25">
      <c r="C421" s="199"/>
      <c r="D421" s="112"/>
      <c r="E421" s="33"/>
      <c r="F421" s="90"/>
      <c r="H421" s="116"/>
      <c r="I421" s="26"/>
      <c r="J421" s="98"/>
      <c r="K421" s="36"/>
      <c r="L421" s="26"/>
      <c r="M421" s="26"/>
      <c r="N421" s="26"/>
      <c r="O421" s="93"/>
      <c r="P421" s="95"/>
      <c r="Q421" s="197"/>
    </row>
    <row r="422" spans="3:17" x14ac:dyDescent="0.25">
      <c r="C422" s="199"/>
      <c r="D422" s="112"/>
      <c r="E422" s="33"/>
      <c r="F422" s="90"/>
      <c r="H422" s="116"/>
      <c r="I422" s="26"/>
      <c r="J422" s="98"/>
      <c r="K422" s="36"/>
      <c r="L422" s="26"/>
      <c r="M422" s="26"/>
      <c r="N422" s="26"/>
      <c r="O422" s="93"/>
      <c r="P422" s="95"/>
      <c r="Q422" s="197"/>
    </row>
    <row r="423" spans="3:17" x14ac:dyDescent="0.25">
      <c r="C423" s="199"/>
      <c r="D423" s="112"/>
      <c r="E423" s="33"/>
      <c r="F423" s="90"/>
      <c r="H423" s="116"/>
      <c r="I423" s="26"/>
      <c r="J423" s="98"/>
      <c r="K423" s="36"/>
      <c r="L423" s="26"/>
      <c r="M423" s="26"/>
      <c r="N423" s="26"/>
      <c r="O423" s="93"/>
      <c r="P423" s="95"/>
      <c r="Q423" s="197"/>
    </row>
    <row r="424" spans="3:17" x14ac:dyDescent="0.25">
      <c r="C424" s="199"/>
      <c r="D424" s="112"/>
      <c r="E424" s="33"/>
      <c r="F424" s="90"/>
      <c r="H424" s="116"/>
      <c r="I424" s="26"/>
      <c r="J424" s="98"/>
      <c r="K424" s="36"/>
      <c r="L424" s="26"/>
      <c r="M424" s="26"/>
      <c r="N424" s="26"/>
      <c r="O424" s="93"/>
      <c r="P424" s="95"/>
      <c r="Q424" s="197"/>
    </row>
    <row r="425" spans="3:17" x14ac:dyDescent="0.25">
      <c r="C425" s="199"/>
      <c r="D425" s="112"/>
      <c r="E425" s="33"/>
      <c r="F425" s="90"/>
      <c r="H425" s="116"/>
      <c r="I425" s="26"/>
      <c r="J425" s="98"/>
      <c r="K425" s="36"/>
      <c r="L425" s="26"/>
      <c r="M425" s="26"/>
      <c r="N425" s="26"/>
      <c r="O425" s="93"/>
      <c r="P425" s="95"/>
      <c r="Q425" s="197"/>
    </row>
    <row r="426" spans="3:17" x14ac:dyDescent="0.25">
      <c r="C426" s="199"/>
      <c r="D426" s="112"/>
      <c r="E426" s="33"/>
      <c r="F426" s="90"/>
      <c r="H426" s="116"/>
      <c r="I426" s="26"/>
      <c r="J426" s="98"/>
      <c r="K426" s="36"/>
      <c r="L426" s="26"/>
      <c r="M426" s="26"/>
      <c r="N426" s="26"/>
      <c r="O426" s="93"/>
      <c r="P426" s="95"/>
      <c r="Q426" s="197"/>
    </row>
    <row r="427" spans="3:17" x14ac:dyDescent="0.25">
      <c r="C427" s="199"/>
      <c r="D427" s="112"/>
      <c r="E427" s="33"/>
      <c r="F427" s="90"/>
      <c r="H427" s="116"/>
      <c r="I427" s="26"/>
      <c r="J427" s="98"/>
      <c r="K427" s="36"/>
      <c r="L427" s="26"/>
      <c r="M427" s="26"/>
      <c r="N427" s="26"/>
      <c r="O427" s="93"/>
      <c r="P427" s="95"/>
      <c r="Q427" s="197"/>
    </row>
    <row r="428" spans="3:17" x14ac:dyDescent="0.25">
      <c r="C428" s="199"/>
      <c r="D428" s="112"/>
      <c r="E428" s="33"/>
      <c r="F428" s="90"/>
      <c r="H428" s="116"/>
      <c r="I428" s="26"/>
      <c r="J428" s="98"/>
      <c r="K428" s="36"/>
      <c r="L428" s="26"/>
      <c r="M428" s="26"/>
      <c r="N428" s="26"/>
      <c r="O428" s="93"/>
      <c r="P428" s="95"/>
      <c r="Q428" s="197"/>
    </row>
    <row r="429" spans="3:17" x14ac:dyDescent="0.25">
      <c r="C429" s="199"/>
      <c r="D429" s="112"/>
      <c r="E429" s="33"/>
      <c r="F429" s="90"/>
      <c r="H429" s="116"/>
      <c r="I429" s="26"/>
      <c r="J429" s="98"/>
      <c r="K429" s="36"/>
      <c r="L429" s="26"/>
      <c r="M429" s="26"/>
      <c r="N429" s="26"/>
      <c r="O429" s="93"/>
      <c r="P429" s="95"/>
      <c r="Q429" s="197"/>
    </row>
    <row r="430" spans="3:17" x14ac:dyDescent="0.25">
      <c r="C430" s="199"/>
      <c r="D430" s="112"/>
      <c r="E430" s="33"/>
      <c r="F430" s="90"/>
      <c r="H430" s="116"/>
      <c r="I430" s="26"/>
      <c r="J430" s="98"/>
      <c r="K430" s="36"/>
      <c r="L430" s="26"/>
      <c r="M430" s="26"/>
      <c r="N430" s="26"/>
      <c r="O430" s="93"/>
      <c r="P430" s="95"/>
      <c r="Q430" s="197"/>
    </row>
    <row r="431" spans="3:17" x14ac:dyDescent="0.25">
      <c r="C431" s="199"/>
      <c r="D431" s="112"/>
      <c r="E431" s="33"/>
      <c r="F431" s="90"/>
      <c r="H431" s="116"/>
      <c r="I431" s="26"/>
      <c r="J431" s="98"/>
      <c r="K431" s="36"/>
      <c r="L431" s="26"/>
      <c r="M431" s="26"/>
      <c r="N431" s="26"/>
      <c r="O431" s="93"/>
      <c r="P431" s="95"/>
      <c r="Q431" s="197"/>
    </row>
    <row r="432" spans="3:17" x14ac:dyDescent="0.25">
      <c r="C432" s="199"/>
      <c r="D432" s="112"/>
      <c r="E432" s="33"/>
      <c r="F432" s="90"/>
      <c r="H432" s="116"/>
      <c r="I432" s="26"/>
      <c r="J432" s="98"/>
      <c r="K432" s="36"/>
      <c r="L432" s="26"/>
      <c r="M432" s="26"/>
      <c r="N432" s="26"/>
      <c r="O432" s="93"/>
      <c r="P432" s="95"/>
      <c r="Q432" s="197"/>
    </row>
    <row r="433" spans="3:17" x14ac:dyDescent="0.25">
      <c r="C433" s="199"/>
      <c r="D433" s="112"/>
      <c r="E433" s="33"/>
      <c r="F433" s="90"/>
      <c r="H433" s="116"/>
      <c r="I433" s="26"/>
      <c r="J433" s="98"/>
      <c r="K433" s="36"/>
      <c r="L433" s="26"/>
      <c r="M433" s="26"/>
      <c r="N433" s="26"/>
      <c r="O433" s="93"/>
      <c r="P433" s="95"/>
      <c r="Q433" s="197"/>
    </row>
    <row r="434" spans="3:17" x14ac:dyDescent="0.25">
      <c r="C434" s="199"/>
      <c r="D434" s="112"/>
      <c r="E434" s="33"/>
      <c r="F434" s="90"/>
      <c r="H434" s="116"/>
      <c r="I434" s="26"/>
      <c r="J434" s="98"/>
      <c r="K434" s="36"/>
      <c r="L434" s="26"/>
      <c r="M434" s="26"/>
      <c r="N434" s="26"/>
      <c r="O434" s="93"/>
      <c r="P434" s="95"/>
      <c r="Q434" s="197"/>
    </row>
    <row r="435" spans="3:17" x14ac:dyDescent="0.25">
      <c r="C435" s="199"/>
      <c r="D435" s="112"/>
      <c r="E435" s="33"/>
      <c r="F435" s="90"/>
      <c r="H435" s="116"/>
      <c r="I435" s="26"/>
      <c r="J435" s="98"/>
      <c r="K435" s="36"/>
      <c r="L435" s="26"/>
      <c r="M435" s="26"/>
      <c r="N435" s="26"/>
      <c r="O435" s="93"/>
      <c r="P435" s="95"/>
      <c r="Q435" s="197"/>
    </row>
    <row r="436" spans="3:17" x14ac:dyDescent="0.25">
      <c r="C436" s="199"/>
      <c r="D436" s="112"/>
      <c r="E436" s="33"/>
      <c r="F436" s="90"/>
      <c r="H436" s="116"/>
      <c r="I436" s="26"/>
      <c r="J436" s="98"/>
      <c r="K436" s="36"/>
      <c r="L436" s="26"/>
      <c r="M436" s="26"/>
      <c r="N436" s="26"/>
      <c r="O436" s="93"/>
      <c r="P436" s="95"/>
      <c r="Q436" s="197"/>
    </row>
    <row r="437" spans="3:17" x14ac:dyDescent="0.25">
      <c r="C437" s="199"/>
      <c r="D437" s="112"/>
      <c r="E437" s="33"/>
      <c r="F437" s="90"/>
      <c r="H437" s="116"/>
      <c r="I437" s="26"/>
      <c r="J437" s="98"/>
      <c r="K437" s="36"/>
      <c r="L437" s="26"/>
      <c r="M437" s="26"/>
      <c r="N437" s="26"/>
      <c r="O437" s="93"/>
      <c r="P437" s="95"/>
      <c r="Q437" s="197"/>
    </row>
    <row r="438" spans="3:17" x14ac:dyDescent="0.25">
      <c r="C438" s="199"/>
      <c r="D438" s="112"/>
      <c r="E438" s="33"/>
      <c r="F438" s="90"/>
      <c r="H438" s="116"/>
      <c r="I438" s="26"/>
      <c r="J438" s="98"/>
      <c r="K438" s="36"/>
      <c r="L438" s="26"/>
      <c r="M438" s="26"/>
      <c r="N438" s="26"/>
      <c r="O438" s="93"/>
      <c r="P438" s="95"/>
      <c r="Q438" s="197"/>
    </row>
    <row r="439" spans="3:17" x14ac:dyDescent="0.25">
      <c r="C439" s="199"/>
      <c r="D439" s="112"/>
      <c r="E439" s="33"/>
      <c r="F439" s="90"/>
      <c r="H439" s="116"/>
      <c r="I439" s="26"/>
      <c r="J439" s="98"/>
      <c r="K439" s="36"/>
      <c r="L439" s="26"/>
      <c r="M439" s="26"/>
      <c r="N439" s="26"/>
      <c r="O439" s="93"/>
      <c r="P439" s="95"/>
      <c r="Q439" s="197"/>
    </row>
    <row r="440" spans="3:17" x14ac:dyDescent="0.25">
      <c r="C440" s="199"/>
      <c r="D440" s="112"/>
      <c r="E440" s="33"/>
      <c r="F440" s="90"/>
      <c r="H440" s="116"/>
      <c r="I440" s="26"/>
      <c r="J440" s="98"/>
      <c r="K440" s="36"/>
      <c r="L440" s="26"/>
      <c r="M440" s="26"/>
      <c r="N440" s="26"/>
      <c r="O440" s="93"/>
      <c r="P440" s="95"/>
      <c r="Q440" s="197"/>
    </row>
    <row r="441" spans="3:17" x14ac:dyDescent="0.25">
      <c r="C441" s="199"/>
      <c r="D441" s="112"/>
      <c r="E441" s="33"/>
      <c r="F441" s="90"/>
      <c r="H441" s="116"/>
      <c r="I441" s="26"/>
      <c r="J441" s="98"/>
      <c r="K441" s="36"/>
      <c r="L441" s="26"/>
      <c r="M441" s="26"/>
      <c r="N441" s="26"/>
      <c r="O441" s="93"/>
      <c r="P441" s="95"/>
      <c r="Q441" s="197"/>
    </row>
    <row r="442" spans="3:17" x14ac:dyDescent="0.25">
      <c r="C442" s="199"/>
      <c r="D442" s="112"/>
      <c r="E442" s="33"/>
      <c r="F442" s="90"/>
      <c r="H442" s="116"/>
      <c r="I442" s="26"/>
      <c r="J442" s="98"/>
      <c r="K442" s="36"/>
      <c r="L442" s="26"/>
      <c r="M442" s="26"/>
      <c r="N442" s="26"/>
      <c r="O442" s="93"/>
      <c r="P442" s="95"/>
      <c r="Q442" s="197"/>
    </row>
    <row r="443" spans="3:17" x14ac:dyDescent="0.25">
      <c r="C443" s="199"/>
      <c r="D443" s="112"/>
      <c r="E443" s="33"/>
      <c r="F443" s="90"/>
      <c r="H443" s="116"/>
      <c r="I443" s="26"/>
      <c r="J443" s="98"/>
      <c r="K443" s="36"/>
      <c r="L443" s="26"/>
      <c r="M443" s="26"/>
      <c r="N443" s="26"/>
      <c r="O443" s="93"/>
      <c r="P443" s="95"/>
      <c r="Q443" s="197"/>
    </row>
    <row r="444" spans="3:17" x14ac:dyDescent="0.25">
      <c r="C444" s="199"/>
      <c r="D444" s="112"/>
      <c r="E444" s="33"/>
      <c r="F444" s="90"/>
      <c r="H444" s="116"/>
      <c r="I444" s="26"/>
      <c r="J444" s="98"/>
      <c r="K444" s="36"/>
      <c r="L444" s="26"/>
      <c r="M444" s="26"/>
      <c r="N444" s="26"/>
      <c r="O444" s="93"/>
      <c r="P444" s="95"/>
      <c r="Q444" s="197"/>
    </row>
    <row r="445" spans="3:17" x14ac:dyDescent="0.25">
      <c r="C445" s="199"/>
      <c r="D445" s="112"/>
      <c r="E445" s="33"/>
      <c r="F445" s="90"/>
      <c r="H445" s="116"/>
      <c r="I445" s="26"/>
      <c r="J445" s="98"/>
      <c r="K445" s="36"/>
      <c r="L445" s="26"/>
      <c r="M445" s="26"/>
      <c r="N445" s="26"/>
      <c r="O445" s="93"/>
      <c r="P445" s="95"/>
      <c r="Q445" s="197"/>
    </row>
    <row r="446" spans="3:17" x14ac:dyDescent="0.25">
      <c r="C446" s="199"/>
      <c r="D446" s="112"/>
      <c r="E446" s="33"/>
      <c r="F446" s="90"/>
      <c r="H446" s="116"/>
      <c r="I446" s="26"/>
      <c r="J446" s="98"/>
      <c r="K446" s="36"/>
      <c r="L446" s="26"/>
      <c r="M446" s="26"/>
      <c r="N446" s="26"/>
      <c r="O446" s="93"/>
      <c r="P446" s="95"/>
      <c r="Q446" s="197"/>
    </row>
    <row r="447" spans="3:17" x14ac:dyDescent="0.25">
      <c r="C447" s="199"/>
      <c r="D447" s="112"/>
      <c r="E447" s="33"/>
      <c r="F447" s="90"/>
      <c r="H447" s="116"/>
      <c r="I447" s="26"/>
      <c r="J447" s="98"/>
      <c r="K447" s="36"/>
      <c r="L447" s="26"/>
      <c r="M447" s="26"/>
      <c r="N447" s="26"/>
      <c r="O447" s="93"/>
      <c r="P447" s="95"/>
      <c r="Q447" s="197"/>
    </row>
    <row r="448" spans="3:17" x14ac:dyDescent="0.25">
      <c r="C448" s="199"/>
      <c r="D448" s="112"/>
      <c r="E448" s="33"/>
      <c r="F448" s="90"/>
      <c r="H448" s="116"/>
      <c r="I448" s="26"/>
      <c r="J448" s="98"/>
      <c r="K448" s="36"/>
      <c r="L448" s="26"/>
      <c r="M448" s="26"/>
      <c r="N448" s="26"/>
      <c r="O448" s="93"/>
      <c r="P448" s="95"/>
      <c r="Q448" s="197"/>
    </row>
    <row r="449" spans="3:17" x14ac:dyDescent="0.25">
      <c r="C449" s="199"/>
      <c r="D449" s="112"/>
      <c r="E449" s="33"/>
      <c r="F449" s="90"/>
      <c r="H449" s="116"/>
      <c r="I449" s="26"/>
      <c r="J449" s="98"/>
      <c r="K449" s="36"/>
      <c r="L449" s="26"/>
      <c r="M449" s="26"/>
      <c r="N449" s="26"/>
      <c r="O449" s="93"/>
      <c r="P449" s="95"/>
      <c r="Q449" s="197"/>
    </row>
    <row r="450" spans="3:17" x14ac:dyDescent="0.25">
      <c r="C450" s="199"/>
      <c r="D450" s="112"/>
      <c r="E450" s="33"/>
      <c r="F450" s="90"/>
      <c r="H450" s="116"/>
      <c r="I450" s="26"/>
      <c r="J450" s="98"/>
      <c r="K450" s="36"/>
      <c r="L450" s="26"/>
      <c r="M450" s="26"/>
      <c r="N450" s="26"/>
      <c r="O450" s="93"/>
      <c r="P450" s="95"/>
      <c r="Q450" s="197"/>
    </row>
    <row r="451" spans="3:17" x14ac:dyDescent="0.25">
      <c r="C451" s="199"/>
      <c r="D451" s="112"/>
      <c r="E451" s="33"/>
      <c r="F451" s="90"/>
      <c r="H451" s="116"/>
      <c r="I451" s="26"/>
      <c r="J451" s="98"/>
      <c r="K451" s="36"/>
      <c r="L451" s="26"/>
      <c r="M451" s="26"/>
      <c r="N451" s="26"/>
      <c r="O451" s="93"/>
      <c r="P451" s="95"/>
      <c r="Q451" s="197"/>
    </row>
    <row r="452" spans="3:17" x14ac:dyDescent="0.25">
      <c r="C452" s="199"/>
      <c r="D452" s="112"/>
      <c r="E452" s="33"/>
      <c r="F452" s="90"/>
      <c r="H452" s="116"/>
      <c r="I452" s="26"/>
      <c r="J452" s="98"/>
      <c r="K452" s="36"/>
      <c r="L452" s="26"/>
      <c r="M452" s="26"/>
      <c r="N452" s="26"/>
      <c r="O452" s="93"/>
      <c r="P452" s="95"/>
      <c r="Q452" s="197"/>
    </row>
    <row r="453" spans="3:17" x14ac:dyDescent="0.25">
      <c r="C453" s="199"/>
      <c r="D453" s="112"/>
      <c r="E453" s="33"/>
      <c r="F453" s="90"/>
      <c r="H453" s="116"/>
      <c r="I453" s="26"/>
      <c r="J453" s="98"/>
      <c r="K453" s="36"/>
      <c r="L453" s="26"/>
      <c r="M453" s="26"/>
      <c r="N453" s="26"/>
      <c r="O453" s="93"/>
      <c r="P453" s="95"/>
      <c r="Q453" s="197"/>
    </row>
    <row r="454" spans="3:17" x14ac:dyDescent="0.25">
      <c r="C454" s="199"/>
      <c r="D454" s="112"/>
      <c r="E454" s="33"/>
      <c r="F454" s="90"/>
      <c r="H454" s="116"/>
      <c r="I454" s="26"/>
      <c r="J454" s="98"/>
      <c r="K454" s="36"/>
      <c r="L454" s="26"/>
      <c r="M454" s="26"/>
      <c r="N454" s="26"/>
      <c r="O454" s="93"/>
      <c r="P454" s="95"/>
      <c r="Q454" s="197"/>
    </row>
    <row r="455" spans="3:17" x14ac:dyDescent="0.25">
      <c r="C455" s="199"/>
      <c r="D455" s="112"/>
      <c r="E455" s="33"/>
      <c r="F455" s="90"/>
      <c r="H455" s="116"/>
      <c r="I455" s="26"/>
      <c r="J455" s="98"/>
      <c r="K455" s="36"/>
      <c r="L455" s="26"/>
      <c r="M455" s="26"/>
      <c r="N455" s="26"/>
      <c r="O455" s="93"/>
      <c r="P455" s="95"/>
      <c r="Q455" s="197"/>
    </row>
    <row r="456" spans="3:17" x14ac:dyDescent="0.25">
      <c r="C456" s="199"/>
      <c r="D456" s="112"/>
      <c r="E456" s="33"/>
      <c r="F456" s="90"/>
      <c r="H456" s="116"/>
      <c r="I456" s="26"/>
      <c r="J456" s="98"/>
      <c r="K456" s="36"/>
      <c r="L456" s="26"/>
      <c r="M456" s="26"/>
      <c r="N456" s="26"/>
      <c r="O456" s="93"/>
      <c r="P456" s="95"/>
      <c r="Q456" s="197"/>
    </row>
    <row r="457" spans="3:17" x14ac:dyDescent="0.25">
      <c r="C457" s="199"/>
      <c r="D457" s="112"/>
      <c r="E457" s="33"/>
      <c r="F457" s="90"/>
      <c r="H457" s="116"/>
      <c r="I457" s="26"/>
      <c r="J457" s="98"/>
      <c r="K457" s="36"/>
      <c r="L457" s="26"/>
      <c r="M457" s="26"/>
      <c r="N457" s="26"/>
      <c r="O457" s="93"/>
      <c r="P457" s="95"/>
      <c r="Q457" s="197"/>
    </row>
    <row r="458" spans="3:17" x14ac:dyDescent="0.25">
      <c r="C458" s="199"/>
      <c r="D458" s="112"/>
      <c r="E458" s="33"/>
      <c r="F458" s="90"/>
      <c r="H458" s="116"/>
      <c r="I458" s="26"/>
      <c r="J458" s="98"/>
      <c r="K458" s="36"/>
      <c r="L458" s="26"/>
      <c r="M458" s="26"/>
      <c r="N458" s="26"/>
      <c r="O458" s="93"/>
      <c r="P458" s="95"/>
      <c r="Q458" s="197"/>
    </row>
    <row r="459" spans="3:17" x14ac:dyDescent="0.25">
      <c r="C459" s="199"/>
      <c r="D459" s="112"/>
      <c r="E459" s="33"/>
      <c r="F459" s="90"/>
      <c r="H459" s="116"/>
      <c r="I459" s="26"/>
      <c r="J459" s="98"/>
      <c r="K459" s="36"/>
      <c r="L459" s="26"/>
      <c r="M459" s="26"/>
      <c r="N459" s="26"/>
      <c r="O459" s="93"/>
      <c r="P459" s="95"/>
      <c r="Q459" s="197"/>
    </row>
    <row r="460" spans="3:17" x14ac:dyDescent="0.25">
      <c r="C460" s="199"/>
      <c r="D460" s="112"/>
      <c r="E460" s="33"/>
      <c r="F460" s="90"/>
      <c r="H460" s="116"/>
      <c r="I460" s="26"/>
      <c r="J460" s="98"/>
      <c r="K460" s="36"/>
      <c r="L460" s="26"/>
      <c r="M460" s="26"/>
      <c r="N460" s="26"/>
      <c r="O460" s="93"/>
      <c r="P460" s="95"/>
      <c r="Q460" s="197"/>
    </row>
    <row r="461" spans="3:17" x14ac:dyDescent="0.25">
      <c r="C461" s="199"/>
      <c r="D461" s="112"/>
      <c r="E461" s="33"/>
      <c r="F461" s="90"/>
      <c r="H461" s="116"/>
      <c r="I461" s="26"/>
      <c r="J461" s="98"/>
      <c r="K461" s="36"/>
      <c r="L461" s="26"/>
      <c r="M461" s="26"/>
      <c r="N461" s="26"/>
      <c r="O461" s="93"/>
      <c r="P461" s="95"/>
      <c r="Q461" s="197"/>
    </row>
    <row r="462" spans="3:17" x14ac:dyDescent="0.25">
      <c r="C462" s="199"/>
      <c r="D462" s="112"/>
      <c r="E462" s="33"/>
      <c r="F462" s="90"/>
      <c r="H462" s="116"/>
      <c r="I462" s="26"/>
      <c r="J462" s="98"/>
      <c r="K462" s="36"/>
      <c r="L462" s="26"/>
      <c r="M462" s="26"/>
      <c r="N462" s="26"/>
      <c r="O462" s="93"/>
      <c r="P462" s="95"/>
      <c r="Q462" s="197"/>
    </row>
    <row r="463" spans="3:17" x14ac:dyDescent="0.25">
      <c r="C463" s="199"/>
      <c r="D463" s="112"/>
      <c r="E463" s="33"/>
      <c r="F463" s="90"/>
      <c r="H463" s="116"/>
      <c r="I463" s="26"/>
      <c r="J463" s="98"/>
      <c r="K463" s="36"/>
      <c r="L463" s="26"/>
      <c r="M463" s="26"/>
      <c r="N463" s="26"/>
      <c r="O463" s="93"/>
      <c r="P463" s="95"/>
      <c r="Q463" s="197"/>
    </row>
    <row r="464" spans="3:17" x14ac:dyDescent="0.25">
      <c r="C464" s="199"/>
      <c r="D464" s="112"/>
      <c r="E464" s="33"/>
      <c r="F464" s="90"/>
      <c r="H464" s="116"/>
      <c r="I464" s="26"/>
      <c r="J464" s="98"/>
      <c r="K464" s="36"/>
      <c r="L464" s="26"/>
      <c r="M464" s="26"/>
      <c r="N464" s="26"/>
      <c r="O464" s="93"/>
      <c r="P464" s="95"/>
      <c r="Q464" s="197"/>
    </row>
    <row r="465" spans="3:17" x14ac:dyDescent="0.25">
      <c r="C465" s="199"/>
      <c r="D465" s="112"/>
      <c r="E465" s="33"/>
      <c r="F465" s="90"/>
      <c r="H465" s="116"/>
      <c r="I465" s="26"/>
      <c r="J465" s="98"/>
      <c r="K465" s="36"/>
      <c r="L465" s="26"/>
      <c r="M465" s="26"/>
      <c r="N465" s="26"/>
      <c r="O465" s="93"/>
      <c r="P465" s="95"/>
      <c r="Q465" s="197"/>
    </row>
    <row r="466" spans="3:17" x14ac:dyDescent="0.25">
      <c r="C466" s="199"/>
      <c r="D466" s="112"/>
      <c r="E466" s="33"/>
      <c r="F466" s="90"/>
      <c r="H466" s="116"/>
      <c r="I466" s="26"/>
      <c r="J466" s="98"/>
      <c r="K466" s="36"/>
      <c r="L466" s="26"/>
      <c r="M466" s="26"/>
      <c r="N466" s="26"/>
      <c r="O466" s="93"/>
      <c r="P466" s="95"/>
      <c r="Q466" s="197"/>
    </row>
    <row r="467" spans="3:17" x14ac:dyDescent="0.25">
      <c r="C467" s="199"/>
      <c r="D467" s="112"/>
      <c r="E467" s="33"/>
      <c r="F467" s="90"/>
      <c r="H467" s="116"/>
      <c r="I467" s="26"/>
      <c r="J467" s="98"/>
      <c r="K467" s="36"/>
      <c r="L467" s="26"/>
      <c r="M467" s="26"/>
      <c r="N467" s="26"/>
      <c r="O467" s="93"/>
      <c r="P467" s="95"/>
      <c r="Q467" s="197"/>
    </row>
    <row r="468" spans="3:17" x14ac:dyDescent="0.25">
      <c r="C468" s="199"/>
      <c r="D468" s="112"/>
      <c r="E468" s="33"/>
      <c r="F468" s="90"/>
      <c r="H468" s="116"/>
      <c r="I468" s="26"/>
      <c r="J468" s="98"/>
      <c r="K468" s="36"/>
      <c r="L468" s="26"/>
      <c r="M468" s="26"/>
      <c r="N468" s="26"/>
      <c r="O468" s="93"/>
      <c r="P468" s="95"/>
      <c r="Q468" s="197"/>
    </row>
    <row r="469" spans="3:17" x14ac:dyDescent="0.25">
      <c r="C469" s="199"/>
      <c r="D469" s="112"/>
      <c r="E469" s="33"/>
      <c r="F469" s="90"/>
      <c r="H469" s="116"/>
      <c r="I469" s="26"/>
      <c r="J469" s="98"/>
      <c r="K469" s="36"/>
      <c r="L469" s="26"/>
      <c r="M469" s="26"/>
      <c r="N469" s="26"/>
      <c r="O469" s="93"/>
      <c r="P469" s="95"/>
      <c r="Q469" s="197"/>
    </row>
    <row r="470" spans="3:17" x14ac:dyDescent="0.25">
      <c r="C470" s="199"/>
      <c r="D470" s="112"/>
      <c r="E470" s="33"/>
      <c r="F470" s="90"/>
      <c r="H470" s="116"/>
      <c r="I470" s="26"/>
      <c r="J470" s="98"/>
      <c r="K470" s="36"/>
      <c r="L470" s="26"/>
      <c r="M470" s="26"/>
      <c r="N470" s="26"/>
      <c r="O470" s="93"/>
      <c r="P470" s="95"/>
      <c r="Q470" s="197"/>
    </row>
    <row r="471" spans="3:17" x14ac:dyDescent="0.25">
      <c r="C471" s="199"/>
      <c r="D471" s="112"/>
      <c r="E471" s="33"/>
      <c r="F471" s="90"/>
      <c r="H471" s="116"/>
      <c r="I471" s="26"/>
      <c r="J471" s="98"/>
      <c r="K471" s="36"/>
      <c r="L471" s="26"/>
      <c r="M471" s="26"/>
      <c r="N471" s="26"/>
      <c r="O471" s="93"/>
      <c r="P471" s="95"/>
      <c r="Q471" s="197"/>
    </row>
    <row r="472" spans="3:17" x14ac:dyDescent="0.25">
      <c r="C472" s="199"/>
      <c r="D472" s="112"/>
      <c r="E472" s="33"/>
      <c r="F472" s="90"/>
      <c r="H472" s="116"/>
      <c r="I472" s="26"/>
      <c r="J472" s="98"/>
      <c r="K472" s="36"/>
      <c r="L472" s="26"/>
      <c r="M472" s="26"/>
      <c r="N472" s="26"/>
      <c r="O472" s="93"/>
      <c r="P472" s="95"/>
      <c r="Q472" s="197"/>
    </row>
    <row r="473" spans="3:17" x14ac:dyDescent="0.25">
      <c r="C473" s="199"/>
      <c r="D473" s="112"/>
      <c r="E473" s="33"/>
      <c r="F473" s="90"/>
      <c r="H473" s="116"/>
      <c r="I473" s="26"/>
      <c r="J473" s="98"/>
      <c r="K473" s="36"/>
      <c r="L473" s="26"/>
      <c r="M473" s="26"/>
      <c r="N473" s="26"/>
      <c r="O473" s="93"/>
      <c r="P473" s="95"/>
      <c r="Q473" s="197"/>
    </row>
    <row r="474" spans="3:17" x14ac:dyDescent="0.25">
      <c r="C474" s="199"/>
      <c r="D474" s="112"/>
      <c r="E474" s="33"/>
      <c r="F474" s="90"/>
      <c r="H474" s="116"/>
      <c r="I474" s="26"/>
      <c r="J474" s="98"/>
      <c r="K474" s="36"/>
      <c r="L474" s="26"/>
      <c r="M474" s="26"/>
      <c r="N474" s="26"/>
      <c r="O474" s="93"/>
      <c r="P474" s="95"/>
      <c r="Q474" s="197"/>
    </row>
    <row r="475" spans="3:17" x14ac:dyDescent="0.25">
      <c r="C475" s="199"/>
      <c r="D475" s="112"/>
      <c r="E475" s="33"/>
      <c r="F475" s="90"/>
      <c r="H475" s="116"/>
      <c r="I475" s="26"/>
      <c r="J475" s="98"/>
      <c r="K475" s="36"/>
      <c r="L475" s="26"/>
      <c r="M475" s="26"/>
      <c r="N475" s="26"/>
      <c r="O475" s="93"/>
      <c r="P475" s="95"/>
      <c r="Q475" s="197"/>
    </row>
    <row r="476" spans="3:17" x14ac:dyDescent="0.25">
      <c r="C476" s="199"/>
      <c r="D476" s="112"/>
      <c r="E476" s="33"/>
      <c r="F476" s="90"/>
      <c r="H476" s="116"/>
      <c r="I476" s="26"/>
      <c r="J476" s="98"/>
      <c r="K476" s="36"/>
      <c r="L476" s="26"/>
      <c r="M476" s="26"/>
      <c r="N476" s="26"/>
      <c r="O476" s="93"/>
      <c r="P476" s="95"/>
      <c r="Q476" s="197"/>
    </row>
    <row r="477" spans="3:17" x14ac:dyDescent="0.25">
      <c r="C477" s="199"/>
      <c r="D477" s="112"/>
      <c r="E477" s="33"/>
      <c r="F477" s="90"/>
      <c r="H477" s="116"/>
      <c r="I477" s="26"/>
      <c r="J477" s="98"/>
      <c r="K477" s="36"/>
      <c r="L477" s="26"/>
      <c r="M477" s="26"/>
      <c r="N477" s="26"/>
      <c r="O477" s="93"/>
      <c r="P477" s="95"/>
      <c r="Q477" s="197"/>
    </row>
    <row r="478" spans="3:17" x14ac:dyDescent="0.25">
      <c r="C478" s="199"/>
      <c r="D478" s="112"/>
      <c r="E478" s="33"/>
      <c r="F478" s="90"/>
      <c r="H478" s="116"/>
      <c r="I478" s="26"/>
      <c r="J478" s="98"/>
      <c r="K478" s="36"/>
      <c r="L478" s="26"/>
      <c r="M478" s="26"/>
      <c r="N478" s="26"/>
      <c r="O478" s="93"/>
      <c r="P478" s="95"/>
      <c r="Q478" s="197"/>
    </row>
    <row r="479" spans="3:17" x14ac:dyDescent="0.25">
      <c r="C479" s="199"/>
      <c r="D479" s="112"/>
      <c r="E479" s="33"/>
      <c r="F479" s="90"/>
      <c r="H479" s="116"/>
      <c r="I479" s="26"/>
      <c r="J479" s="98"/>
      <c r="K479" s="36"/>
      <c r="L479" s="26"/>
      <c r="M479" s="26"/>
      <c r="N479" s="26"/>
      <c r="O479" s="93"/>
      <c r="P479" s="95"/>
      <c r="Q479" s="197"/>
    </row>
    <row r="480" spans="3:17" x14ac:dyDescent="0.25">
      <c r="C480" s="199"/>
      <c r="D480" s="112"/>
      <c r="E480" s="33"/>
      <c r="F480" s="90"/>
      <c r="H480" s="116"/>
      <c r="I480" s="26"/>
      <c r="J480" s="98"/>
      <c r="K480" s="36"/>
      <c r="L480" s="26"/>
      <c r="M480" s="26"/>
      <c r="N480" s="26"/>
      <c r="O480" s="93"/>
      <c r="P480" s="95"/>
      <c r="Q480" s="197"/>
    </row>
    <row r="481" spans="3:17" x14ac:dyDescent="0.25">
      <c r="C481" s="199"/>
      <c r="D481" s="112"/>
      <c r="E481" s="33"/>
      <c r="F481" s="90"/>
      <c r="H481" s="116"/>
      <c r="I481" s="26"/>
      <c r="J481" s="98"/>
      <c r="K481" s="36"/>
      <c r="L481" s="26"/>
      <c r="M481" s="26"/>
      <c r="N481" s="26"/>
      <c r="O481" s="93"/>
      <c r="P481" s="95"/>
      <c r="Q481" s="197"/>
    </row>
    <row r="482" spans="3:17" x14ac:dyDescent="0.25">
      <c r="C482" s="199"/>
      <c r="D482" s="112"/>
      <c r="E482" s="33"/>
      <c r="F482" s="90"/>
      <c r="H482" s="116"/>
      <c r="I482" s="26"/>
      <c r="J482" s="98"/>
      <c r="K482" s="36"/>
      <c r="L482" s="26"/>
      <c r="M482" s="26"/>
      <c r="N482" s="26"/>
      <c r="O482" s="93"/>
      <c r="P482" s="95"/>
      <c r="Q482" s="197"/>
    </row>
    <row r="483" spans="3:17" x14ac:dyDescent="0.25">
      <c r="C483" s="199"/>
      <c r="D483" s="112"/>
      <c r="E483" s="33"/>
      <c r="F483" s="90"/>
      <c r="H483" s="116"/>
      <c r="I483" s="26"/>
      <c r="J483" s="98"/>
      <c r="K483" s="36"/>
      <c r="L483" s="26"/>
      <c r="M483" s="26"/>
      <c r="N483" s="26"/>
      <c r="O483" s="93"/>
      <c r="P483" s="95"/>
      <c r="Q483" s="197"/>
    </row>
    <row r="484" spans="3:17" x14ac:dyDescent="0.25">
      <c r="C484" s="199"/>
      <c r="D484" s="112"/>
      <c r="E484" s="33"/>
      <c r="F484" s="90"/>
      <c r="H484" s="116"/>
      <c r="I484" s="26"/>
      <c r="J484" s="98"/>
      <c r="K484" s="36"/>
      <c r="L484" s="26"/>
      <c r="M484" s="26"/>
      <c r="N484" s="26"/>
      <c r="O484" s="93"/>
      <c r="P484" s="95"/>
      <c r="Q484" s="197"/>
    </row>
    <row r="485" spans="3:17" x14ac:dyDescent="0.25">
      <c r="C485" s="199"/>
      <c r="D485" s="112"/>
      <c r="E485" s="33"/>
      <c r="F485" s="90"/>
      <c r="H485" s="116"/>
      <c r="I485" s="26"/>
      <c r="J485" s="98"/>
      <c r="K485" s="36"/>
      <c r="L485" s="26"/>
      <c r="M485" s="26"/>
      <c r="N485" s="26"/>
      <c r="O485" s="93"/>
      <c r="P485" s="95"/>
      <c r="Q485" s="197"/>
    </row>
    <row r="486" spans="3:17" x14ac:dyDescent="0.25">
      <c r="C486" s="199"/>
      <c r="D486" s="112"/>
      <c r="E486" s="33"/>
      <c r="F486" s="90"/>
      <c r="H486" s="116"/>
      <c r="I486" s="26"/>
      <c r="J486" s="98"/>
      <c r="K486" s="36"/>
      <c r="L486" s="26"/>
      <c r="M486" s="26"/>
      <c r="N486" s="26"/>
      <c r="O486" s="93"/>
      <c r="P486" s="95"/>
      <c r="Q486" s="197"/>
    </row>
    <row r="487" spans="3:17" x14ac:dyDescent="0.25">
      <c r="C487" s="199"/>
      <c r="D487" s="112"/>
      <c r="E487" s="33"/>
      <c r="F487" s="90"/>
      <c r="H487" s="116"/>
      <c r="I487" s="26"/>
      <c r="J487" s="98"/>
      <c r="K487" s="36"/>
      <c r="L487" s="26"/>
      <c r="M487" s="26"/>
      <c r="N487" s="26"/>
      <c r="O487" s="93"/>
      <c r="P487" s="95"/>
      <c r="Q487" s="197"/>
    </row>
    <row r="488" spans="3:17" x14ac:dyDescent="0.25">
      <c r="C488" s="199"/>
      <c r="D488" s="112"/>
      <c r="E488" s="33"/>
      <c r="F488" s="90"/>
      <c r="H488" s="116"/>
      <c r="I488" s="26"/>
      <c r="J488" s="98"/>
      <c r="K488" s="36"/>
      <c r="L488" s="26"/>
      <c r="M488" s="26"/>
      <c r="N488" s="26"/>
      <c r="O488" s="93"/>
      <c r="P488" s="95"/>
      <c r="Q488" s="197"/>
    </row>
    <row r="489" spans="3:17" x14ac:dyDescent="0.25">
      <c r="C489" s="199"/>
      <c r="D489" s="112"/>
      <c r="E489" s="33"/>
      <c r="F489" s="90"/>
      <c r="H489" s="116"/>
      <c r="I489" s="26"/>
      <c r="J489" s="98"/>
      <c r="K489" s="36"/>
      <c r="L489" s="26"/>
      <c r="M489" s="26"/>
      <c r="N489" s="26"/>
      <c r="O489" s="93"/>
      <c r="P489" s="95"/>
      <c r="Q489" s="197"/>
    </row>
    <row r="490" spans="3:17" x14ac:dyDescent="0.25">
      <c r="C490" s="199"/>
      <c r="D490" s="112"/>
      <c r="E490" s="33"/>
      <c r="F490" s="90"/>
      <c r="H490" s="116"/>
      <c r="I490" s="26"/>
      <c r="J490" s="98"/>
      <c r="K490" s="36"/>
      <c r="L490" s="26"/>
      <c r="M490" s="26"/>
      <c r="N490" s="26"/>
      <c r="O490" s="93"/>
      <c r="P490" s="95"/>
      <c r="Q490" s="197"/>
    </row>
    <row r="491" spans="3:17" x14ac:dyDescent="0.25">
      <c r="C491" s="199"/>
      <c r="D491" s="112"/>
      <c r="E491" s="33"/>
      <c r="F491" s="90"/>
      <c r="H491" s="116"/>
      <c r="I491" s="26"/>
      <c r="J491" s="98"/>
      <c r="K491" s="36"/>
      <c r="L491" s="26"/>
      <c r="M491" s="26"/>
      <c r="N491" s="26"/>
      <c r="O491" s="93"/>
      <c r="P491" s="95"/>
      <c r="Q491" s="197"/>
    </row>
    <row r="492" spans="3:17" x14ac:dyDescent="0.25">
      <c r="C492" s="199"/>
      <c r="D492" s="112"/>
      <c r="E492" s="33"/>
      <c r="F492" s="90"/>
      <c r="H492" s="116"/>
      <c r="I492" s="26"/>
      <c r="J492" s="98"/>
      <c r="K492" s="36"/>
      <c r="L492" s="26"/>
      <c r="M492" s="26"/>
      <c r="N492" s="26"/>
      <c r="O492" s="93"/>
      <c r="P492" s="95"/>
      <c r="Q492" s="197"/>
    </row>
    <row r="493" spans="3:17" x14ac:dyDescent="0.25">
      <c r="C493" s="199"/>
      <c r="D493" s="112"/>
      <c r="E493" s="33"/>
      <c r="F493" s="90"/>
      <c r="H493" s="116"/>
      <c r="I493" s="26"/>
      <c r="J493" s="98"/>
      <c r="K493" s="36"/>
      <c r="L493" s="26"/>
      <c r="M493" s="26"/>
      <c r="N493" s="26"/>
      <c r="O493" s="93"/>
      <c r="P493" s="95"/>
      <c r="Q493" s="197"/>
    </row>
    <row r="494" spans="3:17" x14ac:dyDescent="0.25">
      <c r="C494" s="199"/>
      <c r="D494" s="112"/>
      <c r="E494" s="33"/>
      <c r="F494" s="90"/>
      <c r="H494" s="116"/>
      <c r="I494" s="26"/>
      <c r="J494" s="98"/>
      <c r="K494" s="36"/>
      <c r="L494" s="26"/>
      <c r="M494" s="26"/>
      <c r="N494" s="26"/>
      <c r="O494" s="93"/>
      <c r="P494" s="95"/>
      <c r="Q494" s="197"/>
    </row>
    <row r="495" spans="3:17" x14ac:dyDescent="0.25">
      <c r="C495" s="199"/>
      <c r="D495" s="112"/>
      <c r="E495" s="33"/>
      <c r="F495" s="90"/>
      <c r="H495" s="116"/>
      <c r="I495" s="26"/>
      <c r="J495" s="98"/>
      <c r="K495" s="36"/>
      <c r="L495" s="26"/>
      <c r="M495" s="26"/>
      <c r="N495" s="26"/>
      <c r="O495" s="93"/>
      <c r="P495" s="95"/>
      <c r="Q495" s="197"/>
    </row>
    <row r="496" spans="3:17" x14ac:dyDescent="0.25">
      <c r="C496" s="199"/>
      <c r="D496" s="112"/>
      <c r="E496" s="33"/>
      <c r="F496" s="90"/>
      <c r="H496" s="116"/>
      <c r="I496" s="26"/>
      <c r="J496" s="98"/>
      <c r="K496" s="36"/>
      <c r="L496" s="26"/>
      <c r="M496" s="26"/>
      <c r="N496" s="26"/>
      <c r="O496" s="93"/>
      <c r="P496" s="95"/>
      <c r="Q496" s="197"/>
    </row>
    <row r="497" spans="3:17" x14ac:dyDescent="0.25">
      <c r="C497" s="199"/>
      <c r="D497" s="112"/>
      <c r="E497" s="33"/>
      <c r="F497" s="90"/>
      <c r="H497" s="116"/>
      <c r="I497" s="26"/>
      <c r="J497" s="98"/>
      <c r="K497" s="36"/>
      <c r="L497" s="26"/>
      <c r="M497" s="26"/>
      <c r="N497" s="26"/>
      <c r="O497" s="93"/>
      <c r="P497" s="95"/>
      <c r="Q497" s="197"/>
    </row>
    <row r="498" spans="3:17" x14ac:dyDescent="0.25">
      <c r="C498" s="199"/>
      <c r="D498" s="112"/>
      <c r="E498" s="33"/>
      <c r="F498" s="90"/>
      <c r="H498" s="116"/>
      <c r="I498" s="26"/>
      <c r="J498" s="98"/>
      <c r="K498" s="36"/>
      <c r="L498" s="26"/>
      <c r="M498" s="26"/>
      <c r="N498" s="26"/>
      <c r="O498" s="93"/>
      <c r="P498" s="95"/>
      <c r="Q498" s="197"/>
    </row>
    <row r="499" spans="3:17" x14ac:dyDescent="0.25">
      <c r="C499" s="199"/>
      <c r="D499" s="112"/>
      <c r="E499" s="33"/>
      <c r="F499" s="90"/>
      <c r="H499" s="116"/>
      <c r="I499" s="26"/>
      <c r="J499" s="98"/>
      <c r="K499" s="36"/>
      <c r="L499" s="26"/>
      <c r="M499" s="26"/>
      <c r="N499" s="26"/>
      <c r="O499" s="93"/>
      <c r="P499" s="95"/>
      <c r="Q499" s="197"/>
    </row>
    <row r="500" spans="3:17" x14ac:dyDescent="0.25">
      <c r="C500" s="199"/>
      <c r="D500" s="112"/>
      <c r="E500" s="33"/>
      <c r="F500" s="90"/>
      <c r="H500" s="116"/>
      <c r="I500" s="26"/>
      <c r="J500" s="98"/>
      <c r="K500" s="36"/>
      <c r="L500" s="26"/>
      <c r="M500" s="26"/>
      <c r="N500" s="26"/>
      <c r="O500" s="93"/>
      <c r="P500" s="95"/>
      <c r="Q500" s="197"/>
    </row>
    <row r="501" spans="3:17" x14ac:dyDescent="0.25">
      <c r="C501" s="199"/>
      <c r="D501" s="112"/>
      <c r="E501" s="33"/>
      <c r="F501" s="90"/>
      <c r="H501" s="116"/>
      <c r="I501" s="26"/>
      <c r="J501" s="98"/>
      <c r="K501" s="36"/>
      <c r="L501" s="26"/>
      <c r="M501" s="26"/>
      <c r="N501" s="26"/>
      <c r="O501" s="93"/>
      <c r="P501" s="95"/>
      <c r="Q501" s="197"/>
    </row>
    <row r="502" spans="3:17" x14ac:dyDescent="0.25">
      <c r="C502" s="199"/>
      <c r="D502" s="112"/>
      <c r="E502" s="33"/>
      <c r="F502" s="90"/>
      <c r="H502" s="116"/>
      <c r="I502" s="26"/>
      <c r="J502" s="98"/>
      <c r="K502" s="36"/>
      <c r="L502" s="26"/>
      <c r="M502" s="26"/>
      <c r="N502" s="26"/>
      <c r="O502" s="93"/>
      <c r="P502" s="95"/>
      <c r="Q502" s="197"/>
    </row>
    <row r="503" spans="3:17" x14ac:dyDescent="0.25">
      <c r="C503" s="199"/>
      <c r="D503" s="112"/>
      <c r="E503" s="33"/>
      <c r="F503" s="90"/>
      <c r="H503" s="116"/>
      <c r="I503" s="26"/>
      <c r="J503" s="98"/>
      <c r="K503" s="36"/>
      <c r="L503" s="26"/>
      <c r="M503" s="26"/>
      <c r="N503" s="26"/>
      <c r="O503" s="93"/>
      <c r="P503" s="95"/>
      <c r="Q503" s="197"/>
    </row>
    <row r="504" spans="3:17" x14ac:dyDescent="0.25">
      <c r="C504" s="199"/>
      <c r="D504" s="112"/>
      <c r="E504" s="33"/>
      <c r="F504" s="90"/>
      <c r="H504" s="116"/>
      <c r="I504" s="26"/>
      <c r="J504" s="98"/>
      <c r="K504" s="36"/>
      <c r="L504" s="26"/>
      <c r="M504" s="26"/>
      <c r="N504" s="26"/>
      <c r="O504" s="93"/>
      <c r="P504" s="95"/>
      <c r="Q504" s="197"/>
    </row>
    <row r="505" spans="3:17" x14ac:dyDescent="0.25">
      <c r="C505" s="199"/>
      <c r="D505" s="112"/>
      <c r="E505" s="33"/>
      <c r="F505" s="90"/>
      <c r="H505" s="116"/>
      <c r="I505" s="26"/>
      <c r="J505" s="98"/>
      <c r="K505" s="36"/>
      <c r="L505" s="26"/>
      <c r="M505" s="26"/>
      <c r="N505" s="26"/>
      <c r="O505" s="93"/>
      <c r="P505" s="95"/>
      <c r="Q505" s="197"/>
    </row>
    <row r="506" spans="3:17" x14ac:dyDescent="0.25">
      <c r="C506" s="199"/>
      <c r="D506" s="112"/>
      <c r="E506" s="33"/>
      <c r="F506" s="90"/>
      <c r="H506" s="116"/>
      <c r="I506" s="26"/>
      <c r="J506" s="98"/>
      <c r="K506" s="36"/>
      <c r="L506" s="26"/>
      <c r="M506" s="26"/>
      <c r="N506" s="26"/>
      <c r="O506" s="93"/>
      <c r="P506" s="95"/>
      <c r="Q506" s="197"/>
    </row>
    <row r="507" spans="3:17" x14ac:dyDescent="0.25">
      <c r="C507" s="199"/>
      <c r="D507" s="112"/>
      <c r="E507" s="33"/>
      <c r="F507" s="90"/>
      <c r="H507" s="116"/>
      <c r="I507" s="26"/>
      <c r="J507" s="98"/>
      <c r="K507" s="36"/>
      <c r="L507" s="26"/>
      <c r="M507" s="26"/>
      <c r="N507" s="26"/>
      <c r="O507" s="93"/>
      <c r="P507" s="95"/>
      <c r="Q507" s="197"/>
    </row>
    <row r="508" spans="3:17" x14ac:dyDescent="0.25">
      <c r="C508" s="199"/>
      <c r="D508" s="112"/>
      <c r="E508" s="33"/>
      <c r="F508" s="90"/>
      <c r="H508" s="116"/>
      <c r="I508" s="26"/>
      <c r="J508" s="98"/>
      <c r="K508" s="36"/>
      <c r="L508" s="26"/>
      <c r="M508" s="26"/>
      <c r="N508" s="26"/>
      <c r="O508" s="93"/>
      <c r="P508" s="95"/>
      <c r="Q508" s="197"/>
    </row>
    <row r="509" spans="3:17" x14ac:dyDescent="0.25">
      <c r="C509" s="199"/>
      <c r="D509" s="112"/>
      <c r="E509" s="33"/>
      <c r="F509" s="90"/>
      <c r="H509" s="116"/>
      <c r="I509" s="26"/>
      <c r="J509" s="98"/>
      <c r="K509" s="36"/>
      <c r="L509" s="26"/>
      <c r="M509" s="26"/>
      <c r="N509" s="26"/>
      <c r="O509" s="93"/>
      <c r="P509" s="95"/>
      <c r="Q509" s="197"/>
    </row>
    <row r="510" spans="3:17" x14ac:dyDescent="0.25">
      <c r="C510" s="199"/>
      <c r="D510" s="112"/>
      <c r="E510" s="33"/>
      <c r="F510" s="90"/>
      <c r="H510" s="116"/>
      <c r="I510" s="26"/>
      <c r="J510" s="98"/>
      <c r="K510" s="36"/>
      <c r="L510" s="26"/>
      <c r="M510" s="26"/>
      <c r="N510" s="26"/>
      <c r="O510" s="93"/>
      <c r="P510" s="95"/>
      <c r="Q510" s="197"/>
    </row>
    <row r="511" spans="3:17" x14ac:dyDescent="0.25">
      <c r="C511" s="199"/>
      <c r="D511" s="112"/>
      <c r="E511" s="33"/>
      <c r="F511" s="90"/>
      <c r="H511" s="116"/>
      <c r="I511" s="26"/>
      <c r="J511" s="98"/>
      <c r="K511" s="36"/>
      <c r="L511" s="26"/>
      <c r="M511" s="26"/>
      <c r="N511" s="26"/>
      <c r="O511" s="93"/>
      <c r="P511" s="95"/>
      <c r="Q511" s="197"/>
    </row>
    <row r="512" spans="3:17" x14ac:dyDescent="0.25">
      <c r="C512" s="199"/>
      <c r="D512" s="112"/>
      <c r="E512" s="33"/>
      <c r="F512" s="90"/>
      <c r="H512" s="116"/>
      <c r="I512" s="26"/>
      <c r="J512" s="98"/>
      <c r="K512" s="36"/>
      <c r="L512" s="26"/>
      <c r="M512" s="26"/>
      <c r="N512" s="26"/>
      <c r="O512" s="93"/>
      <c r="P512" s="95"/>
      <c r="Q512" s="197"/>
    </row>
    <row r="513" spans="3:17" x14ac:dyDescent="0.25">
      <c r="C513" s="199"/>
      <c r="D513" s="112"/>
      <c r="E513" s="33"/>
      <c r="F513" s="90"/>
      <c r="H513" s="116"/>
      <c r="I513" s="26"/>
      <c r="J513" s="98"/>
      <c r="K513" s="36"/>
      <c r="L513" s="26"/>
      <c r="M513" s="26"/>
      <c r="N513" s="26"/>
      <c r="O513" s="93"/>
      <c r="P513" s="95"/>
      <c r="Q513" s="197"/>
    </row>
    <row r="514" spans="3:17" x14ac:dyDescent="0.25">
      <c r="C514" s="199"/>
      <c r="D514" s="112"/>
      <c r="E514" s="33"/>
      <c r="F514" s="90"/>
      <c r="H514" s="116"/>
      <c r="I514" s="26"/>
      <c r="J514" s="98"/>
      <c r="K514" s="36"/>
      <c r="L514" s="26"/>
      <c r="M514" s="26"/>
      <c r="N514" s="26"/>
      <c r="O514" s="93"/>
      <c r="P514" s="95"/>
      <c r="Q514" s="197"/>
    </row>
    <row r="515" spans="3:17" x14ac:dyDescent="0.25">
      <c r="C515" s="199"/>
      <c r="D515" s="112"/>
      <c r="E515" s="33"/>
      <c r="F515" s="90"/>
      <c r="H515" s="116"/>
      <c r="I515" s="26"/>
      <c r="J515" s="98"/>
      <c r="K515" s="36"/>
      <c r="L515" s="26"/>
      <c r="M515" s="26"/>
      <c r="N515" s="26"/>
      <c r="O515" s="93"/>
      <c r="P515" s="95"/>
      <c r="Q515" s="197"/>
    </row>
    <row r="516" spans="3:17" x14ac:dyDescent="0.25">
      <c r="C516" s="199"/>
      <c r="D516" s="112"/>
      <c r="E516" s="33"/>
      <c r="F516" s="90"/>
      <c r="H516" s="116"/>
      <c r="I516" s="26"/>
      <c r="J516" s="98"/>
      <c r="K516" s="36"/>
      <c r="L516" s="26"/>
      <c r="M516" s="26"/>
      <c r="N516" s="26"/>
      <c r="O516" s="93"/>
      <c r="P516" s="95"/>
      <c r="Q516" s="197"/>
    </row>
    <row r="517" spans="3:17" x14ac:dyDescent="0.25">
      <c r="C517" s="199"/>
      <c r="D517" s="112"/>
      <c r="E517" s="33"/>
      <c r="F517" s="90"/>
      <c r="H517" s="116"/>
      <c r="I517" s="26"/>
      <c r="J517" s="98"/>
      <c r="K517" s="36"/>
      <c r="L517" s="26"/>
      <c r="M517" s="26"/>
      <c r="N517" s="26"/>
      <c r="O517" s="93"/>
      <c r="P517" s="95"/>
      <c r="Q517" s="197"/>
    </row>
    <row r="518" spans="3:17" x14ac:dyDescent="0.25">
      <c r="C518" s="199"/>
      <c r="D518" s="112"/>
      <c r="E518" s="33"/>
      <c r="F518" s="90"/>
      <c r="H518" s="116"/>
      <c r="I518" s="26"/>
      <c r="J518" s="98"/>
      <c r="K518" s="36"/>
      <c r="L518" s="26"/>
      <c r="M518" s="26"/>
      <c r="N518" s="26"/>
      <c r="O518" s="93"/>
      <c r="P518" s="95"/>
      <c r="Q518" s="197"/>
    </row>
    <row r="519" spans="3:17" x14ac:dyDescent="0.25">
      <c r="C519" s="199"/>
      <c r="D519" s="112"/>
      <c r="E519" s="33"/>
      <c r="F519" s="90"/>
      <c r="H519" s="116"/>
      <c r="I519" s="26"/>
      <c r="J519" s="98"/>
      <c r="K519" s="36"/>
      <c r="L519" s="26"/>
      <c r="M519" s="26"/>
      <c r="N519" s="26"/>
      <c r="O519" s="93"/>
      <c r="P519" s="95"/>
      <c r="Q519" s="197"/>
    </row>
    <row r="520" spans="3:17" x14ac:dyDescent="0.25">
      <c r="C520" s="199"/>
      <c r="D520" s="112"/>
      <c r="E520" s="33"/>
      <c r="F520" s="90"/>
      <c r="H520" s="116"/>
      <c r="I520" s="26"/>
      <c r="J520" s="98"/>
      <c r="K520" s="36"/>
      <c r="L520" s="26"/>
      <c r="M520" s="26"/>
      <c r="N520" s="26"/>
      <c r="O520" s="93"/>
      <c r="P520" s="95"/>
      <c r="Q520" s="197"/>
    </row>
    <row r="521" spans="3:17" x14ac:dyDescent="0.25">
      <c r="C521" s="199"/>
      <c r="D521" s="112"/>
      <c r="E521" s="33"/>
      <c r="F521" s="90"/>
      <c r="H521" s="116"/>
      <c r="I521" s="26"/>
      <c r="J521" s="98"/>
      <c r="K521" s="36"/>
      <c r="L521" s="26"/>
      <c r="M521" s="26"/>
      <c r="N521" s="26"/>
      <c r="O521" s="93"/>
      <c r="P521" s="95"/>
      <c r="Q521" s="197"/>
    </row>
    <row r="522" spans="3:17" x14ac:dyDescent="0.25">
      <c r="C522" s="199"/>
      <c r="D522" s="112"/>
      <c r="E522" s="33"/>
      <c r="F522" s="90"/>
      <c r="H522" s="116"/>
      <c r="I522" s="26"/>
      <c r="J522" s="98"/>
      <c r="K522" s="36"/>
      <c r="L522" s="26"/>
      <c r="M522" s="26"/>
      <c r="N522" s="26"/>
      <c r="O522" s="93"/>
      <c r="P522" s="95"/>
      <c r="Q522" s="197"/>
    </row>
    <row r="523" spans="3:17" x14ac:dyDescent="0.25">
      <c r="C523" s="199"/>
      <c r="D523" s="112"/>
      <c r="E523" s="33"/>
      <c r="F523" s="90"/>
      <c r="H523" s="116"/>
      <c r="I523" s="26"/>
      <c r="J523" s="98"/>
      <c r="K523" s="36"/>
      <c r="L523" s="26"/>
      <c r="M523" s="26"/>
      <c r="N523" s="26"/>
      <c r="O523" s="93"/>
      <c r="P523" s="95"/>
      <c r="Q523" s="197"/>
    </row>
    <row r="524" spans="3:17" x14ac:dyDescent="0.25">
      <c r="C524" s="199"/>
      <c r="D524" s="112"/>
      <c r="E524" s="33"/>
      <c r="F524" s="90"/>
      <c r="H524" s="116"/>
      <c r="I524" s="26"/>
      <c r="J524" s="98"/>
      <c r="K524" s="36"/>
      <c r="L524" s="26"/>
      <c r="M524" s="26"/>
      <c r="N524" s="26"/>
      <c r="O524" s="93"/>
      <c r="P524" s="95"/>
      <c r="Q524" s="197"/>
    </row>
    <row r="525" spans="3:17" x14ac:dyDescent="0.25">
      <c r="C525" s="199"/>
      <c r="D525" s="112"/>
      <c r="E525" s="33"/>
      <c r="F525" s="90"/>
      <c r="H525" s="116"/>
      <c r="I525" s="26"/>
      <c r="J525" s="98"/>
      <c r="K525" s="36"/>
      <c r="L525" s="26"/>
      <c r="M525" s="26"/>
      <c r="N525" s="26"/>
      <c r="O525" s="93"/>
      <c r="P525" s="95"/>
      <c r="Q525" s="197"/>
    </row>
    <row r="526" spans="3:17" x14ac:dyDescent="0.25">
      <c r="C526" s="199"/>
      <c r="D526" s="112"/>
      <c r="E526" s="33"/>
      <c r="F526" s="90"/>
      <c r="H526" s="116"/>
      <c r="I526" s="26"/>
      <c r="J526" s="98"/>
      <c r="K526" s="36"/>
      <c r="L526" s="26"/>
      <c r="M526" s="26"/>
      <c r="N526" s="26"/>
      <c r="O526" s="93"/>
      <c r="P526" s="95"/>
      <c r="Q526" s="197"/>
    </row>
    <row r="527" spans="3:17" x14ac:dyDescent="0.25">
      <c r="C527" s="199"/>
      <c r="D527" s="112"/>
      <c r="E527" s="33"/>
      <c r="F527" s="90"/>
      <c r="H527" s="116"/>
      <c r="I527" s="26"/>
      <c r="J527" s="98"/>
      <c r="K527" s="36"/>
      <c r="L527" s="26"/>
      <c r="M527" s="26"/>
      <c r="N527" s="26"/>
      <c r="O527" s="93"/>
      <c r="P527" s="95"/>
      <c r="Q527" s="197"/>
    </row>
    <row r="528" spans="3:17" x14ac:dyDescent="0.25">
      <c r="C528" s="199"/>
      <c r="D528" s="112"/>
      <c r="E528" s="33"/>
      <c r="F528" s="90"/>
      <c r="H528" s="116"/>
      <c r="I528" s="26"/>
      <c r="J528" s="98"/>
      <c r="K528" s="36"/>
      <c r="L528" s="26"/>
      <c r="M528" s="26"/>
      <c r="N528" s="26"/>
      <c r="O528" s="93"/>
      <c r="P528" s="95"/>
      <c r="Q528" s="197"/>
    </row>
    <row r="529" spans="3:17" x14ac:dyDescent="0.25">
      <c r="C529" s="199"/>
      <c r="D529" s="112"/>
      <c r="E529" s="33"/>
      <c r="F529" s="90"/>
      <c r="H529" s="116"/>
      <c r="I529" s="26"/>
      <c r="J529" s="98"/>
      <c r="K529" s="36"/>
      <c r="L529" s="26"/>
      <c r="M529" s="26"/>
      <c r="N529" s="26"/>
      <c r="O529" s="93"/>
      <c r="P529" s="95"/>
      <c r="Q529" s="197"/>
    </row>
    <row r="530" spans="3:17" x14ac:dyDescent="0.25">
      <c r="C530" s="199"/>
      <c r="D530" s="112"/>
      <c r="E530" s="33"/>
      <c r="F530" s="90"/>
      <c r="H530" s="116"/>
      <c r="I530" s="26"/>
      <c r="J530" s="98"/>
      <c r="K530" s="36"/>
      <c r="L530" s="26"/>
      <c r="M530" s="26"/>
      <c r="N530" s="26"/>
      <c r="O530" s="93"/>
      <c r="P530" s="95"/>
      <c r="Q530" s="197"/>
    </row>
    <row r="531" spans="3:17" x14ac:dyDescent="0.25">
      <c r="C531" s="199"/>
      <c r="D531" s="112"/>
      <c r="E531" s="33"/>
      <c r="F531" s="90"/>
      <c r="H531" s="116"/>
      <c r="I531" s="26"/>
      <c r="J531" s="98"/>
      <c r="K531" s="36"/>
      <c r="L531" s="26"/>
      <c r="M531" s="26"/>
      <c r="N531" s="26"/>
      <c r="O531" s="93"/>
      <c r="P531" s="95"/>
      <c r="Q531" s="197"/>
    </row>
    <row r="532" spans="3:17" x14ac:dyDescent="0.25">
      <c r="C532" s="199"/>
      <c r="D532" s="112"/>
      <c r="E532" s="33"/>
      <c r="F532" s="90"/>
      <c r="H532" s="116"/>
      <c r="I532" s="26"/>
      <c r="J532" s="98"/>
      <c r="K532" s="36"/>
      <c r="L532" s="26"/>
      <c r="M532" s="26"/>
      <c r="N532" s="26"/>
      <c r="O532" s="93"/>
      <c r="P532" s="95"/>
      <c r="Q532" s="197"/>
    </row>
    <row r="533" spans="3:17" x14ac:dyDescent="0.25">
      <c r="C533" s="199"/>
      <c r="D533" s="112"/>
      <c r="E533" s="33"/>
      <c r="F533" s="90"/>
      <c r="H533" s="116"/>
      <c r="I533" s="26"/>
      <c r="J533" s="98"/>
      <c r="K533" s="36"/>
      <c r="L533" s="26"/>
      <c r="M533" s="26"/>
      <c r="N533" s="26"/>
      <c r="O533" s="93"/>
      <c r="P533" s="95"/>
      <c r="Q533" s="197"/>
    </row>
    <row r="534" spans="3:17" x14ac:dyDescent="0.25">
      <c r="C534" s="199"/>
      <c r="D534" s="112"/>
      <c r="E534" s="33"/>
      <c r="F534" s="90"/>
      <c r="H534" s="116"/>
      <c r="I534" s="26"/>
      <c r="J534" s="98"/>
      <c r="K534" s="36"/>
      <c r="L534" s="26"/>
      <c r="M534" s="26"/>
      <c r="N534" s="26"/>
      <c r="O534" s="93"/>
      <c r="P534" s="95"/>
      <c r="Q534" s="197"/>
    </row>
    <row r="535" spans="3:17" x14ac:dyDescent="0.25">
      <c r="C535" s="199"/>
      <c r="D535" s="112"/>
      <c r="E535" s="33"/>
      <c r="F535" s="90"/>
      <c r="H535" s="116"/>
      <c r="I535" s="26"/>
      <c r="J535" s="98"/>
      <c r="K535" s="36"/>
      <c r="L535" s="26"/>
      <c r="M535" s="26"/>
      <c r="N535" s="26"/>
      <c r="O535" s="93"/>
      <c r="P535" s="95"/>
      <c r="Q535" s="197"/>
    </row>
    <row r="536" spans="3:17" x14ac:dyDescent="0.25">
      <c r="C536" s="199"/>
      <c r="D536" s="112"/>
      <c r="E536" s="33"/>
      <c r="F536" s="90"/>
      <c r="H536" s="116"/>
      <c r="I536" s="26"/>
      <c r="J536" s="98"/>
      <c r="K536" s="36"/>
      <c r="L536" s="26"/>
      <c r="M536" s="26"/>
      <c r="N536" s="26"/>
      <c r="O536" s="93"/>
      <c r="P536" s="95"/>
      <c r="Q536" s="197"/>
    </row>
    <row r="537" spans="3:17" x14ac:dyDescent="0.25">
      <c r="C537" s="199"/>
      <c r="D537" s="112"/>
      <c r="E537" s="33"/>
      <c r="F537" s="90"/>
      <c r="H537" s="116"/>
      <c r="I537" s="26"/>
      <c r="J537" s="98"/>
      <c r="K537" s="36"/>
      <c r="L537" s="26"/>
      <c r="M537" s="26"/>
      <c r="N537" s="26"/>
      <c r="O537" s="93"/>
      <c r="P537" s="95"/>
      <c r="Q537" s="197"/>
    </row>
    <row r="538" spans="3:17" x14ac:dyDescent="0.25">
      <c r="C538" s="199"/>
      <c r="D538" s="112"/>
      <c r="E538" s="33"/>
      <c r="F538" s="90"/>
      <c r="H538" s="116"/>
      <c r="I538" s="26"/>
      <c r="J538" s="98"/>
      <c r="K538" s="36"/>
      <c r="L538" s="26"/>
      <c r="M538" s="26"/>
      <c r="N538" s="26"/>
      <c r="O538" s="93"/>
      <c r="P538" s="95"/>
      <c r="Q538" s="197"/>
    </row>
    <row r="539" spans="3:17" x14ac:dyDescent="0.25">
      <c r="C539" s="199"/>
      <c r="D539" s="112"/>
      <c r="E539" s="33"/>
      <c r="F539" s="90"/>
      <c r="H539" s="116"/>
      <c r="I539" s="26"/>
      <c r="J539" s="98"/>
      <c r="K539" s="36"/>
      <c r="L539" s="26"/>
      <c r="M539" s="26"/>
      <c r="N539" s="26"/>
      <c r="O539" s="93"/>
      <c r="P539" s="95"/>
      <c r="Q539" s="197"/>
    </row>
    <row r="540" spans="3:17" x14ac:dyDescent="0.25">
      <c r="C540" s="199"/>
      <c r="D540" s="112"/>
      <c r="E540" s="33"/>
      <c r="F540" s="90"/>
      <c r="H540" s="116"/>
      <c r="I540" s="26"/>
      <c r="J540" s="98"/>
      <c r="K540" s="36"/>
      <c r="L540" s="26"/>
      <c r="M540" s="26"/>
      <c r="N540" s="26"/>
      <c r="O540" s="93"/>
      <c r="P540" s="95"/>
      <c r="Q540" s="197"/>
    </row>
    <row r="541" spans="3:17" x14ac:dyDescent="0.25">
      <c r="C541" s="199"/>
      <c r="D541" s="112"/>
      <c r="E541" s="33"/>
      <c r="F541" s="90"/>
      <c r="H541" s="116"/>
      <c r="I541" s="26"/>
      <c r="J541" s="98"/>
      <c r="K541" s="36"/>
      <c r="L541" s="26"/>
      <c r="M541" s="26"/>
      <c r="N541" s="26"/>
      <c r="O541" s="93"/>
      <c r="P541" s="95"/>
      <c r="Q541" s="197"/>
    </row>
    <row r="542" spans="3:17" x14ac:dyDescent="0.25">
      <c r="C542" s="199"/>
      <c r="D542" s="112"/>
      <c r="E542" s="33"/>
      <c r="F542" s="90"/>
      <c r="H542" s="116"/>
      <c r="I542" s="26"/>
      <c r="J542" s="98"/>
      <c r="K542" s="36"/>
      <c r="L542" s="26"/>
      <c r="M542" s="26"/>
      <c r="N542" s="26"/>
      <c r="O542" s="93"/>
      <c r="P542" s="95"/>
      <c r="Q542" s="197"/>
    </row>
    <row r="543" spans="3:17" x14ac:dyDescent="0.25">
      <c r="C543" s="199"/>
      <c r="D543" s="112"/>
      <c r="E543" s="33"/>
      <c r="F543" s="90"/>
      <c r="H543" s="116"/>
      <c r="I543" s="26"/>
      <c r="J543" s="98"/>
      <c r="K543" s="36"/>
      <c r="L543" s="26"/>
      <c r="M543" s="26"/>
      <c r="N543" s="26"/>
      <c r="O543" s="93"/>
      <c r="P543" s="95"/>
      <c r="Q543" s="197"/>
    </row>
    <row r="544" spans="3:17" x14ac:dyDescent="0.25">
      <c r="C544" s="199"/>
      <c r="D544" s="112"/>
      <c r="E544" s="33"/>
      <c r="F544" s="90"/>
      <c r="H544" s="116"/>
      <c r="I544" s="26"/>
      <c r="J544" s="98"/>
      <c r="K544" s="36"/>
      <c r="L544" s="26"/>
      <c r="M544" s="26"/>
      <c r="N544" s="26"/>
      <c r="O544" s="93"/>
      <c r="P544" s="95"/>
      <c r="Q544" s="197"/>
    </row>
    <row r="545" spans="3:17" x14ac:dyDescent="0.25">
      <c r="C545" s="199"/>
      <c r="D545" s="112"/>
      <c r="E545" s="33"/>
      <c r="F545" s="90"/>
      <c r="H545" s="116"/>
      <c r="I545" s="26"/>
      <c r="J545" s="98"/>
      <c r="K545" s="36"/>
      <c r="L545" s="26"/>
      <c r="M545" s="26"/>
      <c r="N545" s="26"/>
      <c r="O545" s="93"/>
      <c r="P545" s="95"/>
      <c r="Q545" s="197"/>
    </row>
    <row r="546" spans="3:17" x14ac:dyDescent="0.25">
      <c r="C546" s="199"/>
      <c r="D546" s="112"/>
      <c r="E546" s="33"/>
      <c r="F546" s="90"/>
      <c r="H546" s="116"/>
      <c r="I546" s="26"/>
      <c r="J546" s="98"/>
      <c r="K546" s="36"/>
      <c r="L546" s="26"/>
      <c r="M546" s="26"/>
      <c r="N546" s="26"/>
      <c r="O546" s="93"/>
      <c r="P546" s="95"/>
      <c r="Q546" s="197"/>
    </row>
    <row r="547" spans="3:17" x14ac:dyDescent="0.25">
      <c r="C547" s="199"/>
      <c r="D547" s="112"/>
      <c r="E547" s="33"/>
      <c r="F547" s="90"/>
      <c r="H547" s="116"/>
      <c r="I547" s="26"/>
      <c r="J547" s="98"/>
      <c r="K547" s="36"/>
      <c r="L547" s="26"/>
      <c r="M547" s="26"/>
      <c r="N547" s="26"/>
      <c r="O547" s="93"/>
      <c r="P547" s="95"/>
      <c r="Q547" s="197"/>
    </row>
    <row r="548" spans="3:17" x14ac:dyDescent="0.25">
      <c r="C548" s="199"/>
      <c r="D548" s="112"/>
      <c r="E548" s="33"/>
      <c r="F548" s="90"/>
      <c r="H548" s="116"/>
      <c r="I548" s="26"/>
      <c r="J548" s="98"/>
      <c r="K548" s="36"/>
      <c r="L548" s="26"/>
      <c r="M548" s="26"/>
      <c r="N548" s="26"/>
      <c r="O548" s="93"/>
      <c r="P548" s="95"/>
      <c r="Q548" s="197"/>
    </row>
    <row r="549" spans="3:17" x14ac:dyDescent="0.25">
      <c r="C549" s="199"/>
      <c r="D549" s="112"/>
      <c r="E549" s="33"/>
      <c r="F549" s="90"/>
      <c r="H549" s="116"/>
      <c r="I549" s="26"/>
      <c r="J549" s="98"/>
      <c r="K549" s="36"/>
      <c r="L549" s="26"/>
      <c r="M549" s="26"/>
      <c r="N549" s="26"/>
      <c r="O549" s="93"/>
      <c r="P549" s="95"/>
      <c r="Q549" s="197"/>
    </row>
    <row r="550" spans="3:17" x14ac:dyDescent="0.25">
      <c r="C550" s="199"/>
      <c r="D550" s="112"/>
      <c r="E550" s="33"/>
      <c r="F550" s="90"/>
      <c r="H550" s="116"/>
      <c r="I550" s="26"/>
      <c r="J550" s="98"/>
      <c r="K550" s="36"/>
      <c r="L550" s="26"/>
      <c r="M550" s="26"/>
      <c r="N550" s="26"/>
      <c r="O550" s="93"/>
      <c r="P550" s="95"/>
      <c r="Q550" s="197"/>
    </row>
    <row r="551" spans="3:17" x14ac:dyDescent="0.25">
      <c r="C551" s="199"/>
      <c r="D551" s="112"/>
      <c r="E551" s="33"/>
      <c r="F551" s="90"/>
      <c r="H551" s="116"/>
      <c r="I551" s="26"/>
      <c r="J551" s="98"/>
      <c r="K551" s="36"/>
      <c r="L551" s="26"/>
      <c r="M551" s="26"/>
      <c r="N551" s="26"/>
      <c r="O551" s="93"/>
      <c r="P551" s="95"/>
      <c r="Q551" s="197"/>
    </row>
    <row r="552" spans="3:17" x14ac:dyDescent="0.25">
      <c r="C552" s="199"/>
      <c r="D552" s="112"/>
      <c r="E552" s="33"/>
      <c r="F552" s="90"/>
      <c r="H552" s="116"/>
      <c r="I552" s="26"/>
      <c r="J552" s="98"/>
      <c r="K552" s="36"/>
      <c r="L552" s="26"/>
      <c r="M552" s="26"/>
      <c r="N552" s="26"/>
      <c r="O552" s="93"/>
      <c r="P552" s="95"/>
      <c r="Q552" s="197"/>
    </row>
    <row r="553" spans="3:17" x14ac:dyDescent="0.25">
      <c r="C553" s="199"/>
      <c r="D553" s="112"/>
      <c r="E553" s="33"/>
      <c r="F553" s="90"/>
      <c r="H553" s="116"/>
      <c r="I553" s="26"/>
      <c r="J553" s="98"/>
      <c r="K553" s="36"/>
      <c r="L553" s="26"/>
      <c r="M553" s="26"/>
      <c r="N553" s="26"/>
      <c r="O553" s="93"/>
      <c r="P553" s="95"/>
      <c r="Q553" s="197"/>
    </row>
    <row r="554" spans="3:17" x14ac:dyDescent="0.25">
      <c r="C554" s="199"/>
      <c r="D554" s="112"/>
      <c r="E554" s="33"/>
      <c r="F554" s="90"/>
      <c r="H554" s="116"/>
      <c r="I554" s="26"/>
      <c r="J554" s="98"/>
      <c r="K554" s="36"/>
      <c r="L554" s="26"/>
      <c r="M554" s="26"/>
      <c r="N554" s="26"/>
      <c r="O554" s="93"/>
      <c r="P554" s="95"/>
      <c r="Q554" s="197"/>
    </row>
    <row r="555" spans="3:17" x14ac:dyDescent="0.25">
      <c r="C555" s="199"/>
      <c r="D555" s="112"/>
      <c r="E555" s="33"/>
      <c r="F555" s="90"/>
      <c r="H555" s="116"/>
      <c r="I555" s="26"/>
      <c r="J555" s="98"/>
      <c r="K555" s="36"/>
      <c r="L555" s="26"/>
      <c r="M555" s="26"/>
      <c r="N555" s="26"/>
      <c r="O555" s="93"/>
      <c r="P555" s="95"/>
      <c r="Q555" s="197"/>
    </row>
    <row r="556" spans="3:17" x14ac:dyDescent="0.25">
      <c r="C556" s="199"/>
      <c r="D556" s="112"/>
      <c r="E556" s="33"/>
      <c r="F556" s="90"/>
      <c r="H556" s="116"/>
      <c r="I556" s="26"/>
      <c r="J556" s="98"/>
      <c r="K556" s="36"/>
      <c r="L556" s="26"/>
      <c r="M556" s="26"/>
      <c r="N556" s="26"/>
      <c r="O556" s="93"/>
      <c r="P556" s="95"/>
      <c r="Q556" s="197"/>
    </row>
    <row r="557" spans="3:17" x14ac:dyDescent="0.25">
      <c r="C557" s="199"/>
      <c r="D557" s="112"/>
      <c r="E557" s="33"/>
      <c r="F557" s="90"/>
      <c r="H557" s="116"/>
      <c r="I557" s="26"/>
      <c r="J557" s="98"/>
      <c r="K557" s="36"/>
      <c r="L557" s="26"/>
      <c r="M557" s="26"/>
      <c r="N557" s="26"/>
      <c r="O557" s="93"/>
      <c r="P557" s="95"/>
      <c r="Q557" s="197"/>
    </row>
    <row r="558" spans="3:17" x14ac:dyDescent="0.25">
      <c r="C558" s="199"/>
      <c r="D558" s="112"/>
      <c r="E558" s="33"/>
      <c r="F558" s="90"/>
      <c r="H558" s="116"/>
      <c r="I558" s="26"/>
      <c r="J558" s="98"/>
      <c r="K558" s="36"/>
      <c r="L558" s="26"/>
      <c r="M558" s="26"/>
      <c r="N558" s="26"/>
      <c r="O558" s="93"/>
      <c r="P558" s="95"/>
      <c r="Q558" s="197"/>
    </row>
    <row r="559" spans="3:17" x14ac:dyDescent="0.25">
      <c r="C559" s="199"/>
      <c r="D559" s="112"/>
      <c r="E559" s="33"/>
      <c r="F559" s="90"/>
      <c r="H559" s="116"/>
      <c r="I559" s="26"/>
      <c r="J559" s="98"/>
      <c r="K559" s="36"/>
      <c r="L559" s="26"/>
      <c r="M559" s="26"/>
      <c r="N559" s="26"/>
      <c r="O559" s="93"/>
      <c r="P559" s="95"/>
      <c r="Q559" s="197"/>
    </row>
    <row r="560" spans="3:17" x14ac:dyDescent="0.25">
      <c r="C560" s="199"/>
      <c r="D560" s="112"/>
      <c r="E560" s="33"/>
      <c r="F560" s="90"/>
      <c r="H560" s="116"/>
      <c r="I560" s="26"/>
      <c r="J560" s="98"/>
      <c r="K560" s="36"/>
      <c r="L560" s="26"/>
      <c r="M560" s="26"/>
      <c r="N560" s="26"/>
      <c r="O560" s="93"/>
      <c r="P560" s="95"/>
      <c r="Q560" s="197"/>
    </row>
    <row r="561" spans="3:17" x14ac:dyDescent="0.25">
      <c r="C561" s="199"/>
      <c r="D561" s="112"/>
      <c r="E561" s="33"/>
      <c r="F561" s="90"/>
      <c r="H561" s="116"/>
      <c r="I561" s="26"/>
      <c r="J561" s="98"/>
      <c r="K561" s="36"/>
      <c r="L561" s="26"/>
      <c r="M561" s="26"/>
      <c r="N561" s="26"/>
      <c r="O561" s="93"/>
      <c r="P561" s="95"/>
      <c r="Q561" s="197"/>
    </row>
    <row r="562" spans="3:17" x14ac:dyDescent="0.25">
      <c r="C562" s="199"/>
      <c r="D562" s="112"/>
      <c r="E562" s="33"/>
      <c r="F562" s="90"/>
      <c r="H562" s="116"/>
      <c r="I562" s="26"/>
      <c r="J562" s="98"/>
      <c r="K562" s="36"/>
      <c r="L562" s="26"/>
      <c r="M562" s="26"/>
      <c r="N562" s="26"/>
      <c r="O562" s="93"/>
      <c r="P562" s="95"/>
      <c r="Q562" s="197"/>
    </row>
    <row r="563" spans="3:17" x14ac:dyDescent="0.25">
      <c r="C563" s="199"/>
      <c r="D563" s="112"/>
      <c r="E563" s="33"/>
      <c r="F563" s="90"/>
      <c r="H563" s="116"/>
      <c r="I563" s="26"/>
      <c r="J563" s="98"/>
      <c r="K563" s="36"/>
      <c r="L563" s="26"/>
      <c r="M563" s="26"/>
      <c r="N563" s="26"/>
      <c r="O563" s="93"/>
      <c r="P563" s="95"/>
      <c r="Q563" s="197"/>
    </row>
    <row r="564" spans="3:17" x14ac:dyDescent="0.25">
      <c r="C564" s="199"/>
      <c r="D564" s="112"/>
      <c r="E564" s="33"/>
      <c r="F564" s="90"/>
      <c r="H564" s="116"/>
      <c r="I564" s="26"/>
      <c r="J564" s="98"/>
      <c r="K564" s="36"/>
      <c r="L564" s="26"/>
      <c r="M564" s="26"/>
      <c r="N564" s="26"/>
      <c r="O564" s="93"/>
      <c r="P564" s="95"/>
      <c r="Q564" s="197"/>
    </row>
    <row r="565" spans="3:17" x14ac:dyDescent="0.25">
      <c r="C565" s="199"/>
      <c r="D565" s="112"/>
      <c r="E565" s="33"/>
      <c r="F565" s="90"/>
      <c r="H565" s="116"/>
      <c r="I565" s="26"/>
      <c r="J565" s="98"/>
      <c r="K565" s="36"/>
      <c r="L565" s="26"/>
      <c r="M565" s="26"/>
      <c r="N565" s="26"/>
      <c r="O565" s="93"/>
      <c r="P565" s="95"/>
      <c r="Q565" s="197"/>
    </row>
    <row r="566" spans="3:17" x14ac:dyDescent="0.25">
      <c r="C566" s="199"/>
      <c r="D566" s="112"/>
      <c r="E566" s="33"/>
      <c r="F566" s="90"/>
      <c r="H566" s="116"/>
      <c r="I566" s="26"/>
      <c r="J566" s="98"/>
      <c r="K566" s="36"/>
      <c r="L566" s="26"/>
      <c r="M566" s="26"/>
      <c r="N566" s="26"/>
      <c r="O566" s="93"/>
      <c r="P566" s="95"/>
      <c r="Q566" s="197"/>
    </row>
    <row r="567" spans="3:17" x14ac:dyDescent="0.25">
      <c r="C567" s="199"/>
      <c r="D567" s="112"/>
      <c r="E567" s="33"/>
      <c r="F567" s="90"/>
      <c r="H567" s="116"/>
      <c r="I567" s="26"/>
      <c r="J567" s="98"/>
      <c r="K567" s="36"/>
      <c r="L567" s="26"/>
      <c r="M567" s="26"/>
      <c r="N567" s="26"/>
      <c r="O567" s="93"/>
      <c r="P567" s="95"/>
      <c r="Q567" s="197"/>
    </row>
    <row r="568" spans="3:17" x14ac:dyDescent="0.25">
      <c r="C568" s="199"/>
      <c r="D568" s="112"/>
      <c r="E568" s="33"/>
      <c r="F568" s="90"/>
      <c r="H568" s="116"/>
      <c r="I568" s="26"/>
      <c r="J568" s="98"/>
      <c r="K568" s="36"/>
      <c r="L568" s="26"/>
      <c r="M568" s="26"/>
      <c r="N568" s="26"/>
      <c r="O568" s="93"/>
      <c r="P568" s="95"/>
      <c r="Q568" s="197"/>
    </row>
    <row r="569" spans="3:17" x14ac:dyDescent="0.25">
      <c r="C569" s="199"/>
      <c r="D569" s="112"/>
      <c r="E569" s="33"/>
      <c r="F569" s="90"/>
      <c r="H569" s="116"/>
      <c r="I569" s="26"/>
      <c r="J569" s="98"/>
      <c r="K569" s="36"/>
      <c r="L569" s="26"/>
      <c r="M569" s="26"/>
      <c r="N569" s="26"/>
      <c r="O569" s="93"/>
      <c r="P569" s="95"/>
      <c r="Q569" s="197"/>
    </row>
    <row r="570" spans="3:17" x14ac:dyDescent="0.25">
      <c r="C570" s="199"/>
      <c r="D570" s="112"/>
      <c r="E570" s="33"/>
      <c r="F570" s="90"/>
      <c r="H570" s="116"/>
      <c r="I570" s="26"/>
      <c r="J570" s="98"/>
      <c r="K570" s="36"/>
      <c r="L570" s="26"/>
      <c r="M570" s="26"/>
      <c r="N570" s="26"/>
      <c r="O570" s="93"/>
      <c r="P570" s="95"/>
      <c r="Q570" s="197"/>
    </row>
    <row r="571" spans="3:17" x14ac:dyDescent="0.25">
      <c r="C571" s="199"/>
      <c r="D571" s="112"/>
      <c r="E571" s="33"/>
      <c r="F571" s="90"/>
      <c r="H571" s="116"/>
      <c r="I571" s="26"/>
      <c r="J571" s="98"/>
      <c r="K571" s="36"/>
      <c r="L571" s="26"/>
      <c r="M571" s="26"/>
      <c r="N571" s="26"/>
      <c r="O571" s="93"/>
      <c r="P571" s="95"/>
      <c r="Q571" s="197"/>
    </row>
    <row r="572" spans="3:17" x14ac:dyDescent="0.25">
      <c r="C572" s="199"/>
      <c r="D572" s="112"/>
      <c r="E572" s="33"/>
      <c r="F572" s="90"/>
      <c r="H572" s="116"/>
      <c r="I572" s="26"/>
      <c r="J572" s="98"/>
      <c r="K572" s="36"/>
      <c r="L572" s="26"/>
      <c r="M572" s="26"/>
      <c r="N572" s="26"/>
      <c r="O572" s="93"/>
      <c r="P572" s="95"/>
      <c r="Q572" s="197"/>
    </row>
    <row r="573" spans="3:17" x14ac:dyDescent="0.25">
      <c r="C573" s="199"/>
      <c r="D573" s="112"/>
      <c r="E573" s="33"/>
      <c r="F573" s="90"/>
      <c r="H573" s="116"/>
      <c r="I573" s="26"/>
      <c r="J573" s="98"/>
      <c r="K573" s="36"/>
      <c r="L573" s="26"/>
      <c r="M573" s="26"/>
      <c r="N573" s="26"/>
      <c r="O573" s="93"/>
      <c r="P573" s="95"/>
      <c r="Q573" s="197"/>
    </row>
    <row r="574" spans="3:17" x14ac:dyDescent="0.25">
      <c r="C574" s="199"/>
      <c r="D574" s="112"/>
      <c r="E574" s="33"/>
      <c r="F574" s="90"/>
      <c r="H574" s="116"/>
      <c r="I574" s="26"/>
      <c r="J574" s="98"/>
      <c r="K574" s="36"/>
      <c r="L574" s="26"/>
      <c r="M574" s="26"/>
      <c r="N574" s="26"/>
      <c r="O574" s="93"/>
      <c r="P574" s="95"/>
      <c r="Q574" s="197"/>
    </row>
    <row r="575" spans="3:17" x14ac:dyDescent="0.25">
      <c r="C575" s="199"/>
      <c r="D575" s="112"/>
      <c r="E575" s="33"/>
      <c r="F575" s="90"/>
      <c r="H575" s="116"/>
      <c r="I575" s="26"/>
      <c r="J575" s="98"/>
      <c r="K575" s="36"/>
      <c r="L575" s="26"/>
      <c r="M575" s="26"/>
      <c r="N575" s="26"/>
      <c r="O575" s="93"/>
      <c r="P575" s="95"/>
      <c r="Q575" s="197"/>
    </row>
    <row r="576" spans="3:17" x14ac:dyDescent="0.25">
      <c r="C576" s="199"/>
      <c r="D576" s="112"/>
      <c r="E576" s="33"/>
      <c r="F576" s="90"/>
      <c r="H576" s="116"/>
      <c r="I576" s="26"/>
      <c r="J576" s="98"/>
      <c r="K576" s="36"/>
      <c r="L576" s="26"/>
      <c r="M576" s="26"/>
      <c r="N576" s="26"/>
      <c r="O576" s="93"/>
      <c r="P576" s="95"/>
      <c r="Q576" s="197"/>
    </row>
    <row r="577" spans="3:17" x14ac:dyDescent="0.25">
      <c r="C577" s="199"/>
      <c r="D577" s="112"/>
      <c r="E577" s="33"/>
      <c r="F577" s="90"/>
      <c r="H577" s="116"/>
      <c r="I577" s="26"/>
      <c r="J577" s="98"/>
      <c r="K577" s="36"/>
      <c r="L577" s="26"/>
      <c r="M577" s="26"/>
      <c r="N577" s="26"/>
      <c r="O577" s="93"/>
      <c r="P577" s="95"/>
      <c r="Q577" s="197"/>
    </row>
    <row r="578" spans="3:17" x14ac:dyDescent="0.25">
      <c r="C578" s="199"/>
      <c r="D578" s="112"/>
      <c r="E578" s="33"/>
      <c r="F578" s="90"/>
      <c r="H578" s="116"/>
      <c r="I578" s="26"/>
      <c r="J578" s="98"/>
      <c r="K578" s="36"/>
      <c r="L578" s="26"/>
      <c r="M578" s="26"/>
      <c r="N578" s="26"/>
      <c r="O578" s="93"/>
      <c r="P578" s="95"/>
      <c r="Q578" s="197"/>
    </row>
    <row r="579" spans="3:17" x14ac:dyDescent="0.25">
      <c r="C579" s="199"/>
      <c r="D579" s="112"/>
      <c r="E579" s="33"/>
      <c r="F579" s="90"/>
      <c r="H579" s="116"/>
      <c r="I579" s="26"/>
      <c r="J579" s="98"/>
      <c r="K579" s="36"/>
      <c r="L579" s="26"/>
      <c r="M579" s="26"/>
      <c r="N579" s="26"/>
      <c r="O579" s="93"/>
      <c r="P579" s="95"/>
      <c r="Q579" s="197"/>
    </row>
    <row r="580" spans="3:17" x14ac:dyDescent="0.25">
      <c r="C580" s="199"/>
      <c r="D580" s="112"/>
      <c r="E580" s="33"/>
      <c r="F580" s="90"/>
      <c r="H580" s="116"/>
      <c r="I580" s="26"/>
      <c r="J580" s="98"/>
      <c r="K580" s="36"/>
      <c r="L580" s="26"/>
      <c r="M580" s="26"/>
      <c r="N580" s="26"/>
      <c r="O580" s="93"/>
      <c r="P580" s="95"/>
      <c r="Q580" s="197"/>
    </row>
    <row r="581" spans="3:17" x14ac:dyDescent="0.25">
      <c r="C581" s="199"/>
      <c r="D581" s="112"/>
      <c r="E581" s="33"/>
      <c r="F581" s="90"/>
      <c r="H581" s="116"/>
      <c r="I581" s="26"/>
      <c r="J581" s="98"/>
      <c r="K581" s="36"/>
      <c r="L581" s="26"/>
      <c r="M581" s="26"/>
      <c r="N581" s="26"/>
      <c r="O581" s="93"/>
      <c r="P581" s="95"/>
      <c r="Q581" s="197"/>
    </row>
    <row r="582" spans="3:17" x14ac:dyDescent="0.25">
      <c r="C582" s="199"/>
      <c r="D582" s="112"/>
      <c r="E582" s="33"/>
      <c r="F582" s="90"/>
      <c r="H582" s="116"/>
      <c r="I582" s="26"/>
      <c r="J582" s="98"/>
      <c r="K582" s="36"/>
      <c r="L582" s="26"/>
      <c r="M582" s="26"/>
      <c r="N582" s="26"/>
      <c r="O582" s="93"/>
      <c r="P582" s="95"/>
      <c r="Q582" s="197"/>
    </row>
    <row r="583" spans="3:17" x14ac:dyDescent="0.25">
      <c r="C583" s="199"/>
      <c r="D583" s="112"/>
      <c r="E583" s="33"/>
      <c r="F583" s="90"/>
      <c r="H583" s="116"/>
      <c r="I583" s="26"/>
      <c r="J583" s="98"/>
      <c r="K583" s="36"/>
      <c r="L583" s="26"/>
      <c r="M583" s="26"/>
      <c r="N583" s="26"/>
      <c r="O583" s="93"/>
      <c r="P583" s="95"/>
      <c r="Q583" s="197"/>
    </row>
    <row r="584" spans="3:17" x14ac:dyDescent="0.25">
      <c r="C584" s="199"/>
      <c r="D584" s="112"/>
      <c r="E584" s="33"/>
      <c r="F584" s="90"/>
      <c r="H584" s="116"/>
      <c r="I584" s="26"/>
      <c r="J584" s="98"/>
      <c r="K584" s="36"/>
      <c r="L584" s="26"/>
      <c r="M584" s="26"/>
      <c r="N584" s="26"/>
      <c r="O584" s="93"/>
      <c r="P584" s="95"/>
      <c r="Q584" s="197"/>
    </row>
    <row r="585" spans="3:17" x14ac:dyDescent="0.25">
      <c r="C585" s="199"/>
      <c r="D585" s="112"/>
      <c r="E585" s="33"/>
      <c r="F585" s="90"/>
      <c r="H585" s="116"/>
      <c r="I585" s="26"/>
      <c r="J585" s="98"/>
      <c r="K585" s="36"/>
      <c r="L585" s="26"/>
      <c r="M585" s="26"/>
      <c r="N585" s="26"/>
      <c r="O585" s="93"/>
      <c r="P585" s="95"/>
      <c r="Q585" s="197"/>
    </row>
    <row r="586" spans="3:17" x14ac:dyDescent="0.25">
      <c r="C586" s="199"/>
      <c r="D586" s="112"/>
      <c r="E586" s="33"/>
      <c r="F586" s="90"/>
      <c r="H586" s="116"/>
      <c r="I586" s="26"/>
      <c r="J586" s="98"/>
      <c r="K586" s="36"/>
      <c r="L586" s="26"/>
      <c r="M586" s="26"/>
      <c r="N586" s="26"/>
      <c r="O586" s="93"/>
      <c r="P586" s="95"/>
      <c r="Q586" s="197"/>
    </row>
    <row r="587" spans="3:17" x14ac:dyDescent="0.25">
      <c r="C587" s="199"/>
      <c r="D587" s="112"/>
      <c r="E587" s="33"/>
      <c r="F587" s="90"/>
      <c r="H587" s="116"/>
      <c r="I587" s="26"/>
      <c r="J587" s="98"/>
      <c r="K587" s="36"/>
      <c r="L587" s="26"/>
      <c r="M587" s="26"/>
      <c r="N587" s="26"/>
      <c r="O587" s="93"/>
      <c r="P587" s="95"/>
      <c r="Q587" s="197"/>
    </row>
    <row r="588" spans="3:17" x14ac:dyDescent="0.25">
      <c r="C588" s="199"/>
      <c r="D588" s="112"/>
      <c r="E588" s="33"/>
      <c r="F588" s="90"/>
      <c r="H588" s="116"/>
      <c r="I588" s="26"/>
      <c r="J588" s="98"/>
      <c r="K588" s="36"/>
      <c r="L588" s="26"/>
      <c r="M588" s="26"/>
      <c r="N588" s="26"/>
      <c r="O588" s="93"/>
      <c r="P588" s="95"/>
      <c r="Q588" s="197"/>
    </row>
    <row r="589" spans="3:17" x14ac:dyDescent="0.25">
      <c r="C589" s="199"/>
      <c r="D589" s="112"/>
      <c r="E589" s="33"/>
      <c r="F589" s="90"/>
      <c r="H589" s="116"/>
      <c r="I589" s="26"/>
      <c r="J589" s="98"/>
      <c r="K589" s="36"/>
      <c r="L589" s="26"/>
      <c r="M589" s="26"/>
      <c r="N589" s="26"/>
      <c r="O589" s="93"/>
      <c r="P589" s="95"/>
      <c r="Q589" s="197"/>
    </row>
    <row r="590" spans="3:17" x14ac:dyDescent="0.25">
      <c r="C590" s="199"/>
      <c r="D590" s="112"/>
      <c r="E590" s="33"/>
      <c r="F590" s="90"/>
      <c r="H590" s="116"/>
      <c r="I590" s="26"/>
      <c r="J590" s="98"/>
      <c r="K590" s="36"/>
      <c r="L590" s="26"/>
      <c r="M590" s="26"/>
      <c r="N590" s="26"/>
      <c r="O590" s="93"/>
      <c r="P590" s="95"/>
      <c r="Q590" s="197"/>
    </row>
    <row r="591" spans="3:17" x14ac:dyDescent="0.25">
      <c r="C591" s="199"/>
      <c r="D591" s="112"/>
      <c r="E591" s="33"/>
      <c r="F591" s="90"/>
      <c r="H591" s="116"/>
      <c r="I591" s="26"/>
      <c r="J591" s="98"/>
      <c r="K591" s="36"/>
      <c r="L591" s="26"/>
      <c r="M591" s="26"/>
      <c r="N591" s="26"/>
      <c r="O591" s="93"/>
      <c r="P591" s="95"/>
      <c r="Q591" s="197"/>
    </row>
    <row r="592" spans="3:17" x14ac:dyDescent="0.25">
      <c r="C592" s="199"/>
      <c r="D592" s="112"/>
      <c r="E592" s="33"/>
      <c r="F592" s="90"/>
      <c r="H592" s="116"/>
      <c r="I592" s="26"/>
      <c r="J592" s="98"/>
      <c r="K592" s="36"/>
      <c r="L592" s="26"/>
      <c r="M592" s="26"/>
      <c r="N592" s="26"/>
      <c r="O592" s="93"/>
      <c r="P592" s="95"/>
      <c r="Q592" s="197"/>
    </row>
    <row r="593" spans="3:17" x14ac:dyDescent="0.25">
      <c r="C593" s="199"/>
      <c r="D593" s="112"/>
      <c r="E593" s="33"/>
      <c r="F593" s="90"/>
      <c r="H593" s="116"/>
      <c r="I593" s="26"/>
      <c r="J593" s="98"/>
      <c r="K593" s="36"/>
      <c r="L593" s="26"/>
      <c r="M593" s="26"/>
      <c r="N593" s="26"/>
      <c r="O593" s="93"/>
      <c r="P593" s="95"/>
      <c r="Q593" s="197"/>
    </row>
    <row r="594" spans="3:17" x14ac:dyDescent="0.25">
      <c r="C594" s="199"/>
      <c r="D594" s="112"/>
      <c r="E594" s="33"/>
      <c r="F594" s="90"/>
      <c r="H594" s="116"/>
      <c r="I594" s="26"/>
      <c r="J594" s="98"/>
      <c r="K594" s="36"/>
      <c r="L594" s="26"/>
      <c r="M594" s="26"/>
      <c r="N594" s="26"/>
      <c r="O594" s="93"/>
      <c r="P594" s="95"/>
      <c r="Q594" s="197"/>
    </row>
    <row r="595" spans="3:17" x14ac:dyDescent="0.25">
      <c r="C595" s="199"/>
      <c r="D595" s="112"/>
      <c r="E595" s="33"/>
      <c r="F595" s="90"/>
      <c r="H595" s="116"/>
      <c r="I595" s="26"/>
      <c r="J595" s="98"/>
      <c r="K595" s="36"/>
      <c r="L595" s="26"/>
      <c r="M595" s="26"/>
      <c r="N595" s="26"/>
      <c r="O595" s="93"/>
      <c r="P595" s="95"/>
      <c r="Q595" s="197"/>
    </row>
    <row r="596" spans="3:17" x14ac:dyDescent="0.25">
      <c r="C596" s="199"/>
      <c r="D596" s="112"/>
      <c r="E596" s="33"/>
      <c r="F596" s="90"/>
      <c r="H596" s="116"/>
      <c r="I596" s="26"/>
      <c r="J596" s="98"/>
      <c r="K596" s="36"/>
      <c r="L596" s="26"/>
      <c r="M596" s="26"/>
      <c r="N596" s="26"/>
      <c r="O596" s="93"/>
      <c r="P596" s="95"/>
      <c r="Q596" s="197"/>
    </row>
    <row r="597" spans="3:17" x14ac:dyDescent="0.25">
      <c r="C597" s="199"/>
      <c r="D597" s="112"/>
      <c r="E597" s="33"/>
      <c r="F597" s="90"/>
      <c r="H597" s="116"/>
      <c r="I597" s="26"/>
      <c r="J597" s="98"/>
      <c r="K597" s="36"/>
      <c r="L597" s="26"/>
      <c r="M597" s="26"/>
      <c r="N597" s="26"/>
      <c r="O597" s="93"/>
      <c r="P597" s="95"/>
      <c r="Q597" s="197"/>
    </row>
    <row r="598" spans="3:17" x14ac:dyDescent="0.25">
      <c r="C598" s="199"/>
      <c r="D598" s="112"/>
      <c r="E598" s="33"/>
      <c r="F598" s="90"/>
      <c r="H598" s="116"/>
      <c r="I598" s="26"/>
      <c r="J598" s="98"/>
      <c r="K598" s="36"/>
      <c r="L598" s="26"/>
      <c r="M598" s="26"/>
      <c r="N598" s="26"/>
      <c r="O598" s="93"/>
      <c r="P598" s="95"/>
      <c r="Q598" s="197"/>
    </row>
    <row r="599" spans="3:17" x14ac:dyDescent="0.25">
      <c r="C599" s="199"/>
      <c r="D599" s="112"/>
      <c r="E599" s="33"/>
      <c r="F599" s="90"/>
      <c r="H599" s="116"/>
      <c r="I599" s="26"/>
      <c r="J599" s="98"/>
      <c r="K599" s="36"/>
      <c r="L599" s="26"/>
      <c r="M599" s="26"/>
      <c r="N599" s="26"/>
      <c r="O599" s="93"/>
      <c r="P599" s="95"/>
      <c r="Q599" s="197"/>
    </row>
    <row r="600" spans="3:17" x14ac:dyDescent="0.25">
      <c r="C600" s="199"/>
      <c r="D600" s="112"/>
      <c r="E600" s="33"/>
      <c r="F600" s="90"/>
      <c r="H600" s="116"/>
      <c r="I600" s="26"/>
      <c r="J600" s="98"/>
      <c r="K600" s="36"/>
      <c r="L600" s="26"/>
      <c r="M600" s="26"/>
      <c r="N600" s="26"/>
      <c r="O600" s="93"/>
      <c r="P600" s="95"/>
      <c r="Q600" s="197"/>
    </row>
    <row r="601" spans="3:17" x14ac:dyDescent="0.25">
      <c r="C601" s="199"/>
      <c r="D601" s="112"/>
      <c r="E601" s="33"/>
      <c r="F601" s="90"/>
      <c r="H601" s="116"/>
      <c r="I601" s="26"/>
      <c r="J601" s="98"/>
      <c r="K601" s="36"/>
      <c r="L601" s="26"/>
      <c r="M601" s="26"/>
      <c r="N601" s="26"/>
      <c r="O601" s="93"/>
      <c r="P601" s="95"/>
      <c r="Q601" s="197"/>
    </row>
    <row r="602" spans="3:17" x14ac:dyDescent="0.25">
      <c r="C602" s="199"/>
      <c r="D602" s="112"/>
      <c r="E602" s="33"/>
      <c r="F602" s="90"/>
      <c r="H602" s="116"/>
      <c r="I602" s="26"/>
      <c r="J602" s="98"/>
      <c r="K602" s="36"/>
      <c r="L602" s="26"/>
      <c r="M602" s="26"/>
      <c r="N602" s="26"/>
      <c r="O602" s="93"/>
      <c r="P602" s="95"/>
      <c r="Q602" s="197"/>
    </row>
    <row r="603" spans="3:17" x14ac:dyDescent="0.25">
      <c r="C603" s="199"/>
      <c r="D603" s="112"/>
      <c r="E603" s="33"/>
      <c r="F603" s="90"/>
      <c r="H603" s="116"/>
      <c r="I603" s="26"/>
      <c r="J603" s="98"/>
      <c r="K603" s="36"/>
      <c r="L603" s="26"/>
      <c r="M603" s="26"/>
      <c r="N603" s="26"/>
      <c r="O603" s="93"/>
      <c r="P603" s="95"/>
      <c r="Q603" s="197"/>
    </row>
    <row r="604" spans="3:17" x14ac:dyDescent="0.25">
      <c r="C604" s="199"/>
      <c r="D604" s="112"/>
      <c r="E604" s="33"/>
      <c r="F604" s="90"/>
      <c r="H604" s="116"/>
      <c r="I604" s="26"/>
      <c r="J604" s="98"/>
      <c r="K604" s="36"/>
      <c r="L604" s="26"/>
      <c r="M604" s="26"/>
      <c r="N604" s="26"/>
      <c r="O604" s="93"/>
      <c r="P604" s="95"/>
      <c r="Q604" s="197"/>
    </row>
    <row r="605" spans="3:17" x14ac:dyDescent="0.25">
      <c r="C605" s="199"/>
      <c r="D605" s="112"/>
      <c r="E605" s="33"/>
      <c r="F605" s="90"/>
      <c r="H605" s="116"/>
      <c r="I605" s="26"/>
      <c r="J605" s="98"/>
      <c r="K605" s="36"/>
      <c r="L605" s="26"/>
      <c r="M605" s="26"/>
      <c r="N605" s="26"/>
      <c r="O605" s="93"/>
      <c r="P605" s="95"/>
      <c r="Q605" s="197"/>
    </row>
    <row r="606" spans="3:17" x14ac:dyDescent="0.25">
      <c r="C606" s="199"/>
      <c r="D606" s="112"/>
      <c r="E606" s="33"/>
      <c r="F606" s="90"/>
      <c r="H606" s="116"/>
      <c r="I606" s="26"/>
      <c r="J606" s="98"/>
      <c r="K606" s="36"/>
      <c r="L606" s="26"/>
      <c r="M606" s="26"/>
      <c r="N606" s="26"/>
      <c r="O606" s="93"/>
      <c r="P606" s="95"/>
      <c r="Q606" s="197"/>
    </row>
    <row r="607" spans="3:17" x14ac:dyDescent="0.25">
      <c r="C607" s="199"/>
      <c r="D607" s="112"/>
      <c r="E607" s="33"/>
      <c r="F607" s="90"/>
      <c r="H607" s="116"/>
      <c r="I607" s="26"/>
      <c r="J607" s="98"/>
      <c r="K607" s="36"/>
      <c r="L607" s="26"/>
      <c r="M607" s="26"/>
      <c r="N607" s="26"/>
      <c r="O607" s="93"/>
      <c r="P607" s="95"/>
      <c r="Q607" s="197"/>
    </row>
    <row r="608" spans="3:17" x14ac:dyDescent="0.25">
      <c r="C608" s="199"/>
      <c r="D608" s="112"/>
      <c r="E608" s="33"/>
      <c r="F608" s="90"/>
      <c r="H608" s="116"/>
      <c r="I608" s="26"/>
      <c r="J608" s="98"/>
      <c r="K608" s="36"/>
      <c r="L608" s="26"/>
      <c r="M608" s="26"/>
      <c r="N608" s="26"/>
      <c r="O608" s="93"/>
      <c r="P608" s="95"/>
      <c r="Q608" s="197"/>
    </row>
    <row r="609" spans="3:17" x14ac:dyDescent="0.25">
      <c r="C609" s="199"/>
      <c r="D609" s="112"/>
      <c r="E609" s="33"/>
      <c r="F609" s="90"/>
      <c r="H609" s="116"/>
      <c r="I609" s="26"/>
      <c r="J609" s="98"/>
      <c r="K609" s="36"/>
      <c r="L609" s="26"/>
      <c r="M609" s="26"/>
      <c r="N609" s="26"/>
      <c r="O609" s="93"/>
      <c r="P609" s="95"/>
      <c r="Q609" s="197"/>
    </row>
    <row r="610" spans="3:17" x14ac:dyDescent="0.25">
      <c r="C610" s="199"/>
      <c r="D610" s="112"/>
      <c r="E610" s="33"/>
      <c r="F610" s="90"/>
      <c r="H610" s="116"/>
      <c r="I610" s="26"/>
      <c r="J610" s="98"/>
      <c r="K610" s="36"/>
      <c r="L610" s="26"/>
      <c r="M610" s="26"/>
      <c r="N610" s="26"/>
      <c r="O610" s="93"/>
      <c r="P610" s="95"/>
      <c r="Q610" s="197"/>
    </row>
    <row r="611" spans="3:17" x14ac:dyDescent="0.25">
      <c r="C611" s="199"/>
      <c r="D611" s="112"/>
      <c r="E611" s="33"/>
      <c r="F611" s="90"/>
      <c r="H611" s="116"/>
      <c r="I611" s="26"/>
      <c r="J611" s="98"/>
      <c r="K611" s="36"/>
      <c r="L611" s="26"/>
      <c r="M611" s="26"/>
      <c r="N611" s="26"/>
      <c r="O611" s="93"/>
      <c r="P611" s="95"/>
      <c r="Q611" s="197"/>
    </row>
    <row r="612" spans="3:17" x14ac:dyDescent="0.25">
      <c r="C612" s="199"/>
      <c r="D612" s="112"/>
      <c r="E612" s="33"/>
      <c r="F612" s="90"/>
      <c r="H612" s="116"/>
      <c r="I612" s="26"/>
      <c r="J612" s="98"/>
      <c r="K612" s="36"/>
      <c r="L612" s="26"/>
      <c r="M612" s="26"/>
      <c r="N612" s="26"/>
      <c r="O612" s="93"/>
      <c r="P612" s="95"/>
      <c r="Q612" s="197"/>
    </row>
    <row r="613" spans="3:17" x14ac:dyDescent="0.25">
      <c r="C613" s="199"/>
      <c r="D613" s="112"/>
      <c r="E613" s="33"/>
      <c r="F613" s="90"/>
      <c r="H613" s="116"/>
      <c r="I613" s="26"/>
      <c r="J613" s="98"/>
      <c r="K613" s="36"/>
      <c r="L613" s="26"/>
      <c r="M613" s="26"/>
      <c r="N613" s="26"/>
      <c r="O613" s="93"/>
      <c r="P613" s="95"/>
      <c r="Q613" s="197"/>
    </row>
    <row r="614" spans="3:17" x14ac:dyDescent="0.25">
      <c r="C614" s="199"/>
      <c r="D614" s="112"/>
      <c r="E614" s="33"/>
      <c r="F614" s="90"/>
      <c r="H614" s="116"/>
      <c r="I614" s="26"/>
      <c r="J614" s="98"/>
      <c r="K614" s="36"/>
      <c r="L614" s="26"/>
      <c r="M614" s="26"/>
      <c r="N614" s="26"/>
      <c r="O614" s="93"/>
      <c r="P614" s="95"/>
      <c r="Q614" s="197"/>
    </row>
    <row r="615" spans="3:17" x14ac:dyDescent="0.25">
      <c r="C615" s="199"/>
      <c r="D615" s="112"/>
      <c r="E615" s="33"/>
      <c r="F615" s="90"/>
      <c r="H615" s="116"/>
      <c r="I615" s="26"/>
      <c r="J615" s="98"/>
      <c r="K615" s="36"/>
      <c r="L615" s="26"/>
      <c r="M615" s="26"/>
      <c r="N615" s="26"/>
      <c r="O615" s="93"/>
      <c r="P615" s="95"/>
      <c r="Q615" s="197"/>
    </row>
    <row r="616" spans="3:17" x14ac:dyDescent="0.25">
      <c r="C616" s="199"/>
      <c r="D616" s="112"/>
      <c r="E616" s="33"/>
      <c r="F616" s="90"/>
      <c r="H616" s="116"/>
      <c r="I616" s="26"/>
      <c r="J616" s="98"/>
      <c r="K616" s="36"/>
      <c r="L616" s="26"/>
      <c r="M616" s="26"/>
      <c r="N616" s="26"/>
      <c r="O616" s="93"/>
      <c r="P616" s="95"/>
      <c r="Q616" s="197"/>
    </row>
    <row r="617" spans="3:17" x14ac:dyDescent="0.25">
      <c r="C617" s="199"/>
      <c r="D617" s="112"/>
      <c r="E617" s="33"/>
      <c r="F617" s="90"/>
      <c r="H617" s="116"/>
      <c r="I617" s="26"/>
      <c r="J617" s="98"/>
      <c r="K617" s="36"/>
      <c r="L617" s="26"/>
      <c r="M617" s="26"/>
      <c r="N617" s="26"/>
      <c r="O617" s="93"/>
      <c r="P617" s="95"/>
      <c r="Q617" s="197"/>
    </row>
    <row r="618" spans="3:17" x14ac:dyDescent="0.25">
      <c r="C618" s="199"/>
      <c r="D618" s="112"/>
      <c r="E618" s="33"/>
      <c r="F618" s="90"/>
      <c r="H618" s="116"/>
      <c r="I618" s="26"/>
      <c r="J618" s="98"/>
      <c r="K618" s="36"/>
      <c r="L618" s="26"/>
      <c r="M618" s="26"/>
      <c r="N618" s="26"/>
      <c r="O618" s="93"/>
      <c r="P618" s="95"/>
      <c r="Q618" s="197"/>
    </row>
    <row r="619" spans="3:17" x14ac:dyDescent="0.25">
      <c r="C619" s="199"/>
      <c r="D619" s="112"/>
      <c r="E619" s="33"/>
      <c r="F619" s="90"/>
      <c r="H619" s="116"/>
      <c r="I619" s="26"/>
      <c r="J619" s="98"/>
      <c r="K619" s="36"/>
      <c r="L619" s="26"/>
      <c r="M619" s="26"/>
      <c r="N619" s="26"/>
      <c r="O619" s="93"/>
      <c r="P619" s="95"/>
      <c r="Q619" s="197"/>
    </row>
    <row r="620" spans="3:17" x14ac:dyDescent="0.25">
      <c r="C620" s="199"/>
      <c r="D620" s="112"/>
      <c r="E620" s="33"/>
      <c r="F620" s="90"/>
      <c r="H620" s="116"/>
      <c r="I620" s="26"/>
      <c r="J620" s="98"/>
      <c r="K620" s="36"/>
      <c r="L620" s="26"/>
      <c r="M620" s="26"/>
      <c r="N620" s="26"/>
      <c r="O620" s="93"/>
      <c r="P620" s="95"/>
      <c r="Q620" s="197"/>
    </row>
    <row r="621" spans="3:17" x14ac:dyDescent="0.25">
      <c r="C621" s="199"/>
      <c r="D621" s="112"/>
      <c r="E621" s="33"/>
      <c r="F621" s="90"/>
      <c r="H621" s="116"/>
      <c r="I621" s="26"/>
      <c r="J621" s="98"/>
      <c r="K621" s="36"/>
      <c r="L621" s="26"/>
      <c r="M621" s="26"/>
      <c r="N621" s="26"/>
      <c r="O621" s="93"/>
      <c r="P621" s="95"/>
      <c r="Q621" s="197"/>
    </row>
    <row r="622" spans="3:17" x14ac:dyDescent="0.25">
      <c r="C622" s="199"/>
      <c r="D622" s="112"/>
      <c r="E622" s="33"/>
      <c r="F622" s="90"/>
      <c r="H622" s="116"/>
      <c r="I622" s="26"/>
      <c r="J622" s="98"/>
      <c r="K622" s="36"/>
      <c r="L622" s="26"/>
      <c r="M622" s="26"/>
      <c r="N622" s="26"/>
      <c r="O622" s="93"/>
      <c r="P622" s="95"/>
      <c r="Q622" s="197"/>
    </row>
    <row r="623" spans="3:17" x14ac:dyDescent="0.25">
      <c r="C623" s="199"/>
      <c r="D623" s="112"/>
      <c r="E623" s="33"/>
      <c r="F623" s="90"/>
      <c r="H623" s="116"/>
      <c r="I623" s="26"/>
      <c r="J623" s="98"/>
      <c r="K623" s="36"/>
      <c r="L623" s="26"/>
      <c r="M623" s="26"/>
      <c r="N623" s="26"/>
      <c r="O623" s="93"/>
      <c r="P623" s="95"/>
      <c r="Q623" s="197"/>
    </row>
    <row r="624" spans="3:17" x14ac:dyDescent="0.25">
      <c r="C624" s="199"/>
      <c r="D624" s="112"/>
      <c r="E624" s="33"/>
      <c r="F624" s="90"/>
      <c r="H624" s="116"/>
      <c r="I624" s="26"/>
      <c r="J624" s="98"/>
      <c r="K624" s="36"/>
      <c r="L624" s="26"/>
      <c r="M624" s="26"/>
      <c r="N624" s="26"/>
      <c r="O624" s="93"/>
      <c r="P624" s="95"/>
      <c r="Q624" s="197"/>
    </row>
    <row r="625" spans="3:17" x14ac:dyDescent="0.25">
      <c r="C625" s="199"/>
      <c r="D625" s="112"/>
      <c r="E625" s="33"/>
      <c r="F625" s="90"/>
      <c r="H625" s="116"/>
      <c r="I625" s="26"/>
      <c r="J625" s="98"/>
      <c r="K625" s="36"/>
      <c r="L625" s="26"/>
      <c r="M625" s="26"/>
      <c r="N625" s="26"/>
      <c r="O625" s="93"/>
      <c r="P625" s="95"/>
      <c r="Q625" s="197"/>
    </row>
    <row r="626" spans="3:17" x14ac:dyDescent="0.25">
      <c r="C626" s="199"/>
      <c r="D626" s="112"/>
      <c r="E626" s="33"/>
      <c r="F626" s="90"/>
      <c r="H626" s="116"/>
      <c r="I626" s="26"/>
      <c r="J626" s="98"/>
      <c r="K626" s="36"/>
      <c r="L626" s="26"/>
      <c r="M626" s="26"/>
      <c r="N626" s="26"/>
      <c r="O626" s="93"/>
      <c r="P626" s="95"/>
      <c r="Q626" s="197"/>
    </row>
    <row r="627" spans="3:17" x14ac:dyDescent="0.25">
      <c r="C627" s="199"/>
      <c r="D627" s="112"/>
      <c r="E627" s="33"/>
      <c r="F627" s="90"/>
      <c r="H627" s="116"/>
      <c r="I627" s="26"/>
      <c r="J627" s="98"/>
      <c r="K627" s="36"/>
      <c r="L627" s="26"/>
      <c r="M627" s="26"/>
      <c r="N627" s="26"/>
      <c r="O627" s="93"/>
      <c r="P627" s="95"/>
      <c r="Q627" s="197"/>
    </row>
    <row r="628" spans="3:17" x14ac:dyDescent="0.25">
      <c r="C628" s="199"/>
      <c r="D628" s="112"/>
      <c r="E628" s="33"/>
      <c r="F628" s="90"/>
      <c r="H628" s="116"/>
      <c r="I628" s="26"/>
      <c r="J628" s="98"/>
      <c r="K628" s="36"/>
      <c r="L628" s="26"/>
      <c r="M628" s="26"/>
      <c r="N628" s="26"/>
      <c r="O628" s="93"/>
      <c r="P628" s="95"/>
      <c r="Q628" s="197"/>
    </row>
    <row r="629" spans="3:17" x14ac:dyDescent="0.25">
      <c r="C629" s="199"/>
      <c r="D629" s="112"/>
      <c r="E629" s="33"/>
      <c r="F629" s="90"/>
      <c r="H629" s="116"/>
      <c r="I629" s="26"/>
      <c r="J629" s="98"/>
      <c r="K629" s="36"/>
      <c r="L629" s="26"/>
      <c r="M629" s="26"/>
      <c r="N629" s="26"/>
      <c r="O629" s="93"/>
      <c r="P629" s="95"/>
      <c r="Q629" s="197"/>
    </row>
    <row r="630" spans="3:17" x14ac:dyDescent="0.25">
      <c r="C630" s="199"/>
      <c r="D630" s="112"/>
      <c r="E630" s="33"/>
      <c r="F630" s="90"/>
      <c r="H630" s="116"/>
      <c r="I630" s="26"/>
      <c r="J630" s="98"/>
      <c r="K630" s="36"/>
      <c r="L630" s="26"/>
      <c r="M630" s="26"/>
      <c r="N630" s="26"/>
      <c r="O630" s="93"/>
      <c r="P630" s="95"/>
      <c r="Q630" s="197"/>
    </row>
    <row r="631" spans="3:17" x14ac:dyDescent="0.25">
      <c r="C631" s="199"/>
      <c r="D631" s="112"/>
      <c r="E631" s="33"/>
      <c r="F631" s="90"/>
      <c r="H631" s="116"/>
      <c r="I631" s="26"/>
      <c r="J631" s="98"/>
      <c r="K631" s="36"/>
      <c r="L631" s="26"/>
      <c r="M631" s="26"/>
      <c r="N631" s="26"/>
      <c r="O631" s="93"/>
      <c r="P631" s="95"/>
      <c r="Q631" s="197"/>
    </row>
    <row r="632" spans="3:17" x14ac:dyDescent="0.25">
      <c r="C632" s="199"/>
      <c r="D632" s="112"/>
      <c r="E632" s="33"/>
      <c r="F632" s="90"/>
      <c r="H632" s="116"/>
      <c r="I632" s="26"/>
      <c r="J632" s="98"/>
      <c r="K632" s="36"/>
      <c r="L632" s="26"/>
      <c r="M632" s="26"/>
      <c r="N632" s="26"/>
      <c r="O632" s="93"/>
      <c r="P632" s="95"/>
      <c r="Q632" s="197"/>
    </row>
    <row r="633" spans="3:17" x14ac:dyDescent="0.25">
      <c r="C633" s="199"/>
      <c r="D633" s="112"/>
      <c r="E633" s="33"/>
      <c r="F633" s="90"/>
      <c r="H633" s="116"/>
      <c r="I633" s="26"/>
      <c r="J633" s="98"/>
      <c r="K633" s="36"/>
      <c r="L633" s="26"/>
      <c r="M633" s="26"/>
      <c r="N633" s="26"/>
      <c r="O633" s="93"/>
      <c r="P633" s="95"/>
      <c r="Q633" s="197"/>
    </row>
    <row r="634" spans="3:17" x14ac:dyDescent="0.25">
      <c r="C634" s="199"/>
      <c r="D634" s="112"/>
      <c r="E634" s="33"/>
      <c r="F634" s="90"/>
      <c r="H634" s="116"/>
      <c r="I634" s="26"/>
      <c r="J634" s="98"/>
      <c r="K634" s="36"/>
      <c r="L634" s="26"/>
      <c r="M634" s="26"/>
      <c r="N634" s="26"/>
      <c r="O634" s="93"/>
      <c r="P634" s="95"/>
      <c r="Q634" s="197"/>
    </row>
    <row r="635" spans="3:17" x14ac:dyDescent="0.25">
      <c r="C635" s="199"/>
      <c r="D635" s="112"/>
      <c r="E635" s="33"/>
      <c r="F635" s="90"/>
      <c r="H635" s="116"/>
      <c r="I635" s="26"/>
      <c r="J635" s="98"/>
      <c r="K635" s="36"/>
      <c r="L635" s="26"/>
      <c r="M635" s="26"/>
      <c r="N635" s="26"/>
      <c r="O635" s="93"/>
      <c r="P635" s="95"/>
      <c r="Q635" s="197"/>
    </row>
    <row r="636" spans="3:17" x14ac:dyDescent="0.25">
      <c r="C636" s="199"/>
      <c r="D636" s="112"/>
      <c r="E636" s="33"/>
      <c r="F636" s="90"/>
      <c r="H636" s="116"/>
      <c r="I636" s="26"/>
      <c r="J636" s="98"/>
      <c r="K636" s="36"/>
      <c r="L636" s="26"/>
      <c r="M636" s="26"/>
      <c r="N636" s="26"/>
      <c r="O636" s="93"/>
      <c r="P636" s="95"/>
      <c r="Q636" s="197"/>
    </row>
    <row r="637" spans="3:17" x14ac:dyDescent="0.25">
      <c r="C637" s="199"/>
      <c r="D637" s="112"/>
      <c r="E637" s="33"/>
      <c r="F637" s="90"/>
      <c r="H637" s="116"/>
      <c r="I637" s="26"/>
      <c r="J637" s="98"/>
      <c r="K637" s="36"/>
      <c r="L637" s="26"/>
      <c r="M637" s="26"/>
      <c r="N637" s="26"/>
      <c r="O637" s="93"/>
      <c r="P637" s="95"/>
      <c r="Q637" s="197"/>
    </row>
    <row r="638" spans="3:17" x14ac:dyDescent="0.25">
      <c r="C638" s="199"/>
      <c r="D638" s="112"/>
      <c r="E638" s="33"/>
      <c r="F638" s="90"/>
      <c r="H638" s="116"/>
      <c r="I638" s="26"/>
      <c r="J638" s="98"/>
      <c r="K638" s="36"/>
      <c r="L638" s="26"/>
      <c r="M638" s="26"/>
      <c r="N638" s="26"/>
      <c r="O638" s="93"/>
      <c r="P638" s="95"/>
      <c r="Q638" s="197"/>
    </row>
    <row r="639" spans="3:17" x14ac:dyDescent="0.25">
      <c r="C639" s="199"/>
      <c r="D639" s="112"/>
      <c r="E639" s="33"/>
      <c r="F639" s="90"/>
      <c r="H639" s="116"/>
      <c r="I639" s="26"/>
      <c r="J639" s="98"/>
      <c r="K639" s="36"/>
      <c r="L639" s="26"/>
      <c r="M639" s="26"/>
      <c r="N639" s="26"/>
      <c r="O639" s="93"/>
      <c r="P639" s="95"/>
      <c r="Q639" s="197"/>
    </row>
    <row r="640" spans="3:17" x14ac:dyDescent="0.25">
      <c r="C640" s="199"/>
      <c r="D640" s="112"/>
      <c r="E640" s="33"/>
      <c r="F640" s="90"/>
      <c r="H640" s="116"/>
      <c r="I640" s="26"/>
      <c r="J640" s="98"/>
      <c r="K640" s="36"/>
      <c r="L640" s="26"/>
      <c r="M640" s="26"/>
      <c r="N640" s="26"/>
      <c r="O640" s="93"/>
      <c r="P640" s="95"/>
      <c r="Q640" s="197"/>
    </row>
    <row r="641" spans="3:17" x14ac:dyDescent="0.25">
      <c r="C641" s="199"/>
      <c r="D641" s="112"/>
      <c r="E641" s="33"/>
      <c r="F641" s="90"/>
      <c r="H641" s="116"/>
      <c r="I641" s="26"/>
      <c r="J641" s="98"/>
      <c r="K641" s="36"/>
      <c r="L641" s="26"/>
      <c r="M641" s="26"/>
      <c r="N641" s="26"/>
      <c r="O641" s="93"/>
      <c r="P641" s="95"/>
      <c r="Q641" s="197"/>
    </row>
    <row r="642" spans="3:17" x14ac:dyDescent="0.25">
      <c r="C642" s="199"/>
      <c r="D642" s="112"/>
      <c r="E642" s="33"/>
      <c r="F642" s="90"/>
      <c r="H642" s="116"/>
      <c r="I642" s="26"/>
      <c r="J642" s="98"/>
      <c r="K642" s="36"/>
      <c r="L642" s="26"/>
      <c r="M642" s="26"/>
      <c r="N642" s="26"/>
      <c r="O642" s="93"/>
      <c r="P642" s="95"/>
      <c r="Q642" s="197"/>
    </row>
    <row r="643" spans="3:17" x14ac:dyDescent="0.25">
      <c r="C643" s="199"/>
      <c r="D643" s="112"/>
      <c r="E643" s="33"/>
      <c r="F643" s="90"/>
      <c r="H643" s="116"/>
      <c r="I643" s="26"/>
      <c r="J643" s="98"/>
      <c r="K643" s="36"/>
      <c r="L643" s="26"/>
      <c r="M643" s="26"/>
      <c r="N643" s="26"/>
      <c r="O643" s="93"/>
      <c r="P643" s="95"/>
      <c r="Q643" s="197"/>
    </row>
    <row r="644" spans="3:17" x14ac:dyDescent="0.25">
      <c r="C644" s="199"/>
      <c r="D644" s="112"/>
      <c r="E644" s="33"/>
      <c r="F644" s="90"/>
      <c r="H644" s="116"/>
      <c r="I644" s="26"/>
      <c r="J644" s="98"/>
      <c r="K644" s="36"/>
      <c r="L644" s="26"/>
      <c r="M644" s="26"/>
      <c r="N644" s="26"/>
      <c r="O644" s="93"/>
      <c r="P644" s="95"/>
      <c r="Q644" s="197"/>
    </row>
    <row r="645" spans="3:17" x14ac:dyDescent="0.25">
      <c r="C645" s="199"/>
      <c r="D645" s="112"/>
      <c r="E645" s="33"/>
      <c r="F645" s="90"/>
      <c r="H645" s="116"/>
      <c r="I645" s="26"/>
      <c r="J645" s="98"/>
      <c r="K645" s="36"/>
      <c r="L645" s="26"/>
      <c r="M645" s="26"/>
      <c r="N645" s="26"/>
      <c r="O645" s="93"/>
      <c r="P645" s="95"/>
      <c r="Q645" s="197"/>
    </row>
    <row r="646" spans="3:17" x14ac:dyDescent="0.25">
      <c r="C646" s="199"/>
      <c r="D646" s="112"/>
      <c r="E646" s="33"/>
      <c r="F646" s="90"/>
      <c r="H646" s="116"/>
      <c r="I646" s="26"/>
      <c r="J646" s="98"/>
      <c r="K646" s="36"/>
      <c r="L646" s="26"/>
      <c r="M646" s="26"/>
      <c r="N646" s="26"/>
      <c r="O646" s="93"/>
      <c r="P646" s="95"/>
      <c r="Q646" s="197"/>
    </row>
    <row r="647" spans="3:17" x14ac:dyDescent="0.25">
      <c r="C647" s="199"/>
      <c r="D647" s="112"/>
      <c r="E647" s="33"/>
      <c r="F647" s="90"/>
      <c r="H647" s="116"/>
      <c r="I647" s="26"/>
      <c r="J647" s="98"/>
      <c r="K647" s="36"/>
      <c r="L647" s="26"/>
      <c r="M647" s="26"/>
      <c r="N647" s="26"/>
      <c r="O647" s="93"/>
      <c r="P647" s="95"/>
      <c r="Q647" s="197"/>
    </row>
    <row r="648" spans="3:17" x14ac:dyDescent="0.25">
      <c r="C648" s="199"/>
      <c r="D648" s="112"/>
      <c r="E648" s="33"/>
      <c r="F648" s="90"/>
      <c r="H648" s="116"/>
      <c r="I648" s="26"/>
      <c r="J648" s="98"/>
      <c r="K648" s="36"/>
      <c r="L648" s="26"/>
      <c r="M648" s="26"/>
      <c r="N648" s="26"/>
      <c r="O648" s="93"/>
      <c r="P648" s="95"/>
      <c r="Q648" s="197"/>
    </row>
    <row r="649" spans="3:17" x14ac:dyDescent="0.25">
      <c r="C649" s="199"/>
      <c r="D649" s="112"/>
      <c r="E649" s="33"/>
      <c r="F649" s="90"/>
      <c r="H649" s="116"/>
      <c r="I649" s="26"/>
      <c r="J649" s="98"/>
      <c r="K649" s="36"/>
      <c r="L649" s="26"/>
      <c r="M649" s="26"/>
      <c r="N649" s="26"/>
      <c r="O649" s="93"/>
      <c r="P649" s="95"/>
      <c r="Q649" s="197"/>
    </row>
    <row r="650" spans="3:17" x14ac:dyDescent="0.25">
      <c r="C650" s="199"/>
      <c r="D650" s="112"/>
      <c r="E650" s="33"/>
      <c r="F650" s="90"/>
      <c r="H650" s="116"/>
      <c r="I650" s="26"/>
      <c r="J650" s="98"/>
      <c r="K650" s="36"/>
      <c r="L650" s="26"/>
      <c r="M650" s="26"/>
      <c r="N650" s="26"/>
      <c r="O650" s="93"/>
      <c r="P650" s="95"/>
      <c r="Q650" s="197"/>
    </row>
    <row r="651" spans="3:17" x14ac:dyDescent="0.25">
      <c r="C651" s="199"/>
      <c r="D651" s="112"/>
      <c r="E651" s="33"/>
      <c r="F651" s="90"/>
      <c r="H651" s="116"/>
      <c r="I651" s="26"/>
      <c r="J651" s="98"/>
      <c r="K651" s="36"/>
      <c r="L651" s="26"/>
      <c r="M651" s="26"/>
      <c r="N651" s="26"/>
      <c r="O651" s="93"/>
      <c r="P651" s="95"/>
      <c r="Q651" s="197"/>
    </row>
    <row r="652" spans="3:17" x14ac:dyDescent="0.25">
      <c r="C652" s="199"/>
      <c r="D652" s="112"/>
      <c r="E652" s="33"/>
      <c r="F652" s="90"/>
      <c r="H652" s="116"/>
      <c r="I652" s="26"/>
      <c r="J652" s="98"/>
      <c r="K652" s="36"/>
      <c r="L652" s="26"/>
      <c r="M652" s="26"/>
      <c r="N652" s="26"/>
      <c r="O652" s="93"/>
      <c r="P652" s="95"/>
      <c r="Q652" s="197"/>
    </row>
    <row r="653" spans="3:17" x14ac:dyDescent="0.25">
      <c r="C653" s="199"/>
      <c r="D653" s="112"/>
      <c r="E653" s="33"/>
      <c r="F653" s="90"/>
      <c r="H653" s="116"/>
      <c r="I653" s="26"/>
      <c r="J653" s="98"/>
      <c r="K653" s="36"/>
      <c r="L653" s="26"/>
      <c r="M653" s="26"/>
      <c r="N653" s="26"/>
      <c r="O653" s="93"/>
      <c r="P653" s="95"/>
      <c r="Q653" s="197"/>
    </row>
    <row r="654" spans="3:17" x14ac:dyDescent="0.25">
      <c r="C654" s="199"/>
      <c r="D654" s="112"/>
      <c r="E654" s="33"/>
      <c r="F654" s="90"/>
      <c r="H654" s="116"/>
      <c r="I654" s="26"/>
      <c r="J654" s="98"/>
      <c r="K654" s="36"/>
      <c r="L654" s="26"/>
      <c r="M654" s="26"/>
      <c r="N654" s="26"/>
      <c r="O654" s="93"/>
      <c r="P654" s="95"/>
      <c r="Q654" s="197"/>
    </row>
    <row r="655" spans="3:17" x14ac:dyDescent="0.25">
      <c r="C655" s="199"/>
      <c r="D655" s="112"/>
      <c r="E655" s="33"/>
      <c r="F655" s="90"/>
      <c r="H655" s="116"/>
      <c r="I655" s="26"/>
      <c r="J655" s="98"/>
      <c r="K655" s="36"/>
      <c r="L655" s="26"/>
      <c r="M655" s="26"/>
      <c r="N655" s="26"/>
      <c r="O655" s="93"/>
      <c r="P655" s="95"/>
      <c r="Q655" s="197"/>
    </row>
    <row r="656" spans="3:17" x14ac:dyDescent="0.25">
      <c r="C656" s="199"/>
      <c r="D656" s="112"/>
      <c r="E656" s="33"/>
      <c r="F656" s="90"/>
      <c r="H656" s="116"/>
      <c r="I656" s="26"/>
      <c r="J656" s="98"/>
      <c r="K656" s="36"/>
      <c r="L656" s="26"/>
      <c r="M656" s="26"/>
      <c r="N656" s="26"/>
      <c r="O656" s="93"/>
      <c r="P656" s="95"/>
      <c r="Q656" s="197"/>
    </row>
    <row r="657" spans="3:17" x14ac:dyDescent="0.25">
      <c r="C657" s="199"/>
      <c r="D657" s="112"/>
      <c r="E657" s="33"/>
      <c r="F657" s="90"/>
      <c r="H657" s="116"/>
      <c r="I657" s="26"/>
      <c r="J657" s="98"/>
      <c r="K657" s="36"/>
      <c r="L657" s="26"/>
      <c r="M657" s="26"/>
      <c r="N657" s="26"/>
      <c r="O657" s="93"/>
      <c r="P657" s="95"/>
      <c r="Q657" s="197"/>
    </row>
    <row r="658" spans="3:17" x14ac:dyDescent="0.25">
      <c r="C658" s="199"/>
      <c r="D658" s="112"/>
      <c r="E658" s="33"/>
      <c r="F658" s="90"/>
      <c r="H658" s="116"/>
      <c r="I658" s="26"/>
      <c r="J658" s="98"/>
      <c r="K658" s="36"/>
      <c r="L658" s="26"/>
      <c r="M658" s="26"/>
      <c r="N658" s="26"/>
      <c r="O658" s="93"/>
      <c r="P658" s="95"/>
      <c r="Q658" s="197"/>
    </row>
    <row r="659" spans="3:17" x14ac:dyDescent="0.25">
      <c r="C659" s="199"/>
      <c r="D659" s="112"/>
      <c r="E659" s="33"/>
      <c r="F659" s="90"/>
      <c r="H659" s="116"/>
      <c r="I659" s="26"/>
      <c r="J659" s="98"/>
      <c r="K659" s="36"/>
      <c r="L659" s="26"/>
      <c r="M659" s="26"/>
      <c r="N659" s="26"/>
      <c r="O659" s="93"/>
      <c r="P659" s="95"/>
      <c r="Q659" s="197"/>
    </row>
    <row r="660" spans="3:17" x14ac:dyDescent="0.25">
      <c r="C660" s="199"/>
      <c r="D660" s="112"/>
      <c r="E660" s="33"/>
      <c r="F660" s="90"/>
      <c r="H660" s="116"/>
      <c r="I660" s="26"/>
      <c r="J660" s="98"/>
      <c r="K660" s="36"/>
      <c r="L660" s="26"/>
      <c r="M660" s="26"/>
      <c r="N660" s="26"/>
      <c r="O660" s="93"/>
      <c r="P660" s="95"/>
      <c r="Q660" s="197"/>
    </row>
    <row r="661" spans="3:17" x14ac:dyDescent="0.25">
      <c r="C661" s="199"/>
      <c r="D661" s="112"/>
      <c r="E661" s="33"/>
      <c r="F661" s="90"/>
      <c r="H661" s="116"/>
      <c r="I661" s="26"/>
      <c r="J661" s="98"/>
      <c r="K661" s="36"/>
      <c r="L661" s="26"/>
      <c r="M661" s="26"/>
      <c r="N661" s="26"/>
      <c r="O661" s="93"/>
      <c r="P661" s="95"/>
      <c r="Q661" s="197"/>
    </row>
    <row r="662" spans="3:17" x14ac:dyDescent="0.25">
      <c r="C662" s="199"/>
      <c r="D662" s="112"/>
      <c r="E662" s="33"/>
      <c r="F662" s="90"/>
      <c r="H662" s="116"/>
      <c r="I662" s="26"/>
      <c r="J662" s="98"/>
      <c r="K662" s="36"/>
      <c r="L662" s="26"/>
      <c r="M662" s="26"/>
      <c r="N662" s="26"/>
      <c r="O662" s="93"/>
      <c r="P662" s="95"/>
      <c r="Q662" s="197"/>
    </row>
    <row r="663" spans="3:17" x14ac:dyDescent="0.25">
      <c r="C663" s="199"/>
      <c r="D663" s="112"/>
      <c r="E663" s="33"/>
      <c r="F663" s="90"/>
      <c r="H663" s="116"/>
      <c r="I663" s="26"/>
      <c r="J663" s="98"/>
      <c r="K663" s="36"/>
      <c r="L663" s="26"/>
      <c r="M663" s="26"/>
      <c r="N663" s="26"/>
      <c r="O663" s="93"/>
      <c r="P663" s="95"/>
      <c r="Q663" s="197"/>
    </row>
    <row r="664" spans="3:17" x14ac:dyDescent="0.25">
      <c r="C664" s="199"/>
      <c r="D664" s="112"/>
      <c r="E664" s="33"/>
      <c r="F664" s="90"/>
      <c r="H664" s="116"/>
      <c r="I664" s="26"/>
      <c r="J664" s="98"/>
      <c r="K664" s="36"/>
      <c r="L664" s="26"/>
      <c r="M664" s="26"/>
      <c r="N664" s="26"/>
      <c r="O664" s="93"/>
      <c r="P664" s="95"/>
      <c r="Q664" s="197"/>
    </row>
    <row r="665" spans="3:17" x14ac:dyDescent="0.25">
      <c r="C665" s="199"/>
      <c r="D665" s="112"/>
      <c r="E665" s="33"/>
      <c r="F665" s="90"/>
      <c r="H665" s="116"/>
      <c r="I665" s="26"/>
      <c r="J665" s="98"/>
      <c r="K665" s="36"/>
      <c r="L665" s="26"/>
      <c r="M665" s="26"/>
      <c r="N665" s="26"/>
      <c r="O665" s="93"/>
      <c r="P665" s="95"/>
      <c r="Q665" s="197"/>
    </row>
    <row r="666" spans="3:17" x14ac:dyDescent="0.25">
      <c r="C666" s="199"/>
      <c r="D666" s="112"/>
      <c r="E666" s="33"/>
      <c r="F666" s="90"/>
      <c r="H666" s="116"/>
      <c r="I666" s="26"/>
      <c r="J666" s="98"/>
      <c r="K666" s="36"/>
      <c r="L666" s="26"/>
      <c r="M666" s="26"/>
      <c r="N666" s="26"/>
      <c r="O666" s="93"/>
      <c r="P666" s="95"/>
      <c r="Q666" s="197"/>
    </row>
    <row r="667" spans="3:17" x14ac:dyDescent="0.25">
      <c r="C667" s="199"/>
      <c r="D667" s="112"/>
      <c r="E667" s="33"/>
      <c r="F667" s="90"/>
      <c r="H667" s="116"/>
      <c r="I667" s="26"/>
      <c r="J667" s="98"/>
      <c r="K667" s="36"/>
      <c r="L667" s="26"/>
      <c r="M667" s="26"/>
      <c r="N667" s="26"/>
      <c r="O667" s="93"/>
      <c r="P667" s="95"/>
      <c r="Q667" s="197"/>
    </row>
    <row r="668" spans="3:17" x14ac:dyDescent="0.25">
      <c r="C668" s="199"/>
      <c r="D668" s="112"/>
      <c r="E668" s="33"/>
      <c r="F668" s="90"/>
      <c r="H668" s="116"/>
      <c r="I668" s="26"/>
      <c r="J668" s="98"/>
      <c r="K668" s="36"/>
      <c r="L668" s="26"/>
      <c r="M668" s="26"/>
      <c r="N668" s="26"/>
      <c r="O668" s="93"/>
      <c r="P668" s="95"/>
      <c r="Q668" s="197"/>
    </row>
    <row r="669" spans="3:17" x14ac:dyDescent="0.25">
      <c r="C669" s="199"/>
      <c r="D669" s="112"/>
      <c r="E669" s="33"/>
      <c r="F669" s="90"/>
      <c r="H669" s="116"/>
      <c r="I669" s="26"/>
      <c r="J669" s="98"/>
      <c r="K669" s="36"/>
      <c r="L669" s="26"/>
      <c r="M669" s="26"/>
      <c r="N669" s="26"/>
      <c r="O669" s="93"/>
      <c r="P669" s="95"/>
      <c r="Q669" s="197"/>
    </row>
    <row r="670" spans="3:17" x14ac:dyDescent="0.25">
      <c r="C670" s="199"/>
      <c r="D670" s="112"/>
      <c r="E670" s="33"/>
      <c r="F670" s="90"/>
      <c r="H670" s="116"/>
      <c r="I670" s="26"/>
      <c r="J670" s="98"/>
      <c r="K670" s="36"/>
      <c r="L670" s="26"/>
      <c r="M670" s="26"/>
      <c r="N670" s="26"/>
      <c r="O670" s="93"/>
      <c r="P670" s="95"/>
      <c r="Q670" s="197"/>
    </row>
    <row r="671" spans="3:17" x14ac:dyDescent="0.25">
      <c r="C671" s="199"/>
      <c r="D671" s="112"/>
      <c r="E671" s="33"/>
      <c r="F671" s="90"/>
      <c r="H671" s="116"/>
      <c r="I671" s="26"/>
      <c r="J671" s="98"/>
      <c r="K671" s="36"/>
      <c r="L671" s="26"/>
      <c r="M671" s="26"/>
      <c r="N671" s="26"/>
      <c r="O671" s="93"/>
      <c r="P671" s="95"/>
      <c r="Q671" s="197"/>
    </row>
    <row r="672" spans="3:17" x14ac:dyDescent="0.25">
      <c r="C672" s="199"/>
      <c r="D672" s="112"/>
      <c r="E672" s="33"/>
      <c r="F672" s="90"/>
      <c r="H672" s="116"/>
      <c r="I672" s="26"/>
      <c r="J672" s="98"/>
      <c r="K672" s="36"/>
      <c r="L672" s="26"/>
      <c r="M672" s="26"/>
      <c r="N672" s="26"/>
      <c r="O672" s="93"/>
      <c r="P672" s="95"/>
      <c r="Q672" s="197"/>
    </row>
    <row r="673" spans="3:17" x14ac:dyDescent="0.25">
      <c r="C673" s="199"/>
      <c r="D673" s="112"/>
      <c r="E673" s="33"/>
      <c r="F673" s="90"/>
      <c r="H673" s="116"/>
      <c r="I673" s="26"/>
      <c r="J673" s="98"/>
      <c r="K673" s="36"/>
      <c r="L673" s="26"/>
      <c r="M673" s="26"/>
      <c r="N673" s="26"/>
      <c r="O673" s="93"/>
      <c r="P673" s="95"/>
      <c r="Q673" s="197"/>
    </row>
    <row r="674" spans="3:17" x14ac:dyDescent="0.25">
      <c r="C674" s="199"/>
      <c r="D674" s="112"/>
      <c r="E674" s="33"/>
      <c r="F674" s="90"/>
      <c r="H674" s="116"/>
      <c r="I674" s="26"/>
      <c r="J674" s="98"/>
      <c r="K674" s="36"/>
      <c r="L674" s="26"/>
      <c r="M674" s="26"/>
      <c r="N674" s="26"/>
      <c r="O674" s="93"/>
      <c r="P674" s="95"/>
      <c r="Q674" s="197"/>
    </row>
    <row r="675" spans="3:17" x14ac:dyDescent="0.25">
      <c r="C675" s="199"/>
      <c r="D675" s="112"/>
      <c r="E675" s="33"/>
      <c r="F675" s="90"/>
      <c r="H675" s="116"/>
      <c r="I675" s="26"/>
      <c r="J675" s="98"/>
      <c r="K675" s="36"/>
      <c r="L675" s="26"/>
      <c r="M675" s="26"/>
      <c r="N675" s="26"/>
      <c r="O675" s="93"/>
      <c r="P675" s="95"/>
      <c r="Q675" s="197"/>
    </row>
    <row r="676" spans="3:17" x14ac:dyDescent="0.25">
      <c r="C676" s="199"/>
      <c r="D676" s="112"/>
      <c r="E676" s="33"/>
      <c r="F676" s="90"/>
      <c r="H676" s="116"/>
      <c r="I676" s="26"/>
      <c r="J676" s="98"/>
      <c r="K676" s="36"/>
      <c r="L676" s="26"/>
      <c r="M676" s="26"/>
      <c r="N676" s="26"/>
      <c r="O676" s="93"/>
      <c r="P676" s="95"/>
      <c r="Q676" s="197"/>
    </row>
    <row r="677" spans="3:17" x14ac:dyDescent="0.25">
      <c r="C677" s="199"/>
      <c r="D677" s="112"/>
      <c r="E677" s="33"/>
      <c r="F677" s="90"/>
      <c r="H677" s="116"/>
      <c r="I677" s="26"/>
      <c r="J677" s="98"/>
      <c r="K677" s="36"/>
      <c r="L677" s="26"/>
      <c r="M677" s="26"/>
      <c r="N677" s="26"/>
      <c r="O677" s="93"/>
      <c r="P677" s="95"/>
      <c r="Q677" s="197"/>
    </row>
    <row r="678" spans="3:17" x14ac:dyDescent="0.25">
      <c r="C678" s="199"/>
      <c r="D678" s="112"/>
      <c r="E678" s="33"/>
      <c r="F678" s="90"/>
      <c r="H678" s="116"/>
      <c r="I678" s="26"/>
      <c r="J678" s="98"/>
      <c r="K678" s="36"/>
      <c r="L678" s="26"/>
      <c r="M678" s="26"/>
      <c r="N678" s="26"/>
      <c r="O678" s="93"/>
      <c r="P678" s="95"/>
      <c r="Q678" s="197"/>
    </row>
    <row r="679" spans="3:17" x14ac:dyDescent="0.25">
      <c r="C679" s="199"/>
      <c r="D679" s="112"/>
      <c r="E679" s="33"/>
      <c r="F679" s="90"/>
      <c r="H679" s="116"/>
      <c r="I679" s="26"/>
      <c r="J679" s="98"/>
      <c r="K679" s="36"/>
      <c r="L679" s="26"/>
      <c r="M679" s="26"/>
      <c r="N679" s="26"/>
      <c r="O679" s="93"/>
      <c r="P679" s="95"/>
      <c r="Q679" s="197"/>
    </row>
    <row r="680" spans="3:17" x14ac:dyDescent="0.25">
      <c r="C680" s="199"/>
      <c r="D680" s="112"/>
      <c r="E680" s="33"/>
      <c r="F680" s="90"/>
      <c r="H680" s="116"/>
      <c r="I680" s="26"/>
      <c r="J680" s="98"/>
      <c r="K680" s="36"/>
      <c r="L680" s="26"/>
      <c r="M680" s="26"/>
      <c r="N680" s="26"/>
      <c r="O680" s="93"/>
      <c r="P680" s="95"/>
      <c r="Q680" s="197"/>
    </row>
    <row r="681" spans="3:17" x14ac:dyDescent="0.25">
      <c r="C681" s="199"/>
      <c r="D681" s="112"/>
      <c r="E681" s="33"/>
      <c r="F681" s="90"/>
      <c r="H681" s="116"/>
      <c r="I681" s="26"/>
      <c r="J681" s="98"/>
      <c r="K681" s="36"/>
      <c r="L681" s="26"/>
      <c r="M681" s="26"/>
      <c r="N681" s="26"/>
      <c r="O681" s="93"/>
      <c r="P681" s="95"/>
      <c r="Q681" s="197"/>
    </row>
    <row r="682" spans="3:17" x14ac:dyDescent="0.25">
      <c r="C682" s="199"/>
      <c r="D682" s="112"/>
      <c r="E682" s="33"/>
      <c r="F682" s="90"/>
      <c r="H682" s="116"/>
      <c r="I682" s="26"/>
      <c r="J682" s="98"/>
      <c r="K682" s="36"/>
      <c r="L682" s="26"/>
      <c r="M682" s="26"/>
      <c r="N682" s="26"/>
      <c r="O682" s="93"/>
      <c r="P682" s="95"/>
      <c r="Q682" s="197"/>
    </row>
    <row r="683" spans="3:17" x14ac:dyDescent="0.25">
      <c r="C683" s="199"/>
      <c r="D683" s="112"/>
      <c r="E683" s="33"/>
      <c r="F683" s="90"/>
      <c r="H683" s="116"/>
      <c r="I683" s="26"/>
      <c r="J683" s="98"/>
      <c r="K683" s="36"/>
      <c r="L683" s="26"/>
      <c r="M683" s="26"/>
      <c r="N683" s="26"/>
      <c r="O683" s="93"/>
      <c r="P683" s="95"/>
      <c r="Q683" s="197"/>
    </row>
    <row r="684" spans="3:17" x14ac:dyDescent="0.25">
      <c r="C684" s="199"/>
      <c r="D684" s="112"/>
      <c r="E684" s="33"/>
      <c r="F684" s="90"/>
      <c r="H684" s="116"/>
      <c r="I684" s="26"/>
      <c r="J684" s="98"/>
      <c r="K684" s="36"/>
      <c r="L684" s="26"/>
      <c r="M684" s="26"/>
      <c r="N684" s="26"/>
      <c r="O684" s="93"/>
      <c r="P684" s="95"/>
      <c r="Q684" s="197"/>
    </row>
    <row r="685" spans="3:17" x14ac:dyDescent="0.25">
      <c r="C685" s="199"/>
      <c r="D685" s="112"/>
      <c r="E685" s="33"/>
      <c r="F685" s="90"/>
      <c r="H685" s="116"/>
      <c r="I685" s="26"/>
      <c r="J685" s="98"/>
      <c r="K685" s="36"/>
      <c r="L685" s="26"/>
      <c r="M685" s="26"/>
      <c r="N685" s="26"/>
      <c r="O685" s="93"/>
      <c r="P685" s="95"/>
      <c r="Q685" s="197"/>
    </row>
    <row r="686" spans="3:17" x14ac:dyDescent="0.25">
      <c r="C686" s="199"/>
      <c r="D686" s="112"/>
      <c r="E686" s="33"/>
      <c r="F686" s="90"/>
      <c r="H686" s="116"/>
      <c r="I686" s="26"/>
      <c r="J686" s="98"/>
      <c r="K686" s="36"/>
      <c r="L686" s="26"/>
      <c r="M686" s="26"/>
      <c r="N686" s="26"/>
      <c r="O686" s="93"/>
      <c r="P686" s="95"/>
      <c r="Q686" s="197"/>
    </row>
    <row r="687" spans="3:17" x14ac:dyDescent="0.25">
      <c r="C687" s="199"/>
      <c r="D687" s="112"/>
      <c r="E687" s="33"/>
      <c r="F687" s="90"/>
      <c r="H687" s="116"/>
      <c r="I687" s="26"/>
      <c r="J687" s="98"/>
      <c r="K687" s="36"/>
      <c r="L687" s="26"/>
      <c r="M687" s="26"/>
      <c r="N687" s="26"/>
      <c r="O687" s="93"/>
      <c r="P687" s="95"/>
      <c r="Q687" s="197"/>
    </row>
    <row r="688" spans="3:17" x14ac:dyDescent="0.25">
      <c r="C688" s="199"/>
      <c r="D688" s="112"/>
      <c r="E688" s="33"/>
      <c r="F688" s="90"/>
      <c r="H688" s="116"/>
      <c r="I688" s="26"/>
      <c r="J688" s="98"/>
      <c r="K688" s="36"/>
      <c r="L688" s="26"/>
      <c r="M688" s="26"/>
      <c r="N688" s="26"/>
      <c r="O688" s="93"/>
      <c r="P688" s="95"/>
      <c r="Q688" s="197"/>
    </row>
    <row r="689" spans="3:17" x14ac:dyDescent="0.25">
      <c r="C689" s="199"/>
      <c r="D689" s="112"/>
      <c r="E689" s="33"/>
      <c r="F689" s="90"/>
      <c r="H689" s="116"/>
      <c r="I689" s="26"/>
      <c r="J689" s="98"/>
      <c r="K689" s="36"/>
      <c r="L689" s="26"/>
      <c r="M689" s="26"/>
      <c r="N689" s="26"/>
      <c r="O689" s="93"/>
      <c r="P689" s="95"/>
      <c r="Q689" s="197"/>
    </row>
    <row r="690" spans="3:17" x14ac:dyDescent="0.25">
      <c r="C690" s="199"/>
      <c r="D690" s="112"/>
      <c r="E690" s="33"/>
      <c r="F690" s="90"/>
      <c r="H690" s="116"/>
      <c r="I690" s="26"/>
      <c r="J690" s="98"/>
      <c r="K690" s="36"/>
      <c r="L690" s="26"/>
      <c r="M690" s="26"/>
      <c r="N690" s="26"/>
      <c r="O690" s="93"/>
      <c r="P690" s="95"/>
      <c r="Q690" s="197"/>
    </row>
    <row r="691" spans="3:17" x14ac:dyDescent="0.25">
      <c r="C691" s="199"/>
      <c r="D691" s="112"/>
      <c r="E691" s="33"/>
      <c r="F691" s="90"/>
      <c r="H691" s="116"/>
      <c r="I691" s="26"/>
      <c r="J691" s="98"/>
      <c r="K691" s="36"/>
      <c r="L691" s="26"/>
      <c r="M691" s="26"/>
      <c r="N691" s="26"/>
      <c r="O691" s="93"/>
      <c r="P691" s="95"/>
      <c r="Q691" s="197"/>
    </row>
    <row r="692" spans="3:17" x14ac:dyDescent="0.25">
      <c r="C692" s="199"/>
      <c r="D692" s="112"/>
      <c r="E692" s="33"/>
      <c r="F692" s="90"/>
      <c r="H692" s="116"/>
      <c r="I692" s="26"/>
      <c r="J692" s="98"/>
      <c r="K692" s="36"/>
      <c r="L692" s="26"/>
      <c r="M692" s="26"/>
      <c r="N692" s="26"/>
      <c r="O692" s="93"/>
      <c r="P692" s="95"/>
      <c r="Q692" s="197"/>
    </row>
    <row r="693" spans="3:17" x14ac:dyDescent="0.25">
      <c r="C693" s="199"/>
      <c r="D693" s="112"/>
      <c r="E693" s="33"/>
      <c r="F693" s="90"/>
      <c r="H693" s="116"/>
      <c r="I693" s="26"/>
      <c r="J693" s="98"/>
      <c r="K693" s="36"/>
      <c r="L693" s="26"/>
      <c r="M693" s="26"/>
      <c r="N693" s="26"/>
      <c r="O693" s="93"/>
      <c r="P693" s="95"/>
      <c r="Q693" s="197"/>
    </row>
    <row r="694" spans="3:17" x14ac:dyDescent="0.25">
      <c r="C694" s="199"/>
      <c r="D694" s="112"/>
      <c r="E694" s="33"/>
      <c r="F694" s="90"/>
      <c r="H694" s="116"/>
      <c r="I694" s="26"/>
      <c r="J694" s="98"/>
      <c r="K694" s="36"/>
      <c r="L694" s="26"/>
      <c r="M694" s="26"/>
      <c r="N694" s="26"/>
      <c r="O694" s="93"/>
      <c r="P694" s="95"/>
      <c r="Q694" s="197"/>
    </row>
    <row r="695" spans="3:17" x14ac:dyDescent="0.25">
      <c r="C695" s="199"/>
      <c r="D695" s="112"/>
      <c r="E695" s="33"/>
      <c r="F695" s="90"/>
      <c r="H695" s="116"/>
      <c r="I695" s="26"/>
      <c r="J695" s="98"/>
      <c r="K695" s="36"/>
      <c r="L695" s="26"/>
      <c r="M695" s="26"/>
      <c r="N695" s="26"/>
      <c r="O695" s="93"/>
      <c r="P695" s="95"/>
      <c r="Q695" s="197"/>
    </row>
    <row r="696" spans="3:17" x14ac:dyDescent="0.25">
      <c r="C696" s="199"/>
      <c r="D696" s="112"/>
      <c r="E696" s="33"/>
      <c r="F696" s="90"/>
      <c r="H696" s="116"/>
      <c r="I696" s="26"/>
      <c r="J696" s="98"/>
      <c r="K696" s="36"/>
      <c r="L696" s="26"/>
      <c r="M696" s="26"/>
      <c r="N696" s="26"/>
      <c r="O696" s="93"/>
      <c r="P696" s="95"/>
      <c r="Q696" s="197"/>
    </row>
    <row r="697" spans="3:17" x14ac:dyDescent="0.25">
      <c r="C697" s="199"/>
      <c r="D697" s="112"/>
      <c r="E697" s="33"/>
      <c r="F697" s="90"/>
      <c r="H697" s="116"/>
      <c r="I697" s="26"/>
      <c r="J697" s="98"/>
      <c r="K697" s="36"/>
      <c r="L697" s="26"/>
      <c r="M697" s="26"/>
      <c r="N697" s="26"/>
      <c r="O697" s="93"/>
      <c r="P697" s="95"/>
      <c r="Q697" s="197"/>
    </row>
    <row r="698" spans="3:17" x14ac:dyDescent="0.25">
      <c r="C698" s="199"/>
      <c r="D698" s="112"/>
      <c r="E698" s="33"/>
      <c r="F698" s="90"/>
      <c r="H698" s="116"/>
      <c r="I698" s="26"/>
      <c r="J698" s="98"/>
      <c r="K698" s="36"/>
      <c r="L698" s="26"/>
      <c r="M698" s="26"/>
      <c r="N698" s="26"/>
      <c r="O698" s="93"/>
      <c r="P698" s="95"/>
      <c r="Q698" s="197"/>
    </row>
    <row r="699" spans="3:17" x14ac:dyDescent="0.25">
      <c r="C699" s="199"/>
      <c r="D699" s="112"/>
      <c r="E699" s="33"/>
      <c r="F699" s="90"/>
      <c r="H699" s="116"/>
      <c r="I699" s="26"/>
      <c r="J699" s="98"/>
      <c r="K699" s="36"/>
      <c r="L699" s="26"/>
      <c r="M699" s="26"/>
      <c r="N699" s="26"/>
      <c r="O699" s="93"/>
      <c r="P699" s="95"/>
      <c r="Q699" s="197"/>
    </row>
    <row r="700" spans="3:17" x14ac:dyDescent="0.25">
      <c r="C700" s="199"/>
      <c r="D700" s="112"/>
      <c r="E700" s="33"/>
      <c r="F700" s="90"/>
      <c r="H700" s="116"/>
      <c r="I700" s="26"/>
      <c r="J700" s="98"/>
      <c r="K700" s="36"/>
      <c r="L700" s="26"/>
      <c r="M700" s="26"/>
      <c r="N700" s="26"/>
      <c r="O700" s="93"/>
      <c r="P700" s="95"/>
      <c r="Q700" s="197"/>
    </row>
    <row r="701" spans="3:17" x14ac:dyDescent="0.25">
      <c r="C701" s="199"/>
      <c r="D701" s="112"/>
      <c r="E701" s="33"/>
      <c r="F701" s="90"/>
      <c r="H701" s="116"/>
      <c r="I701" s="26"/>
      <c r="J701" s="98"/>
      <c r="K701" s="36"/>
      <c r="L701" s="26"/>
      <c r="M701" s="26"/>
      <c r="N701" s="26"/>
      <c r="O701" s="93"/>
      <c r="P701" s="95"/>
      <c r="Q701" s="197"/>
    </row>
    <row r="702" spans="3:17" x14ac:dyDescent="0.25">
      <c r="C702" s="199"/>
      <c r="D702" s="112"/>
      <c r="E702" s="33"/>
      <c r="F702" s="90"/>
      <c r="H702" s="116"/>
      <c r="I702" s="26"/>
      <c r="J702" s="98"/>
      <c r="K702" s="36"/>
      <c r="L702" s="26"/>
      <c r="M702" s="26"/>
      <c r="N702" s="26"/>
      <c r="O702" s="93"/>
      <c r="P702" s="95"/>
      <c r="Q702" s="197"/>
    </row>
    <row r="703" spans="3:17" x14ac:dyDescent="0.25">
      <c r="C703" s="199"/>
      <c r="D703" s="112"/>
      <c r="E703" s="33"/>
      <c r="F703" s="90"/>
      <c r="H703" s="116"/>
      <c r="I703" s="26"/>
      <c r="J703" s="98"/>
      <c r="K703" s="36"/>
      <c r="L703" s="26"/>
      <c r="M703" s="26"/>
      <c r="N703" s="26"/>
      <c r="O703" s="93"/>
      <c r="P703" s="95"/>
      <c r="Q703" s="197"/>
    </row>
    <row r="704" spans="3:17" x14ac:dyDescent="0.25">
      <c r="C704" s="199"/>
      <c r="D704" s="112"/>
      <c r="E704" s="33"/>
      <c r="F704" s="90"/>
      <c r="H704" s="116"/>
      <c r="I704" s="26"/>
      <c r="J704" s="98"/>
      <c r="K704" s="36"/>
      <c r="L704" s="26"/>
      <c r="M704" s="26"/>
      <c r="N704" s="26"/>
      <c r="O704" s="93"/>
      <c r="P704" s="95"/>
      <c r="Q704" s="197"/>
    </row>
    <row r="705" spans="3:17" x14ac:dyDescent="0.25">
      <c r="C705" s="199"/>
      <c r="D705" s="112"/>
      <c r="E705" s="33"/>
      <c r="F705" s="90"/>
      <c r="H705" s="116"/>
      <c r="I705" s="26"/>
      <c r="J705" s="98"/>
      <c r="K705" s="36"/>
      <c r="L705" s="26"/>
      <c r="M705" s="26"/>
      <c r="N705" s="26"/>
      <c r="O705" s="93"/>
      <c r="P705" s="95"/>
      <c r="Q705" s="197"/>
    </row>
    <row r="706" spans="3:17" x14ac:dyDescent="0.25">
      <c r="C706" s="199"/>
      <c r="D706" s="112"/>
      <c r="E706" s="33"/>
      <c r="F706" s="90"/>
      <c r="H706" s="116"/>
      <c r="I706" s="26"/>
      <c r="J706" s="98"/>
      <c r="K706" s="36"/>
      <c r="L706" s="26"/>
      <c r="M706" s="26"/>
      <c r="N706" s="26"/>
      <c r="O706" s="93"/>
      <c r="P706" s="95"/>
      <c r="Q706" s="197"/>
    </row>
    <row r="707" spans="3:17" x14ac:dyDescent="0.25">
      <c r="C707" s="199"/>
      <c r="D707" s="112"/>
      <c r="E707" s="33"/>
      <c r="F707" s="90"/>
      <c r="H707" s="116"/>
      <c r="I707" s="26"/>
      <c r="J707" s="98"/>
      <c r="K707" s="36"/>
      <c r="L707" s="26"/>
      <c r="M707" s="26"/>
      <c r="N707" s="26"/>
      <c r="O707" s="93"/>
      <c r="P707" s="95"/>
      <c r="Q707" s="197"/>
    </row>
    <row r="708" spans="3:17" x14ac:dyDescent="0.25">
      <c r="C708" s="199"/>
      <c r="D708" s="112"/>
      <c r="E708" s="33"/>
      <c r="F708" s="90"/>
      <c r="H708" s="116"/>
      <c r="I708" s="26"/>
      <c r="J708" s="98"/>
      <c r="K708" s="36"/>
      <c r="L708" s="26"/>
      <c r="M708" s="26"/>
      <c r="N708" s="26"/>
      <c r="O708" s="93"/>
      <c r="P708" s="95"/>
      <c r="Q708" s="197"/>
    </row>
    <row r="709" spans="3:17" x14ac:dyDescent="0.25">
      <c r="C709" s="199"/>
      <c r="D709" s="112"/>
      <c r="E709" s="33"/>
      <c r="F709" s="90"/>
      <c r="H709" s="116"/>
      <c r="I709" s="26"/>
      <c r="J709" s="98"/>
      <c r="K709" s="36"/>
      <c r="L709" s="26"/>
      <c r="M709" s="26"/>
      <c r="N709" s="26"/>
      <c r="O709" s="93"/>
      <c r="P709" s="95"/>
      <c r="Q709" s="197"/>
    </row>
    <row r="710" spans="3:17" x14ac:dyDescent="0.25">
      <c r="C710" s="199"/>
      <c r="D710" s="112"/>
      <c r="E710" s="33"/>
      <c r="F710" s="90"/>
      <c r="H710" s="116"/>
      <c r="I710" s="26"/>
      <c r="J710" s="98"/>
      <c r="K710" s="36"/>
      <c r="L710" s="26"/>
      <c r="M710" s="26"/>
      <c r="N710" s="26"/>
      <c r="O710" s="93"/>
      <c r="P710" s="95"/>
      <c r="Q710" s="197"/>
    </row>
    <row r="711" spans="3:17" x14ac:dyDescent="0.25">
      <c r="C711" s="199"/>
      <c r="D711" s="112"/>
      <c r="E711" s="33"/>
      <c r="F711" s="90"/>
      <c r="H711" s="116"/>
      <c r="I711" s="26"/>
      <c r="J711" s="98"/>
      <c r="K711" s="36"/>
      <c r="L711" s="26"/>
      <c r="M711" s="26"/>
      <c r="N711" s="26"/>
      <c r="O711" s="93"/>
      <c r="P711" s="95"/>
      <c r="Q711" s="197"/>
    </row>
    <row r="712" spans="3:17" x14ac:dyDescent="0.25">
      <c r="C712" s="199"/>
      <c r="D712" s="112"/>
      <c r="E712" s="33"/>
      <c r="F712" s="90"/>
      <c r="H712" s="116"/>
      <c r="I712" s="26"/>
      <c r="J712" s="98"/>
      <c r="K712" s="36"/>
      <c r="L712" s="26"/>
      <c r="M712" s="26"/>
      <c r="N712" s="26"/>
      <c r="O712" s="93"/>
      <c r="P712" s="95"/>
      <c r="Q712" s="197"/>
    </row>
    <row r="713" spans="3:17" x14ac:dyDescent="0.25">
      <c r="C713" s="199"/>
      <c r="D713" s="112"/>
      <c r="E713" s="33"/>
      <c r="F713" s="90"/>
      <c r="H713" s="116"/>
      <c r="I713" s="26"/>
      <c r="J713" s="98"/>
      <c r="K713" s="36"/>
      <c r="L713" s="26"/>
      <c r="M713" s="26"/>
      <c r="N713" s="26"/>
      <c r="O713" s="93"/>
      <c r="P713" s="95"/>
      <c r="Q713" s="197"/>
    </row>
    <row r="714" spans="3:17" x14ac:dyDescent="0.25">
      <c r="C714" s="199"/>
      <c r="D714" s="112"/>
      <c r="E714" s="33"/>
      <c r="F714" s="90"/>
      <c r="H714" s="116"/>
      <c r="I714" s="26"/>
      <c r="J714" s="98"/>
      <c r="K714" s="36"/>
      <c r="L714" s="26"/>
      <c r="M714" s="26"/>
      <c r="N714" s="26"/>
      <c r="O714" s="93"/>
      <c r="P714" s="95"/>
      <c r="Q714" s="197"/>
    </row>
    <row r="715" spans="3:17" x14ac:dyDescent="0.25">
      <c r="C715" s="199"/>
      <c r="D715" s="112"/>
      <c r="E715" s="33"/>
      <c r="F715" s="90"/>
      <c r="H715" s="116"/>
      <c r="I715" s="26"/>
      <c r="J715" s="98"/>
      <c r="K715" s="36"/>
      <c r="L715" s="26"/>
      <c r="M715" s="26"/>
      <c r="N715" s="26"/>
      <c r="O715" s="93"/>
      <c r="P715" s="95"/>
      <c r="Q715" s="197"/>
    </row>
    <row r="716" spans="3:17" x14ac:dyDescent="0.25">
      <c r="C716" s="199"/>
      <c r="D716" s="112"/>
      <c r="E716" s="33"/>
      <c r="F716" s="90"/>
      <c r="H716" s="116"/>
      <c r="I716" s="26"/>
      <c r="J716" s="98"/>
      <c r="K716" s="36"/>
      <c r="L716" s="26"/>
      <c r="M716" s="26"/>
      <c r="N716" s="26"/>
      <c r="O716" s="93"/>
      <c r="P716" s="95"/>
      <c r="Q716" s="197"/>
    </row>
    <row r="717" spans="3:17" x14ac:dyDescent="0.25">
      <c r="C717" s="199"/>
      <c r="D717" s="112"/>
      <c r="E717" s="33"/>
      <c r="F717" s="90"/>
      <c r="H717" s="116"/>
      <c r="I717" s="26"/>
      <c r="J717" s="98"/>
      <c r="K717" s="36"/>
      <c r="L717" s="26"/>
      <c r="M717" s="26"/>
      <c r="N717" s="26"/>
      <c r="O717" s="93"/>
      <c r="P717" s="95"/>
      <c r="Q717" s="197"/>
    </row>
    <row r="718" spans="3:17" x14ac:dyDescent="0.25">
      <c r="C718" s="199"/>
      <c r="D718" s="112"/>
      <c r="E718" s="33"/>
      <c r="F718" s="90"/>
      <c r="H718" s="116"/>
      <c r="I718" s="26"/>
      <c r="J718" s="98"/>
      <c r="K718" s="36"/>
      <c r="L718" s="26"/>
      <c r="M718" s="26"/>
      <c r="N718" s="26"/>
      <c r="O718" s="93"/>
      <c r="P718" s="95"/>
      <c r="Q718" s="197"/>
    </row>
    <row r="719" spans="3:17" x14ac:dyDescent="0.25">
      <c r="C719" s="199"/>
      <c r="D719" s="112"/>
      <c r="E719" s="33"/>
      <c r="F719" s="90"/>
      <c r="H719" s="116"/>
      <c r="I719" s="26"/>
      <c r="J719" s="98"/>
      <c r="K719" s="36"/>
      <c r="L719" s="26"/>
      <c r="M719" s="26"/>
      <c r="N719" s="26"/>
      <c r="O719" s="93"/>
      <c r="P719" s="95"/>
      <c r="Q719" s="197"/>
    </row>
    <row r="720" spans="3:17" x14ac:dyDescent="0.25">
      <c r="C720" s="199"/>
      <c r="D720" s="112"/>
      <c r="E720" s="33"/>
      <c r="F720" s="90"/>
      <c r="H720" s="116"/>
      <c r="I720" s="26"/>
      <c r="J720" s="98"/>
      <c r="K720" s="36"/>
      <c r="L720" s="26"/>
      <c r="M720" s="26"/>
      <c r="N720" s="26"/>
      <c r="O720" s="93"/>
      <c r="P720" s="95"/>
      <c r="Q720" s="197"/>
    </row>
    <row r="721" spans="3:17" x14ac:dyDescent="0.25">
      <c r="C721" s="199"/>
      <c r="D721" s="112"/>
      <c r="E721" s="33"/>
      <c r="F721" s="90"/>
      <c r="H721" s="116"/>
      <c r="I721" s="26"/>
      <c r="J721" s="98"/>
      <c r="K721" s="36"/>
      <c r="L721" s="26"/>
      <c r="M721" s="26"/>
      <c r="N721" s="26"/>
      <c r="O721" s="93"/>
      <c r="P721" s="95"/>
      <c r="Q721" s="197"/>
    </row>
    <row r="722" spans="3:17" x14ac:dyDescent="0.25">
      <c r="C722" s="199"/>
      <c r="D722" s="112"/>
      <c r="E722" s="33"/>
      <c r="F722" s="90"/>
      <c r="H722" s="116"/>
      <c r="I722" s="26"/>
      <c r="J722" s="98"/>
      <c r="K722" s="36"/>
      <c r="L722" s="26"/>
      <c r="M722" s="26"/>
      <c r="N722" s="26"/>
      <c r="O722" s="93"/>
      <c r="P722" s="95"/>
      <c r="Q722" s="197"/>
    </row>
    <row r="723" spans="3:17" x14ac:dyDescent="0.25">
      <c r="C723" s="199"/>
      <c r="D723" s="112"/>
      <c r="E723" s="33"/>
      <c r="F723" s="90"/>
      <c r="H723" s="116"/>
      <c r="I723" s="26"/>
      <c r="J723" s="98"/>
      <c r="K723" s="36"/>
      <c r="L723" s="26"/>
      <c r="M723" s="26"/>
      <c r="N723" s="26"/>
      <c r="O723" s="93"/>
      <c r="P723" s="95"/>
      <c r="Q723" s="197"/>
    </row>
    <row r="724" spans="3:17" x14ac:dyDescent="0.25">
      <c r="C724" s="199"/>
      <c r="D724" s="112"/>
      <c r="E724" s="33"/>
      <c r="F724" s="90"/>
      <c r="H724" s="116"/>
      <c r="I724" s="26"/>
      <c r="J724" s="98"/>
      <c r="K724" s="36"/>
      <c r="L724" s="26"/>
      <c r="M724" s="26"/>
      <c r="N724" s="26"/>
      <c r="O724" s="93"/>
      <c r="P724" s="95"/>
      <c r="Q724" s="197"/>
    </row>
    <row r="725" spans="3:17" x14ac:dyDescent="0.25">
      <c r="C725" s="199"/>
      <c r="D725" s="112"/>
      <c r="E725" s="33"/>
      <c r="F725" s="90"/>
      <c r="H725" s="116"/>
      <c r="I725" s="26"/>
      <c r="J725" s="98"/>
      <c r="K725" s="36"/>
      <c r="L725" s="26"/>
      <c r="M725" s="26"/>
      <c r="N725" s="26"/>
      <c r="O725" s="93"/>
      <c r="P725" s="95"/>
      <c r="Q725" s="197"/>
    </row>
    <row r="726" spans="3:17" x14ac:dyDescent="0.25">
      <c r="C726" s="199"/>
      <c r="D726" s="112"/>
      <c r="E726" s="33"/>
      <c r="F726" s="90"/>
      <c r="H726" s="116"/>
      <c r="I726" s="26"/>
      <c r="J726" s="98"/>
      <c r="K726" s="36"/>
      <c r="L726" s="26"/>
      <c r="M726" s="26"/>
      <c r="N726" s="26"/>
      <c r="O726" s="93"/>
      <c r="P726" s="95"/>
      <c r="Q726" s="197"/>
    </row>
    <row r="727" spans="3:17" x14ac:dyDescent="0.25">
      <c r="C727" s="199"/>
      <c r="D727" s="112"/>
      <c r="E727" s="33"/>
      <c r="F727" s="90"/>
      <c r="H727" s="116"/>
      <c r="I727" s="26"/>
      <c r="J727" s="98"/>
      <c r="K727" s="36"/>
      <c r="L727" s="26"/>
      <c r="M727" s="26"/>
      <c r="N727" s="26"/>
      <c r="O727" s="93"/>
      <c r="P727" s="95"/>
      <c r="Q727" s="197"/>
    </row>
    <row r="728" spans="3:17" x14ac:dyDescent="0.25">
      <c r="C728" s="199"/>
      <c r="D728" s="112"/>
      <c r="E728" s="33"/>
      <c r="F728" s="90"/>
      <c r="H728" s="116"/>
      <c r="I728" s="26"/>
      <c r="J728" s="98"/>
      <c r="K728" s="36"/>
      <c r="L728" s="26"/>
      <c r="M728" s="26"/>
      <c r="N728" s="26"/>
      <c r="O728" s="93"/>
      <c r="P728" s="95"/>
      <c r="Q728" s="197"/>
    </row>
    <row r="729" spans="3:17" x14ac:dyDescent="0.25">
      <c r="C729" s="199"/>
      <c r="D729" s="112"/>
      <c r="E729" s="33"/>
      <c r="F729" s="90"/>
      <c r="H729" s="116"/>
      <c r="I729" s="26"/>
      <c r="J729" s="98"/>
      <c r="K729" s="36"/>
      <c r="L729" s="26"/>
      <c r="M729" s="26"/>
      <c r="N729" s="26"/>
      <c r="O729" s="93"/>
      <c r="P729" s="95"/>
      <c r="Q729" s="197"/>
    </row>
    <row r="730" spans="3:17" x14ac:dyDescent="0.25">
      <c r="C730" s="199"/>
      <c r="D730" s="112"/>
      <c r="E730" s="33"/>
      <c r="F730" s="90"/>
      <c r="H730" s="116"/>
      <c r="I730" s="26"/>
      <c r="J730" s="98"/>
      <c r="K730" s="36"/>
      <c r="L730" s="26"/>
      <c r="M730" s="26"/>
      <c r="N730" s="26"/>
      <c r="O730" s="93"/>
      <c r="P730" s="95"/>
      <c r="Q730" s="197"/>
    </row>
    <row r="731" spans="3:17" x14ac:dyDescent="0.25">
      <c r="C731" s="199"/>
      <c r="D731" s="112"/>
      <c r="E731" s="33"/>
      <c r="F731" s="90"/>
      <c r="H731" s="116"/>
      <c r="I731" s="26"/>
      <c r="J731" s="98"/>
      <c r="K731" s="36"/>
      <c r="L731" s="26"/>
      <c r="M731" s="26"/>
      <c r="N731" s="26"/>
      <c r="O731" s="93"/>
      <c r="P731" s="95"/>
      <c r="Q731" s="197"/>
    </row>
    <row r="732" spans="3:17" x14ac:dyDescent="0.25">
      <c r="C732" s="199"/>
      <c r="D732" s="112"/>
      <c r="E732" s="33"/>
      <c r="F732" s="90"/>
      <c r="H732" s="116"/>
      <c r="I732" s="26"/>
      <c r="J732" s="98"/>
      <c r="K732" s="36"/>
      <c r="L732" s="26"/>
      <c r="M732" s="26"/>
      <c r="N732" s="26"/>
      <c r="O732" s="93"/>
      <c r="P732" s="95"/>
      <c r="Q732" s="197"/>
    </row>
    <row r="733" spans="3:17" x14ac:dyDescent="0.25">
      <c r="C733" s="199"/>
      <c r="D733" s="112"/>
      <c r="E733" s="33"/>
      <c r="F733" s="90"/>
      <c r="H733" s="116"/>
      <c r="I733" s="26"/>
      <c r="J733" s="98"/>
      <c r="K733" s="36"/>
      <c r="L733" s="26"/>
      <c r="M733" s="26"/>
      <c r="N733" s="26"/>
      <c r="O733" s="93"/>
      <c r="P733" s="95"/>
      <c r="Q733" s="197"/>
    </row>
    <row r="734" spans="3:17" x14ac:dyDescent="0.25">
      <c r="C734" s="199"/>
      <c r="D734" s="112"/>
      <c r="E734" s="33"/>
      <c r="F734" s="90"/>
      <c r="H734" s="116"/>
      <c r="I734" s="26"/>
      <c r="J734" s="98"/>
      <c r="K734" s="36"/>
      <c r="L734" s="26"/>
      <c r="M734" s="26"/>
      <c r="N734" s="26"/>
      <c r="O734" s="93"/>
      <c r="P734" s="95"/>
      <c r="Q734" s="197"/>
    </row>
    <row r="735" spans="3:17" x14ac:dyDescent="0.25">
      <c r="C735" s="199"/>
      <c r="D735" s="112"/>
      <c r="E735" s="33"/>
      <c r="F735" s="90"/>
      <c r="H735" s="116"/>
      <c r="I735" s="26"/>
      <c r="J735" s="98"/>
      <c r="K735" s="36"/>
      <c r="L735" s="26"/>
      <c r="M735" s="26"/>
      <c r="N735" s="26"/>
      <c r="O735" s="93"/>
      <c r="P735" s="95"/>
      <c r="Q735" s="197"/>
    </row>
    <row r="736" spans="3:17" x14ac:dyDescent="0.25">
      <c r="C736" s="199"/>
      <c r="D736" s="112"/>
      <c r="E736" s="33"/>
      <c r="F736" s="90"/>
      <c r="H736" s="116"/>
      <c r="I736" s="26"/>
      <c r="J736" s="98"/>
      <c r="K736" s="36"/>
      <c r="L736" s="26"/>
      <c r="M736" s="26"/>
      <c r="N736" s="26"/>
      <c r="O736" s="93"/>
      <c r="P736" s="95"/>
      <c r="Q736" s="197"/>
    </row>
    <row r="737" spans="3:17" x14ac:dyDescent="0.25">
      <c r="C737" s="199"/>
      <c r="D737" s="112"/>
      <c r="E737" s="33"/>
      <c r="F737" s="90"/>
      <c r="H737" s="116"/>
      <c r="I737" s="26"/>
      <c r="J737" s="98"/>
      <c r="K737" s="36"/>
      <c r="L737" s="26"/>
      <c r="M737" s="26"/>
      <c r="N737" s="26"/>
      <c r="O737" s="93"/>
      <c r="P737" s="95"/>
      <c r="Q737" s="197"/>
    </row>
    <row r="738" spans="3:17" x14ac:dyDescent="0.25">
      <c r="C738" s="199"/>
      <c r="D738" s="112"/>
      <c r="E738" s="33"/>
      <c r="F738" s="90"/>
      <c r="H738" s="116"/>
      <c r="I738" s="26"/>
      <c r="J738" s="98"/>
      <c r="K738" s="36"/>
      <c r="L738" s="26"/>
      <c r="M738" s="26"/>
      <c r="N738" s="26"/>
      <c r="O738" s="93"/>
      <c r="P738" s="95"/>
      <c r="Q738" s="197"/>
    </row>
    <row r="739" spans="3:17" x14ac:dyDescent="0.25">
      <c r="C739" s="199"/>
      <c r="D739" s="112"/>
      <c r="E739" s="33"/>
      <c r="F739" s="90"/>
      <c r="H739" s="116"/>
      <c r="I739" s="26"/>
      <c r="J739" s="98"/>
      <c r="K739" s="36"/>
      <c r="L739" s="26"/>
      <c r="M739" s="26"/>
      <c r="N739" s="26"/>
      <c r="O739" s="93"/>
      <c r="P739" s="95"/>
      <c r="Q739" s="197"/>
    </row>
    <row r="740" spans="3:17" x14ac:dyDescent="0.25">
      <c r="C740" s="199"/>
      <c r="D740" s="112"/>
      <c r="E740" s="33"/>
      <c r="F740" s="90"/>
      <c r="H740" s="116"/>
      <c r="I740" s="26"/>
      <c r="J740" s="98"/>
      <c r="K740" s="36"/>
      <c r="L740" s="26"/>
      <c r="M740" s="26"/>
      <c r="N740" s="26"/>
      <c r="O740" s="93"/>
      <c r="P740" s="95"/>
      <c r="Q740" s="197"/>
    </row>
    <row r="741" spans="3:17" x14ac:dyDescent="0.25">
      <c r="C741" s="199"/>
      <c r="D741" s="112"/>
      <c r="E741" s="33"/>
      <c r="F741" s="90"/>
      <c r="H741" s="116"/>
      <c r="I741" s="26"/>
      <c r="J741" s="98"/>
      <c r="K741" s="36"/>
      <c r="L741" s="26"/>
      <c r="M741" s="26"/>
      <c r="N741" s="26"/>
      <c r="O741" s="93"/>
      <c r="P741" s="95"/>
      <c r="Q741" s="197"/>
    </row>
    <row r="742" spans="3:17" x14ac:dyDescent="0.25">
      <c r="C742" s="199"/>
      <c r="D742" s="112"/>
      <c r="E742" s="33"/>
      <c r="F742" s="90"/>
      <c r="H742" s="116"/>
      <c r="I742" s="26"/>
      <c r="J742" s="98"/>
      <c r="K742" s="36"/>
      <c r="L742" s="26"/>
      <c r="M742" s="26"/>
      <c r="N742" s="26"/>
      <c r="O742" s="93"/>
      <c r="P742" s="95"/>
      <c r="Q742" s="197"/>
    </row>
    <row r="743" spans="3:17" x14ac:dyDescent="0.25">
      <c r="C743" s="199"/>
      <c r="D743" s="112"/>
      <c r="E743" s="33"/>
      <c r="F743" s="90"/>
      <c r="H743" s="116"/>
      <c r="I743" s="26"/>
      <c r="J743" s="98"/>
      <c r="K743" s="36"/>
      <c r="L743" s="26"/>
      <c r="M743" s="26"/>
      <c r="N743" s="26"/>
      <c r="O743" s="93"/>
      <c r="P743" s="95"/>
      <c r="Q743" s="197"/>
    </row>
    <row r="744" spans="3:17" x14ac:dyDescent="0.25">
      <c r="C744" s="199"/>
      <c r="D744" s="112"/>
      <c r="E744" s="33"/>
      <c r="F744" s="90"/>
      <c r="H744" s="116"/>
      <c r="I744" s="26"/>
      <c r="J744" s="98"/>
      <c r="K744" s="36"/>
      <c r="L744" s="26"/>
      <c r="M744" s="26"/>
      <c r="N744" s="26"/>
      <c r="O744" s="93"/>
      <c r="P744" s="95"/>
      <c r="Q744" s="197"/>
    </row>
    <row r="745" spans="3:17" x14ac:dyDescent="0.25">
      <c r="C745" s="199"/>
      <c r="D745" s="112"/>
      <c r="E745" s="33"/>
      <c r="F745" s="90"/>
      <c r="H745" s="116"/>
      <c r="I745" s="26"/>
      <c r="J745" s="98"/>
      <c r="K745" s="36"/>
      <c r="L745" s="26"/>
      <c r="M745" s="26"/>
      <c r="N745" s="26"/>
      <c r="O745" s="93"/>
      <c r="P745" s="95"/>
      <c r="Q745" s="197"/>
    </row>
    <row r="746" spans="3:17" x14ac:dyDescent="0.25">
      <c r="C746" s="199"/>
      <c r="D746" s="112"/>
      <c r="E746" s="33"/>
      <c r="F746" s="90"/>
      <c r="H746" s="116"/>
      <c r="I746" s="26"/>
      <c r="J746" s="98"/>
      <c r="K746" s="36"/>
      <c r="L746" s="26"/>
      <c r="M746" s="26"/>
      <c r="N746" s="26"/>
      <c r="O746" s="93"/>
      <c r="P746" s="95"/>
      <c r="Q746" s="197"/>
    </row>
    <row r="747" spans="3:17" x14ac:dyDescent="0.25">
      <c r="C747" s="199"/>
      <c r="D747" s="112"/>
      <c r="E747" s="33"/>
      <c r="F747" s="90"/>
      <c r="H747" s="116"/>
      <c r="I747" s="26"/>
      <c r="J747" s="98"/>
      <c r="K747" s="36"/>
      <c r="L747" s="26"/>
      <c r="M747" s="26"/>
      <c r="N747" s="26"/>
      <c r="O747" s="93"/>
      <c r="P747" s="95"/>
      <c r="Q747" s="197"/>
    </row>
    <row r="748" spans="3:17" x14ac:dyDescent="0.25">
      <c r="C748" s="199"/>
      <c r="D748" s="112"/>
      <c r="E748" s="33"/>
      <c r="F748" s="90"/>
      <c r="H748" s="116"/>
      <c r="I748" s="26"/>
      <c r="J748" s="98"/>
      <c r="K748" s="36"/>
      <c r="L748" s="26"/>
      <c r="M748" s="26"/>
      <c r="N748" s="26"/>
      <c r="O748" s="93"/>
      <c r="P748" s="95"/>
      <c r="Q748" s="197"/>
    </row>
    <row r="749" spans="3:17" x14ac:dyDescent="0.25">
      <c r="C749" s="199"/>
      <c r="D749" s="112"/>
      <c r="E749" s="33"/>
      <c r="F749" s="90"/>
      <c r="H749" s="116"/>
      <c r="I749" s="26"/>
      <c r="J749" s="98"/>
      <c r="K749" s="36"/>
      <c r="L749" s="26"/>
      <c r="M749" s="26"/>
      <c r="N749" s="26"/>
      <c r="O749" s="93"/>
      <c r="P749" s="95"/>
      <c r="Q749" s="197"/>
    </row>
    <row r="750" spans="3:17" x14ac:dyDescent="0.25">
      <c r="C750" s="199"/>
      <c r="D750" s="112"/>
      <c r="E750" s="33"/>
      <c r="F750" s="90"/>
      <c r="H750" s="116"/>
      <c r="I750" s="26"/>
      <c r="J750" s="98"/>
      <c r="K750" s="36"/>
      <c r="L750" s="26"/>
      <c r="M750" s="26"/>
      <c r="N750" s="26"/>
      <c r="O750" s="93"/>
      <c r="P750" s="95"/>
      <c r="Q750" s="197"/>
    </row>
    <row r="751" spans="3:17" x14ac:dyDescent="0.25">
      <c r="C751" s="199"/>
      <c r="D751" s="112"/>
      <c r="E751" s="33"/>
      <c r="F751" s="90"/>
      <c r="H751" s="116"/>
      <c r="I751" s="26"/>
      <c r="J751" s="98"/>
      <c r="K751" s="36"/>
      <c r="L751" s="26"/>
      <c r="M751" s="26"/>
      <c r="N751" s="26"/>
      <c r="O751" s="93"/>
      <c r="P751" s="95"/>
      <c r="Q751" s="197"/>
    </row>
    <row r="752" spans="3:17" x14ac:dyDescent="0.25">
      <c r="C752" s="199"/>
      <c r="D752" s="112"/>
      <c r="E752" s="33"/>
      <c r="F752" s="90"/>
      <c r="H752" s="116"/>
      <c r="I752" s="26"/>
      <c r="J752" s="98"/>
      <c r="K752" s="36"/>
      <c r="L752" s="26"/>
      <c r="M752" s="26"/>
      <c r="N752" s="26"/>
      <c r="O752" s="93"/>
      <c r="P752" s="95"/>
      <c r="Q752" s="197"/>
    </row>
    <row r="753" spans="3:17" x14ac:dyDescent="0.25">
      <c r="C753" s="199"/>
      <c r="D753" s="112"/>
      <c r="E753" s="33"/>
      <c r="F753" s="90"/>
      <c r="H753" s="116"/>
      <c r="I753" s="26"/>
      <c r="J753" s="98"/>
      <c r="K753" s="36"/>
      <c r="L753" s="26"/>
      <c r="M753" s="26"/>
      <c r="N753" s="26"/>
      <c r="O753" s="93"/>
      <c r="P753" s="95"/>
      <c r="Q753" s="197"/>
    </row>
    <row r="754" spans="3:17" x14ac:dyDescent="0.25">
      <c r="C754" s="199"/>
      <c r="D754" s="112"/>
      <c r="E754" s="33"/>
      <c r="F754" s="90"/>
      <c r="H754" s="116"/>
      <c r="I754" s="26"/>
      <c r="J754" s="98"/>
      <c r="K754" s="36"/>
      <c r="L754" s="26"/>
      <c r="M754" s="26"/>
      <c r="N754" s="26"/>
      <c r="O754" s="93"/>
      <c r="P754" s="95"/>
      <c r="Q754" s="197"/>
    </row>
    <row r="755" spans="3:17" x14ac:dyDescent="0.25">
      <c r="C755" s="199"/>
      <c r="D755" s="112"/>
      <c r="E755" s="33"/>
      <c r="F755" s="90"/>
      <c r="H755" s="116"/>
      <c r="I755" s="26"/>
      <c r="J755" s="98"/>
      <c r="K755" s="36"/>
      <c r="L755" s="26"/>
      <c r="M755" s="26"/>
      <c r="N755" s="26"/>
      <c r="O755" s="93"/>
      <c r="P755" s="95"/>
      <c r="Q755" s="197"/>
    </row>
    <row r="756" spans="3:17" x14ac:dyDescent="0.25">
      <c r="C756" s="199"/>
      <c r="D756" s="112"/>
      <c r="E756" s="33"/>
      <c r="F756" s="90"/>
      <c r="H756" s="116"/>
      <c r="I756" s="26"/>
      <c r="J756" s="98"/>
      <c r="K756" s="36"/>
      <c r="L756" s="26"/>
      <c r="M756" s="26"/>
      <c r="N756" s="26"/>
      <c r="O756" s="93"/>
      <c r="P756" s="95"/>
      <c r="Q756" s="197"/>
    </row>
    <row r="757" spans="3:17" x14ac:dyDescent="0.25">
      <c r="C757" s="199"/>
      <c r="D757" s="112"/>
      <c r="E757" s="33"/>
      <c r="F757" s="90"/>
      <c r="H757" s="116"/>
      <c r="I757" s="26"/>
      <c r="J757" s="98"/>
      <c r="K757" s="36"/>
      <c r="L757" s="26"/>
      <c r="M757" s="26"/>
      <c r="N757" s="26"/>
      <c r="O757" s="93"/>
      <c r="P757" s="95"/>
      <c r="Q757" s="197"/>
    </row>
    <row r="758" spans="3:17" x14ac:dyDescent="0.25">
      <c r="C758" s="199"/>
      <c r="D758" s="112"/>
      <c r="E758" s="33"/>
      <c r="F758" s="90"/>
      <c r="H758" s="116"/>
      <c r="I758" s="26"/>
      <c r="J758" s="98"/>
      <c r="K758" s="36"/>
      <c r="L758" s="26"/>
      <c r="M758" s="26"/>
      <c r="N758" s="26"/>
      <c r="O758" s="93"/>
      <c r="P758" s="95"/>
      <c r="Q758" s="197"/>
    </row>
    <row r="759" spans="3:17" x14ac:dyDescent="0.25">
      <c r="C759" s="199"/>
      <c r="D759" s="112"/>
      <c r="E759" s="33"/>
      <c r="F759" s="90"/>
      <c r="H759" s="116"/>
      <c r="I759" s="26"/>
      <c r="J759" s="98"/>
      <c r="K759" s="36"/>
      <c r="L759" s="26"/>
      <c r="M759" s="26"/>
      <c r="N759" s="26"/>
      <c r="O759" s="93"/>
      <c r="P759" s="95"/>
      <c r="Q759" s="197"/>
    </row>
    <row r="760" spans="3:17" x14ac:dyDescent="0.25">
      <c r="C760" s="199"/>
      <c r="D760" s="112"/>
      <c r="E760" s="33"/>
      <c r="F760" s="90"/>
      <c r="H760" s="116"/>
      <c r="I760" s="26"/>
      <c r="J760" s="98"/>
      <c r="K760" s="36"/>
      <c r="L760" s="26"/>
      <c r="M760" s="26"/>
      <c r="N760" s="26"/>
      <c r="O760" s="93"/>
      <c r="P760" s="95"/>
      <c r="Q760" s="197"/>
    </row>
    <row r="761" spans="3:17" x14ac:dyDescent="0.25">
      <c r="C761" s="199"/>
      <c r="D761" s="112"/>
      <c r="E761" s="33"/>
      <c r="F761" s="90"/>
      <c r="H761" s="116"/>
      <c r="I761" s="26"/>
      <c r="J761" s="98"/>
      <c r="K761" s="36"/>
      <c r="L761" s="26"/>
      <c r="M761" s="26"/>
      <c r="N761" s="26"/>
      <c r="O761" s="93"/>
      <c r="P761" s="95"/>
      <c r="Q761" s="197"/>
    </row>
    <row r="762" spans="3:17" x14ac:dyDescent="0.25">
      <c r="C762" s="199"/>
      <c r="D762" s="112"/>
      <c r="E762" s="33"/>
      <c r="F762" s="90"/>
      <c r="H762" s="116"/>
      <c r="I762" s="26"/>
      <c r="J762" s="98"/>
      <c r="K762" s="36"/>
      <c r="L762" s="26"/>
      <c r="M762" s="26"/>
      <c r="N762" s="26"/>
      <c r="O762" s="93"/>
      <c r="P762" s="95"/>
      <c r="Q762" s="197"/>
    </row>
    <row r="763" spans="3:17" x14ac:dyDescent="0.25">
      <c r="C763" s="199"/>
      <c r="D763" s="112"/>
      <c r="E763" s="33"/>
      <c r="F763" s="90"/>
      <c r="H763" s="116"/>
      <c r="I763" s="26"/>
      <c r="J763" s="98"/>
      <c r="K763" s="36"/>
      <c r="L763" s="26"/>
      <c r="M763" s="26"/>
      <c r="N763" s="26"/>
      <c r="O763" s="93"/>
      <c r="P763" s="95"/>
      <c r="Q763" s="197"/>
    </row>
    <row r="764" spans="3:17" x14ac:dyDescent="0.25">
      <c r="C764" s="199"/>
      <c r="D764" s="112"/>
      <c r="E764" s="33"/>
      <c r="F764" s="90"/>
      <c r="H764" s="116"/>
      <c r="I764" s="26"/>
      <c r="J764" s="98"/>
      <c r="K764" s="36"/>
      <c r="L764" s="26"/>
      <c r="M764" s="26"/>
      <c r="N764" s="26"/>
      <c r="O764" s="93"/>
      <c r="P764" s="95"/>
      <c r="Q764" s="197"/>
    </row>
    <row r="765" spans="3:17" x14ac:dyDescent="0.25">
      <c r="C765" s="199"/>
      <c r="D765" s="112"/>
      <c r="E765" s="33"/>
      <c r="F765" s="90"/>
      <c r="H765" s="116"/>
      <c r="I765" s="26"/>
      <c r="J765" s="98"/>
      <c r="K765" s="36"/>
      <c r="L765" s="26"/>
      <c r="M765" s="26"/>
      <c r="N765" s="26"/>
      <c r="O765" s="93"/>
      <c r="P765" s="95"/>
      <c r="Q765" s="197"/>
    </row>
    <row r="766" spans="3:17" x14ac:dyDescent="0.25">
      <c r="C766" s="199"/>
      <c r="D766" s="112"/>
      <c r="E766" s="33"/>
      <c r="F766" s="90"/>
      <c r="H766" s="116"/>
      <c r="I766" s="26"/>
      <c r="J766" s="98"/>
      <c r="K766" s="36"/>
      <c r="L766" s="26"/>
      <c r="M766" s="26"/>
      <c r="N766" s="26"/>
      <c r="O766" s="93"/>
      <c r="P766" s="95"/>
      <c r="Q766" s="197"/>
    </row>
    <row r="767" spans="3:17" x14ac:dyDescent="0.25">
      <c r="C767" s="199"/>
      <c r="D767" s="112"/>
      <c r="E767" s="33"/>
      <c r="F767" s="90"/>
      <c r="H767" s="116"/>
      <c r="I767" s="26"/>
      <c r="J767" s="98"/>
      <c r="K767" s="36"/>
      <c r="L767" s="26"/>
      <c r="M767" s="26"/>
      <c r="N767" s="26"/>
      <c r="O767" s="93"/>
      <c r="P767" s="95"/>
      <c r="Q767" s="197"/>
    </row>
    <row r="768" spans="3:17" x14ac:dyDescent="0.25">
      <c r="C768" s="199"/>
      <c r="D768" s="112"/>
      <c r="E768" s="33"/>
      <c r="F768" s="90"/>
      <c r="H768" s="116"/>
      <c r="I768" s="26"/>
      <c r="J768" s="98"/>
      <c r="K768" s="36"/>
      <c r="L768" s="26"/>
      <c r="M768" s="26"/>
      <c r="N768" s="26"/>
      <c r="O768" s="93"/>
      <c r="P768" s="95"/>
      <c r="Q768" s="197"/>
    </row>
    <row r="769" spans="3:17" x14ac:dyDescent="0.25">
      <c r="C769" s="199"/>
      <c r="D769" s="112"/>
      <c r="E769" s="33"/>
      <c r="F769" s="90"/>
      <c r="H769" s="116"/>
      <c r="I769" s="26"/>
      <c r="J769" s="98"/>
      <c r="K769" s="36"/>
      <c r="L769" s="26"/>
      <c r="M769" s="26"/>
      <c r="N769" s="26"/>
      <c r="O769" s="93"/>
      <c r="P769" s="95"/>
      <c r="Q769" s="197"/>
    </row>
    <row r="770" spans="3:17" x14ac:dyDescent="0.25">
      <c r="C770" s="199"/>
      <c r="D770" s="112"/>
      <c r="E770" s="33"/>
      <c r="F770" s="90"/>
      <c r="H770" s="116"/>
      <c r="I770" s="26"/>
      <c r="J770" s="98"/>
      <c r="K770" s="36"/>
      <c r="L770" s="26"/>
      <c r="M770" s="26"/>
      <c r="N770" s="26"/>
      <c r="O770" s="93"/>
      <c r="P770" s="95"/>
      <c r="Q770" s="197"/>
    </row>
    <row r="771" spans="3:17" x14ac:dyDescent="0.25">
      <c r="C771" s="199"/>
      <c r="D771" s="112"/>
      <c r="E771" s="33"/>
      <c r="F771" s="90"/>
      <c r="H771" s="116"/>
      <c r="I771" s="26"/>
      <c r="J771" s="98"/>
      <c r="K771" s="36"/>
      <c r="L771" s="26"/>
      <c r="M771" s="26"/>
      <c r="N771" s="26"/>
      <c r="O771" s="93"/>
      <c r="P771" s="95"/>
      <c r="Q771" s="197"/>
    </row>
    <row r="772" spans="3:17" x14ac:dyDescent="0.25">
      <c r="C772" s="199"/>
      <c r="D772" s="112"/>
      <c r="E772" s="33"/>
      <c r="F772" s="90"/>
      <c r="H772" s="116"/>
      <c r="I772" s="26"/>
      <c r="J772" s="98"/>
      <c r="K772" s="36"/>
      <c r="L772" s="26"/>
      <c r="M772" s="26"/>
      <c r="N772" s="26"/>
      <c r="O772" s="93"/>
      <c r="P772" s="95"/>
      <c r="Q772" s="197"/>
    </row>
    <row r="773" spans="3:17" x14ac:dyDescent="0.25">
      <c r="C773" s="199"/>
      <c r="D773" s="112"/>
      <c r="E773" s="33"/>
      <c r="F773" s="90"/>
      <c r="H773" s="116"/>
      <c r="I773" s="26"/>
      <c r="J773" s="98"/>
      <c r="K773" s="36"/>
      <c r="L773" s="26"/>
      <c r="M773" s="26"/>
      <c r="N773" s="26"/>
      <c r="O773" s="93"/>
      <c r="P773" s="95"/>
      <c r="Q773" s="197"/>
    </row>
    <row r="774" spans="3:17" x14ac:dyDescent="0.25">
      <c r="C774" s="199"/>
      <c r="D774" s="112"/>
      <c r="E774" s="33"/>
      <c r="F774" s="90"/>
      <c r="H774" s="116"/>
      <c r="I774" s="26"/>
      <c r="J774" s="98"/>
      <c r="K774" s="36"/>
      <c r="L774" s="26"/>
      <c r="M774" s="26"/>
      <c r="N774" s="26"/>
      <c r="O774" s="93"/>
      <c r="P774" s="95"/>
      <c r="Q774" s="197"/>
    </row>
    <row r="775" spans="3:17" x14ac:dyDescent="0.25">
      <c r="C775" s="199"/>
      <c r="D775" s="112"/>
      <c r="E775" s="33"/>
      <c r="F775" s="90"/>
      <c r="H775" s="116"/>
      <c r="I775" s="26"/>
      <c r="J775" s="98"/>
      <c r="K775" s="36"/>
      <c r="L775" s="26"/>
      <c r="M775" s="26"/>
      <c r="N775" s="26"/>
      <c r="O775" s="93"/>
      <c r="P775" s="95"/>
      <c r="Q775" s="197"/>
    </row>
    <row r="776" spans="3:17" x14ac:dyDescent="0.25">
      <c r="C776" s="199"/>
      <c r="D776" s="112"/>
      <c r="E776" s="33"/>
      <c r="F776" s="90"/>
      <c r="H776" s="116"/>
      <c r="I776" s="26"/>
      <c r="J776" s="98"/>
      <c r="K776" s="36"/>
      <c r="L776" s="26"/>
      <c r="M776" s="26"/>
      <c r="N776" s="26"/>
      <c r="O776" s="93"/>
      <c r="P776" s="95"/>
      <c r="Q776" s="197"/>
    </row>
    <row r="777" spans="3:17" x14ac:dyDescent="0.25">
      <c r="C777" s="199"/>
      <c r="D777" s="112"/>
      <c r="E777" s="33"/>
      <c r="F777" s="90"/>
      <c r="H777" s="116"/>
      <c r="I777" s="26"/>
      <c r="J777" s="98"/>
      <c r="K777" s="36"/>
      <c r="L777" s="26"/>
      <c r="M777" s="26"/>
      <c r="N777" s="26"/>
      <c r="O777" s="93"/>
      <c r="P777" s="95"/>
      <c r="Q777" s="197"/>
    </row>
    <row r="778" spans="3:17" x14ac:dyDescent="0.25">
      <c r="C778" s="199"/>
      <c r="D778" s="112"/>
      <c r="E778" s="33"/>
      <c r="F778" s="90"/>
      <c r="H778" s="116"/>
      <c r="I778" s="26"/>
      <c r="J778" s="98"/>
      <c r="K778" s="36"/>
      <c r="L778" s="26"/>
      <c r="M778" s="26"/>
      <c r="N778" s="26"/>
      <c r="O778" s="93"/>
      <c r="P778" s="95"/>
      <c r="Q778" s="197"/>
    </row>
    <row r="779" spans="3:17" x14ac:dyDescent="0.25">
      <c r="C779" s="199"/>
      <c r="D779" s="112"/>
      <c r="E779" s="33"/>
      <c r="F779" s="90"/>
      <c r="H779" s="116"/>
      <c r="I779" s="26"/>
      <c r="J779" s="98"/>
      <c r="K779" s="36"/>
      <c r="L779" s="26"/>
      <c r="M779" s="26"/>
      <c r="N779" s="26"/>
      <c r="O779" s="93"/>
      <c r="P779" s="95"/>
      <c r="Q779" s="197"/>
    </row>
    <row r="780" spans="3:17" x14ac:dyDescent="0.25">
      <c r="C780" s="199"/>
      <c r="D780" s="112"/>
      <c r="E780" s="33"/>
      <c r="F780" s="90"/>
      <c r="H780" s="116"/>
      <c r="I780" s="26"/>
      <c r="J780" s="98"/>
      <c r="K780" s="36"/>
      <c r="L780" s="26"/>
      <c r="M780" s="26"/>
      <c r="N780" s="26"/>
      <c r="O780" s="93"/>
      <c r="P780" s="95"/>
      <c r="Q780" s="197"/>
    </row>
    <row r="781" spans="3:17" x14ac:dyDescent="0.25">
      <c r="C781" s="199"/>
      <c r="D781" s="112"/>
      <c r="E781" s="33"/>
      <c r="F781" s="90"/>
      <c r="H781" s="116"/>
      <c r="I781" s="26"/>
      <c r="J781" s="98"/>
      <c r="K781" s="36"/>
      <c r="L781" s="26"/>
      <c r="M781" s="26"/>
      <c r="N781" s="26"/>
      <c r="O781" s="93"/>
      <c r="P781" s="95"/>
      <c r="Q781" s="197"/>
    </row>
    <row r="782" spans="3:17" x14ac:dyDescent="0.25">
      <c r="C782" s="199"/>
      <c r="D782" s="112"/>
      <c r="E782" s="33"/>
      <c r="F782" s="90"/>
      <c r="H782" s="116"/>
      <c r="I782" s="26"/>
      <c r="J782" s="98"/>
      <c r="K782" s="36"/>
      <c r="L782" s="26"/>
      <c r="M782" s="26"/>
      <c r="N782" s="26"/>
      <c r="O782" s="93"/>
      <c r="P782" s="95"/>
      <c r="Q782" s="197"/>
    </row>
    <row r="783" spans="3:17" x14ac:dyDescent="0.25">
      <c r="C783" s="199"/>
      <c r="D783" s="112"/>
      <c r="E783" s="33"/>
      <c r="F783" s="90"/>
      <c r="H783" s="116"/>
      <c r="I783" s="26"/>
      <c r="J783" s="98"/>
      <c r="K783" s="36"/>
      <c r="L783" s="26"/>
      <c r="M783" s="26"/>
      <c r="N783" s="26"/>
      <c r="O783" s="93"/>
      <c r="P783" s="95"/>
      <c r="Q783" s="197"/>
    </row>
    <row r="784" spans="3:17" x14ac:dyDescent="0.25">
      <c r="C784" s="199"/>
      <c r="D784" s="112"/>
      <c r="E784" s="33"/>
      <c r="F784" s="90"/>
      <c r="H784" s="116"/>
      <c r="I784" s="26"/>
      <c r="J784" s="98"/>
      <c r="K784" s="36"/>
      <c r="L784" s="26"/>
      <c r="M784" s="26"/>
      <c r="N784" s="26"/>
      <c r="O784" s="93"/>
      <c r="P784" s="95"/>
      <c r="Q784" s="197"/>
    </row>
    <row r="785" spans="3:17" x14ac:dyDescent="0.25">
      <c r="C785" s="199"/>
      <c r="D785" s="112"/>
      <c r="E785" s="33"/>
      <c r="F785" s="90"/>
      <c r="H785" s="116"/>
      <c r="I785" s="26"/>
      <c r="J785" s="98"/>
      <c r="K785" s="36"/>
      <c r="L785" s="26"/>
      <c r="M785" s="26"/>
      <c r="N785" s="26"/>
      <c r="O785" s="93"/>
      <c r="P785" s="95"/>
      <c r="Q785" s="197"/>
    </row>
    <row r="786" spans="3:17" x14ac:dyDescent="0.25">
      <c r="C786" s="199"/>
      <c r="D786" s="112"/>
      <c r="E786" s="33"/>
      <c r="F786" s="90"/>
      <c r="H786" s="116"/>
      <c r="I786" s="26"/>
      <c r="J786" s="98"/>
      <c r="K786" s="36"/>
      <c r="L786" s="26"/>
      <c r="M786" s="26"/>
      <c r="N786" s="26"/>
      <c r="O786" s="93"/>
      <c r="P786" s="95"/>
      <c r="Q786" s="197"/>
    </row>
    <row r="787" spans="3:17" x14ac:dyDescent="0.25">
      <c r="C787" s="199"/>
      <c r="D787" s="112"/>
      <c r="E787" s="33"/>
      <c r="F787" s="90"/>
      <c r="H787" s="116"/>
      <c r="I787" s="26"/>
      <c r="J787" s="98"/>
      <c r="K787" s="36"/>
      <c r="L787" s="26"/>
      <c r="M787" s="26"/>
      <c r="N787" s="26"/>
      <c r="O787" s="93"/>
      <c r="P787" s="95"/>
      <c r="Q787" s="197"/>
    </row>
    <row r="788" spans="3:17" x14ac:dyDescent="0.25">
      <c r="C788" s="199"/>
      <c r="D788" s="112"/>
      <c r="E788" s="33"/>
      <c r="F788" s="90"/>
      <c r="H788" s="116"/>
      <c r="I788" s="26"/>
      <c r="J788" s="98"/>
      <c r="K788" s="36"/>
      <c r="L788" s="26"/>
      <c r="M788" s="26"/>
      <c r="N788" s="26"/>
      <c r="O788" s="93"/>
      <c r="P788" s="95"/>
      <c r="Q788" s="197"/>
    </row>
    <row r="789" spans="3:17" x14ac:dyDescent="0.25">
      <c r="C789" s="199"/>
      <c r="D789" s="112"/>
      <c r="E789" s="33"/>
      <c r="F789" s="90"/>
      <c r="H789" s="116"/>
      <c r="I789" s="26"/>
      <c r="J789" s="98"/>
      <c r="K789" s="36"/>
      <c r="L789" s="26"/>
      <c r="M789" s="26"/>
      <c r="N789" s="26"/>
      <c r="O789" s="93"/>
      <c r="P789" s="95"/>
      <c r="Q789" s="197"/>
    </row>
    <row r="790" spans="3:17" ht="12" thickBot="1" x14ac:dyDescent="0.3">
      <c r="C790" s="199"/>
      <c r="D790" s="112"/>
      <c r="E790" s="33"/>
      <c r="F790" s="90"/>
      <c r="H790" s="116"/>
      <c r="I790" s="26"/>
      <c r="J790" s="98"/>
      <c r="K790" s="36"/>
      <c r="L790" s="26"/>
      <c r="M790" s="26"/>
      <c r="N790" s="26"/>
      <c r="O790" s="93"/>
      <c r="P790" s="95"/>
      <c r="Q790" s="197"/>
    </row>
    <row r="791" spans="3:17" ht="12" thickBot="1" x14ac:dyDescent="0.3">
      <c r="P791" s="218">
        <f>SUM(P22:P790)</f>
        <v>7073457.465405873</v>
      </c>
    </row>
  </sheetData>
  <conditionalFormatting sqref="F22:F790">
    <cfRule type="containsText" dxfId="8" priority="2" operator="containsText" text="ERROR">
      <formula>NOT(ISERROR(SEARCH("ERROR",F22)))</formula>
    </cfRule>
  </conditionalFormatting>
  <conditionalFormatting sqref="J22:J790">
    <cfRule type="cellIs" dxfId="7" priority="1" operator="equal">
      <formula>1</formula>
    </cfRule>
  </conditionalFormatting>
  <hyperlinks>
    <hyperlink ref="E7" location="'Asset exclusions'!A1" display="'Asset exclusions'!A1" xr:uid="{00000000-0004-0000-0500-000000000000}"/>
  </hyperlink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sheetPr>
  <dimension ref="A1:Q3063"/>
  <sheetViews>
    <sheetView showGridLines="0" zoomScale="55" zoomScaleNormal="55" workbookViewId="0">
      <pane ySplit="21" topLeftCell="A22" activePane="bottomLeft" state="frozen"/>
      <selection activeCell="A22" sqref="A22"/>
      <selection pane="bottomLeft" activeCell="S35" sqref="S35"/>
    </sheetView>
  </sheetViews>
  <sheetFormatPr defaultRowHeight="11.5" outlineLevelRow="1" x14ac:dyDescent="0.25"/>
  <cols>
    <col min="1" max="1" width="7.19921875" customWidth="1"/>
    <col min="2" max="2" width="12" bestFit="1" customWidth="1"/>
    <col min="3" max="3" width="18" customWidth="1"/>
    <col min="4" max="4" width="50.69921875" bestFit="1" customWidth="1"/>
    <col min="5" max="5" width="15.69921875" customWidth="1"/>
    <col min="6" max="6" width="25.8984375" bestFit="1" customWidth="1"/>
    <col min="7" max="7" width="2.69921875" customWidth="1"/>
    <col min="8" max="8" width="16.3984375" customWidth="1"/>
    <col min="9" max="10" width="15.69921875" customWidth="1"/>
    <col min="11" max="11" width="2.69921875" customWidth="1"/>
    <col min="12" max="13" width="15.69921875" customWidth="1"/>
    <col min="14" max="14" width="18" customWidth="1"/>
    <col min="15" max="16" width="15.69921875" customWidth="1"/>
    <col min="17" max="17" width="11.8984375" customWidth="1"/>
    <col min="18" max="18" width="9.09765625" customWidth="1"/>
  </cols>
  <sheetData>
    <row r="1" spans="3:15" x14ac:dyDescent="0.25">
      <c r="E1" s="31"/>
    </row>
    <row r="2" spans="3:15" x14ac:dyDescent="0.25">
      <c r="E2" s="31"/>
    </row>
    <row r="3" spans="3:15" ht="20" x14ac:dyDescent="0.4">
      <c r="C3" s="57" t="s">
        <v>282</v>
      </c>
    </row>
    <row r="4" spans="3:15" hidden="1" outlineLevel="1" x14ac:dyDescent="0.25"/>
    <row r="5" spans="3:15" hidden="1" outlineLevel="1" x14ac:dyDescent="0.25">
      <c r="D5" s="31"/>
    </row>
    <row r="6" spans="3:15" ht="12" hidden="1" customHeight="1" outlineLevel="1" x14ac:dyDescent="0.25">
      <c r="C6" s="106"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15" hidden="1" outlineLevel="1" x14ac:dyDescent="0.25">
      <c r="C7" s="128" t="str">
        <f ca="1">"Hyperlink to the '"&amp;MID(CELL("filename",'Asset exclusions'!A1),FIND("]",CELL("filename",'Asset exclusions'!A1))+1,255)&amp;"' worksheet:"</f>
        <v>Hyperlink to the 'Asset exclusions' worksheet:</v>
      </c>
      <c r="E7" s="157" t="s">
        <v>174</v>
      </c>
    </row>
    <row r="8" spans="3:15" hidden="1" outlineLevel="1" x14ac:dyDescent="0.25">
      <c r="C8" s="128"/>
      <c r="E8" s="157"/>
    </row>
    <row r="9" spans="3:15" hidden="1" outlineLevel="1" x14ac:dyDescent="0.25">
      <c r="C9" s="128" t="s">
        <v>175</v>
      </c>
      <c r="E9" s="157"/>
    </row>
    <row r="10" spans="3:15" hidden="1" outlineLevel="1" x14ac:dyDescent="0.25">
      <c r="C10" s="128" t="s">
        <v>176</v>
      </c>
      <c r="E10" s="157"/>
    </row>
    <row r="11" spans="3:15" hidden="1" outlineLevel="1" x14ac:dyDescent="0.25">
      <c r="C11" s="128" t="s">
        <v>177</v>
      </c>
      <c r="E11" s="157"/>
    </row>
    <row r="12" spans="3:15" hidden="1" outlineLevel="1" x14ac:dyDescent="0.25">
      <c r="C12" s="128" t="s">
        <v>178</v>
      </c>
      <c r="E12" s="157"/>
    </row>
    <row r="13" spans="3:15" collapsed="1" x14ac:dyDescent="0.25"/>
    <row r="14" spans="3:15" x14ac:dyDescent="0.25">
      <c r="C14" s="6" t="s">
        <v>179</v>
      </c>
    </row>
    <row r="15" spans="3:15" ht="12" x14ac:dyDescent="0.3">
      <c r="C15" s="63" t="s">
        <v>180</v>
      </c>
      <c r="E15" s="87">
        <f>'General inputs'!$H$24+1</f>
        <v>35065</v>
      </c>
      <c r="H15" s="200" t="s">
        <v>181</v>
      </c>
      <c r="L15" s="208" t="s">
        <v>283</v>
      </c>
      <c r="M15" s="265"/>
      <c r="N15" s="265"/>
    </row>
    <row r="16" spans="3:15" ht="12" x14ac:dyDescent="0.3">
      <c r="C16" s="63" t="s">
        <v>182</v>
      </c>
      <c r="E16" s="88">
        <f>'General inputs'!$H$18</f>
        <v>44377</v>
      </c>
      <c r="H16" s="201" t="s">
        <v>183</v>
      </c>
      <c r="I16" s="202">
        <f>SUMIF($B$22:$B$3063,H16,$P$22:$P$3063)/$J$22</f>
        <v>2583347.0299400273</v>
      </c>
      <c r="L16" s="202">
        <f>I16+'Pre-1996 assets'!I16</f>
        <v>51779624.342985965</v>
      </c>
      <c r="M16" s="266"/>
      <c r="N16" s="207"/>
      <c r="O16" s="209"/>
    </row>
    <row r="17" spans="1:17" ht="12" x14ac:dyDescent="0.3">
      <c r="H17" s="203" t="s">
        <v>184</v>
      </c>
      <c r="I17" s="204">
        <f t="shared" ref="I17:I18" si="0">SUMIF($B$22:$B$3063,H17,$P$22:$P$3063)/$J$22</f>
        <v>450955.91060675203</v>
      </c>
      <c r="L17" s="204">
        <f>I17+'Pre-1996 assets'!I17</f>
        <v>2360268.194483818</v>
      </c>
      <c r="M17" s="266"/>
      <c r="N17" s="207"/>
    </row>
    <row r="18" spans="1:17" ht="15.5" x14ac:dyDescent="0.35">
      <c r="C18" s="2" t="s">
        <v>285</v>
      </c>
      <c r="H18" s="205" t="s">
        <v>186</v>
      </c>
      <c r="I18" s="206">
        <f t="shared" si="0"/>
        <v>1289263.0320995424</v>
      </c>
      <c r="L18" s="206">
        <f>I18+'Pre-1996 assets'!I18</f>
        <v>6193458.6897032205</v>
      </c>
      <c r="M18" s="266"/>
      <c r="N18" s="207"/>
    </row>
    <row r="19" spans="1:17" ht="12" x14ac:dyDescent="0.3">
      <c r="H19" s="205" t="s">
        <v>286</v>
      </c>
      <c r="I19" s="206">
        <f t="shared" ref="I19" si="1">SUMIF($B$22:$B$3063,H19,$P$22:$P$3063)/$J$22</f>
        <v>25578864.859970137</v>
      </c>
      <c r="L19" s="206">
        <f>I19+'Pre-1996 assets'!I19</f>
        <v>25578864.859970137</v>
      </c>
      <c r="M19" s="266"/>
      <c r="N19" s="207"/>
    </row>
    <row r="20" spans="1:17" x14ac:dyDescent="0.25">
      <c r="C20" s="6" t="s">
        <v>187</v>
      </c>
      <c r="H20" s="6" t="s">
        <v>188</v>
      </c>
      <c r="L20" s="6" t="s">
        <v>189</v>
      </c>
      <c r="M20" s="6"/>
    </row>
    <row r="21" spans="1:17" ht="46" x14ac:dyDescent="0.25">
      <c r="C21" s="24" t="s">
        <v>190</v>
      </c>
      <c r="D21" s="24" t="s">
        <v>191</v>
      </c>
      <c r="E21" s="24" t="s">
        <v>192</v>
      </c>
      <c r="F21" s="24" t="s">
        <v>287</v>
      </c>
      <c r="H21" s="24" t="s">
        <v>194</v>
      </c>
      <c r="I21" s="24" t="s">
        <v>195</v>
      </c>
      <c r="J21" s="24" t="s">
        <v>196</v>
      </c>
      <c r="L21" s="24" t="s">
        <v>197</v>
      </c>
      <c r="M21" s="24" t="s">
        <v>198</v>
      </c>
      <c r="N21" s="24" t="s">
        <v>199</v>
      </c>
      <c r="O21" s="24" t="s">
        <v>200</v>
      </c>
      <c r="P21" s="24" t="s">
        <v>201</v>
      </c>
      <c r="Q21" s="195" t="s">
        <v>202</v>
      </c>
    </row>
    <row r="22" spans="1:17" x14ac:dyDescent="0.25">
      <c r="A22">
        <v>2002</v>
      </c>
      <c r="B22" t="s">
        <v>183</v>
      </c>
      <c r="C22" s="199">
        <v>350574</v>
      </c>
      <c r="D22" s="112" t="s">
        <v>288</v>
      </c>
      <c r="E22" s="33">
        <f>DATEVALUE("30 Jun "&amp;A22)</f>
        <v>37437</v>
      </c>
      <c r="F22" s="105" t="str">
        <f>IF(E22="","-",IF(OR(E22&lt;$E$15,E22&gt;$E$16),"ERROR - date outside of range",IF(MONTH(E22)&gt;=7,YEAR(E22)&amp;"-"&amp;IF(YEAR(E22)=1999,"00",IF(AND(YEAR(E22)&gt;=2000,YEAR(E22)&lt;2009),"0","")&amp;RIGHT(YEAR(E22),2)+1),RIGHT(YEAR(E22),4)-1&amp;"-"&amp;RIGHT(YEAR(E22),2))))</f>
        <v>2001-02</v>
      </c>
      <c r="H22" s="116" t="s">
        <v>289</v>
      </c>
      <c r="I22" s="26"/>
      <c r="J22" s="97">
        <f>'ET inputs'!AP21</f>
        <v>0.51286599190777915</v>
      </c>
      <c r="K22" s="36"/>
      <c r="L22" s="26">
        <v>419</v>
      </c>
      <c r="M22" s="26" t="s">
        <v>205</v>
      </c>
      <c r="N22" s="26">
        <v>1418.979009080326</v>
      </c>
      <c r="O22" s="93">
        <f>IF(N22="","-",L22*N22)</f>
        <v>594552.20480465656</v>
      </c>
      <c r="P22" s="95">
        <f>IF(O22="-","-",IF(OR(E22&lt;$E$15,E22&gt;$E$16),0,O22*J22))*Q22</f>
        <v>304925.60625809722</v>
      </c>
      <c r="Q22" s="197">
        <v>1</v>
      </c>
    </row>
    <row r="23" spans="1:17" x14ac:dyDescent="0.25">
      <c r="A23">
        <v>2002</v>
      </c>
      <c r="B23" t="s">
        <v>183</v>
      </c>
      <c r="C23" s="199"/>
      <c r="D23" s="112" t="s">
        <v>288</v>
      </c>
      <c r="E23" s="33">
        <f t="shared" ref="E23:E32" si="2">DATEVALUE("30 Jun "&amp;A23)</f>
        <v>37437</v>
      </c>
      <c r="F23" s="105" t="str">
        <f t="shared" ref="F23:F52" si="3">IF(E23="","-",IF(OR(E23&lt;$E$15,E23&gt;$E$16),"ERROR - date outside of range",IF(MONTH(E23)&gt;=7,YEAR(E23)&amp;"-"&amp;IF(YEAR(E23)=1999,"00",IF(AND(YEAR(E23)&gt;=2000,YEAR(E23)&lt;2009),"0","")&amp;RIGHT(YEAR(E23),2)+1),RIGHT(YEAR(E23),4)-1&amp;"-"&amp;RIGHT(YEAR(E23),2))))</f>
        <v>2001-02</v>
      </c>
      <c r="H23" s="116"/>
      <c r="I23" s="26"/>
      <c r="J23" s="98">
        <f t="shared" ref="J23:J36" si="4">J22</f>
        <v>0.51286599190777915</v>
      </c>
      <c r="K23" s="36"/>
      <c r="L23" s="26">
        <v>13</v>
      </c>
      <c r="M23" s="26" t="s">
        <v>205</v>
      </c>
      <c r="N23" s="26">
        <v>1138.7266281722934</v>
      </c>
      <c r="O23" s="93">
        <f t="shared" ref="O23:O32" si="5">IF(N23="","-",L23*N23)</f>
        <v>14803.446166239815</v>
      </c>
      <c r="P23" s="95">
        <f t="shared" ref="P23:P32" si="6">IF(O23="-","-",IF(OR(E23&lt;$E$15,E23&gt;$E$16),0,O23*J23))*Q23</f>
        <v>7592.1841017019933</v>
      </c>
      <c r="Q23" s="197">
        <v>1</v>
      </c>
    </row>
    <row r="24" spans="1:17" x14ac:dyDescent="0.25">
      <c r="A24">
        <v>2003</v>
      </c>
      <c r="B24" t="s">
        <v>183</v>
      </c>
      <c r="C24" s="199">
        <v>10007295</v>
      </c>
      <c r="D24" s="112" t="s">
        <v>290</v>
      </c>
      <c r="E24" s="33">
        <f t="shared" si="2"/>
        <v>37802</v>
      </c>
      <c r="F24" s="105" t="str">
        <f t="shared" si="3"/>
        <v>2002-03</v>
      </c>
      <c r="H24" s="116"/>
      <c r="I24" s="26"/>
      <c r="J24" s="98">
        <f t="shared" si="4"/>
        <v>0.51286599190777915</v>
      </c>
      <c r="K24" s="36"/>
      <c r="L24" s="26">
        <v>169</v>
      </c>
      <c r="M24" s="26" t="s">
        <v>205</v>
      </c>
      <c r="N24" s="26">
        <v>1153.2224409778812</v>
      </c>
      <c r="O24" s="93">
        <f t="shared" si="5"/>
        <v>194894.59252526192</v>
      </c>
      <c r="P24" s="95">
        <f t="shared" si="6"/>
        <v>99954.808512930889</v>
      </c>
      <c r="Q24" s="197">
        <v>1</v>
      </c>
    </row>
    <row r="25" spans="1:17" x14ac:dyDescent="0.25">
      <c r="A25">
        <v>2001</v>
      </c>
      <c r="B25" t="s">
        <v>183</v>
      </c>
      <c r="C25" s="199">
        <v>350578</v>
      </c>
      <c r="D25" s="112" t="s">
        <v>291</v>
      </c>
      <c r="E25" s="33">
        <f t="shared" si="2"/>
        <v>37072</v>
      </c>
      <c r="F25" s="105" t="str">
        <f t="shared" si="3"/>
        <v>2000-01</v>
      </c>
      <c r="H25" s="116"/>
      <c r="I25" s="26"/>
      <c r="J25" s="98">
        <f t="shared" si="4"/>
        <v>0.51286599190777915</v>
      </c>
      <c r="K25" s="36"/>
      <c r="L25" s="26">
        <v>360</v>
      </c>
      <c r="M25" s="26" t="s">
        <v>205</v>
      </c>
      <c r="N25" s="26">
        <v>1153.2224409778812</v>
      </c>
      <c r="O25" s="93">
        <f t="shared" si="5"/>
        <v>415160.07875203725</v>
      </c>
      <c r="P25" s="95">
        <f t="shared" si="6"/>
        <v>212921.48558967529</v>
      </c>
      <c r="Q25" s="197">
        <v>1</v>
      </c>
    </row>
    <row r="26" spans="1:17" x14ac:dyDescent="0.25">
      <c r="A26">
        <v>2001</v>
      </c>
      <c r="B26" t="s">
        <v>183</v>
      </c>
      <c r="C26" s="199"/>
      <c r="D26" s="112" t="s">
        <v>291</v>
      </c>
      <c r="E26" s="33">
        <f t="shared" si="2"/>
        <v>37072</v>
      </c>
      <c r="F26" s="105" t="str">
        <f t="shared" si="3"/>
        <v>2000-01</v>
      </c>
      <c r="H26" s="116"/>
      <c r="I26" s="26"/>
      <c r="J26" s="98">
        <f t="shared" si="4"/>
        <v>0.51286599190777915</v>
      </c>
      <c r="K26" s="36"/>
      <c r="L26" s="26">
        <v>20</v>
      </c>
      <c r="M26" s="26" t="s">
        <v>205</v>
      </c>
      <c r="N26" s="26">
        <v>1138.7266281722934</v>
      </c>
      <c r="O26" s="93">
        <f t="shared" si="5"/>
        <v>22774.532563445868</v>
      </c>
      <c r="P26" s="95">
        <f t="shared" si="6"/>
        <v>11680.283233387681</v>
      </c>
      <c r="Q26" s="197">
        <v>1</v>
      </c>
    </row>
    <row r="27" spans="1:17" x14ac:dyDescent="0.25">
      <c r="A27">
        <v>2001</v>
      </c>
      <c r="B27" t="s">
        <v>183</v>
      </c>
      <c r="C27" s="199">
        <v>1004447</v>
      </c>
      <c r="D27" s="112" t="s">
        <v>292</v>
      </c>
      <c r="E27" s="33">
        <f t="shared" si="2"/>
        <v>37072</v>
      </c>
      <c r="F27" s="105" t="str">
        <f t="shared" si="3"/>
        <v>2000-01</v>
      </c>
      <c r="H27" s="116"/>
      <c r="I27" s="26"/>
      <c r="J27" s="98">
        <f t="shared" si="4"/>
        <v>0.51286599190777915</v>
      </c>
      <c r="K27" s="36"/>
      <c r="L27" s="26">
        <v>494</v>
      </c>
      <c r="M27" s="26" t="s">
        <v>205</v>
      </c>
      <c r="N27" s="26">
        <v>1153.2224409778812</v>
      </c>
      <c r="O27" s="93">
        <f t="shared" si="5"/>
        <v>569691.88584307337</v>
      </c>
      <c r="P27" s="95">
        <f t="shared" si="6"/>
        <v>292175.59411472111</v>
      </c>
      <c r="Q27" s="197">
        <v>1</v>
      </c>
    </row>
    <row r="28" spans="1:17" x14ac:dyDescent="0.25">
      <c r="A28">
        <v>2001</v>
      </c>
      <c r="B28" t="s">
        <v>183</v>
      </c>
      <c r="C28" s="199"/>
      <c r="D28" s="112" t="s">
        <v>292</v>
      </c>
      <c r="E28" s="33">
        <f t="shared" si="2"/>
        <v>37072</v>
      </c>
      <c r="F28" s="105" t="str">
        <f t="shared" si="3"/>
        <v>2000-01</v>
      </c>
      <c r="H28" s="116"/>
      <c r="I28" s="26"/>
      <c r="J28" s="98">
        <f t="shared" si="4"/>
        <v>0.51286599190777915</v>
      </c>
      <c r="K28" s="36"/>
      <c r="L28" s="26">
        <v>93</v>
      </c>
      <c r="M28" s="26" t="s">
        <v>205</v>
      </c>
      <c r="N28" s="26">
        <v>1071.0795017462165</v>
      </c>
      <c r="O28" s="93">
        <f t="shared" si="5"/>
        <v>99610.393662398128</v>
      </c>
      <c r="P28" s="95">
        <f t="shared" si="6"/>
        <v>51086.783349990175</v>
      </c>
      <c r="Q28" s="197">
        <v>1</v>
      </c>
    </row>
    <row r="29" spans="1:17" x14ac:dyDescent="0.25">
      <c r="A29">
        <v>2001</v>
      </c>
      <c r="B29" t="s">
        <v>183</v>
      </c>
      <c r="C29" s="199">
        <v>350579</v>
      </c>
      <c r="D29" s="112" t="s">
        <v>293</v>
      </c>
      <c r="E29" s="33">
        <f t="shared" si="2"/>
        <v>37072</v>
      </c>
      <c r="F29" s="105" t="str">
        <f t="shared" si="3"/>
        <v>2000-01</v>
      </c>
      <c r="H29" s="116"/>
      <c r="I29" s="26"/>
      <c r="J29" s="98">
        <f t="shared" si="4"/>
        <v>0.51286599190777915</v>
      </c>
      <c r="K29" s="36"/>
      <c r="L29" s="26">
        <v>248</v>
      </c>
      <c r="M29" s="26" t="s">
        <v>205</v>
      </c>
      <c r="N29" s="26">
        <v>1153.2224409778812</v>
      </c>
      <c r="O29" s="93">
        <f t="shared" si="5"/>
        <v>285999.16536251456</v>
      </c>
      <c r="P29" s="95">
        <f t="shared" si="6"/>
        <v>146679.24562844299</v>
      </c>
      <c r="Q29" s="197">
        <v>1</v>
      </c>
    </row>
    <row r="30" spans="1:17" x14ac:dyDescent="0.25">
      <c r="A30">
        <v>2001</v>
      </c>
      <c r="B30" t="s">
        <v>183</v>
      </c>
      <c r="C30" s="199"/>
      <c r="D30" s="112" t="s">
        <v>293</v>
      </c>
      <c r="E30" s="33">
        <f t="shared" si="2"/>
        <v>37072</v>
      </c>
      <c r="F30" s="105" t="str">
        <f t="shared" si="3"/>
        <v>2000-01</v>
      </c>
      <c r="H30" s="116"/>
      <c r="I30" s="26"/>
      <c r="J30" s="98">
        <f t="shared" si="4"/>
        <v>0.51286599190777915</v>
      </c>
      <c r="K30" s="36"/>
      <c r="L30" s="26">
        <v>66</v>
      </c>
      <c r="M30" s="26" t="s">
        <v>205</v>
      </c>
      <c r="N30" s="26">
        <v>1071.0795017462165</v>
      </c>
      <c r="O30" s="93">
        <f t="shared" si="5"/>
        <v>70691.247115250284</v>
      </c>
      <c r="P30" s="95">
        <f t="shared" si="6"/>
        <v>36255.136570960771</v>
      </c>
      <c r="Q30" s="197">
        <v>1</v>
      </c>
    </row>
    <row r="31" spans="1:17" x14ac:dyDescent="0.25">
      <c r="A31">
        <v>2001</v>
      </c>
      <c r="B31" t="s">
        <v>183</v>
      </c>
      <c r="C31" s="199">
        <v>350570</v>
      </c>
      <c r="D31" s="112" t="s">
        <v>294</v>
      </c>
      <c r="E31" s="33">
        <f t="shared" si="2"/>
        <v>37072</v>
      </c>
      <c r="F31" s="105" t="str">
        <f t="shared" si="3"/>
        <v>2000-01</v>
      </c>
      <c r="H31" s="116"/>
      <c r="I31" s="26"/>
      <c r="J31" s="98">
        <f t="shared" si="4"/>
        <v>0.51286599190777915</v>
      </c>
      <c r="K31" s="36"/>
      <c r="L31" s="26">
        <v>208</v>
      </c>
      <c r="M31" s="26" t="s">
        <v>205</v>
      </c>
      <c r="N31" s="26">
        <v>1153.2224409778812</v>
      </c>
      <c r="O31" s="93">
        <f t="shared" si="5"/>
        <v>239870.2677233993</v>
      </c>
      <c r="P31" s="95">
        <f t="shared" si="6"/>
        <v>123021.30278514573</v>
      </c>
      <c r="Q31" s="197">
        <v>1</v>
      </c>
    </row>
    <row r="32" spans="1:17" x14ac:dyDescent="0.25">
      <c r="A32">
        <v>2001</v>
      </c>
      <c r="B32" t="s">
        <v>183</v>
      </c>
      <c r="C32" s="199"/>
      <c r="D32" s="112" t="s">
        <v>294</v>
      </c>
      <c r="E32" s="33">
        <f t="shared" si="2"/>
        <v>37072</v>
      </c>
      <c r="F32" s="105" t="str">
        <f t="shared" si="3"/>
        <v>2000-01</v>
      </c>
      <c r="H32" s="116"/>
      <c r="I32" s="26"/>
      <c r="J32" s="98">
        <f t="shared" si="4"/>
        <v>0.51286599190777915</v>
      </c>
      <c r="K32" s="36"/>
      <c r="L32" s="26">
        <v>27</v>
      </c>
      <c r="M32" s="26" t="s">
        <v>205</v>
      </c>
      <c r="N32" s="26">
        <v>1071.0795017462165</v>
      </c>
      <c r="O32" s="93">
        <f t="shared" si="5"/>
        <v>28919.146547147844</v>
      </c>
      <c r="P32" s="95">
        <f t="shared" si="6"/>
        <v>14831.646779029406</v>
      </c>
      <c r="Q32" s="197">
        <v>1</v>
      </c>
    </row>
    <row r="33" spans="1:17" x14ac:dyDescent="0.25">
      <c r="C33" s="199"/>
      <c r="D33" s="112"/>
      <c r="E33" s="33"/>
      <c r="F33" s="105"/>
      <c r="H33" s="116"/>
      <c r="I33" s="26"/>
      <c r="J33" s="98"/>
      <c r="K33" s="36"/>
      <c r="L33" s="26"/>
      <c r="M33" s="26"/>
      <c r="N33" s="26"/>
      <c r="O33" s="93"/>
      <c r="P33" s="95"/>
      <c r="Q33" s="197"/>
    </row>
    <row r="34" spans="1:17" x14ac:dyDescent="0.25">
      <c r="A34">
        <v>1996</v>
      </c>
      <c r="B34" t="s">
        <v>184</v>
      </c>
      <c r="C34" s="199">
        <v>307760</v>
      </c>
      <c r="D34" s="112" t="s">
        <v>295</v>
      </c>
      <c r="E34" s="33">
        <f t="shared" ref="E34" si="7">DATEVALUE("30 Jun "&amp;A34)</f>
        <v>35246</v>
      </c>
      <c r="F34" s="105" t="str">
        <f t="shared" si="3"/>
        <v>1995-96</v>
      </c>
      <c r="H34" s="116"/>
      <c r="I34" s="26"/>
      <c r="J34" s="98">
        <f>J32</f>
        <v>0.51286599190777915</v>
      </c>
      <c r="K34" s="36"/>
      <c r="L34" s="26">
        <v>1182</v>
      </c>
      <c r="M34" s="26" t="s">
        <v>205</v>
      </c>
      <c r="N34" s="26">
        <v>349.05846426076835</v>
      </c>
      <c r="O34" s="93">
        <f t="shared" ref="O34" si="8">IF(N34="","-",L34*N34)</f>
        <v>412587.10475622816</v>
      </c>
      <c r="P34" s="95">
        <f>IF(O34="-","-",IF(OR(E34&lt;$E$15,E34&gt;$E$16),0,O34*J34))*Q34</f>
        <v>211601.89472916175</v>
      </c>
      <c r="Q34" s="197">
        <v>1</v>
      </c>
    </row>
    <row r="35" spans="1:17" x14ac:dyDescent="0.25">
      <c r="A35">
        <v>2002</v>
      </c>
      <c r="B35" t="s">
        <v>186</v>
      </c>
      <c r="C35" s="199"/>
      <c r="D35" s="112" t="s">
        <v>296</v>
      </c>
      <c r="E35" s="33">
        <f t="shared" ref="E35:E36" si="9">DATEVALUE("30 Jun "&amp;A35)</f>
        <v>37437</v>
      </c>
      <c r="F35" s="105" t="str">
        <f t="shared" si="3"/>
        <v>2001-02</v>
      </c>
      <c r="H35" s="116"/>
      <c r="I35" s="26"/>
      <c r="J35" s="98">
        <f t="shared" si="4"/>
        <v>0.51286599190777915</v>
      </c>
      <c r="K35" s="36"/>
      <c r="L35" s="26">
        <v>1</v>
      </c>
      <c r="M35" s="26"/>
      <c r="N35" s="26">
        <v>1163076.3723939464</v>
      </c>
      <c r="O35" s="93">
        <f t="shared" ref="O35:O36" si="10">IF(N35="","-",L35*N35)</f>
        <v>1163076.3723939464</v>
      </c>
      <c r="P35" s="95">
        <f t="shared" ref="P35:P36" si="11">IF(O35="-","-",IF(OR(E35&lt;$E$15,E35&gt;$E$16),0,O35*J35))*Q35</f>
        <v>285128.10771353031</v>
      </c>
      <c r="Q35" s="197">
        <v>0.47799999999999998</v>
      </c>
    </row>
    <row r="36" spans="1:17" x14ac:dyDescent="0.25">
      <c r="A36">
        <v>1996</v>
      </c>
      <c r="B36" t="s">
        <v>186</v>
      </c>
      <c r="C36" s="199">
        <v>307760</v>
      </c>
      <c r="D36" s="112" t="s">
        <v>233</v>
      </c>
      <c r="E36" s="33">
        <f t="shared" si="9"/>
        <v>35246</v>
      </c>
      <c r="F36" s="105" t="str">
        <f t="shared" si="3"/>
        <v>1995-96</v>
      </c>
      <c r="H36" s="116"/>
      <c r="I36" s="26"/>
      <c r="J36" s="98">
        <f t="shared" si="4"/>
        <v>0.51286599190777915</v>
      </c>
      <c r="K36" s="36"/>
      <c r="L36" s="26">
        <v>1</v>
      </c>
      <c r="M36" s="26"/>
      <c r="N36" s="26">
        <v>1242902.5866020953</v>
      </c>
      <c r="O36" s="93">
        <f t="shared" si="10"/>
        <v>1242902.5866020953</v>
      </c>
      <c r="P36" s="95">
        <f t="shared" si="11"/>
        <v>376091.05607423245</v>
      </c>
      <c r="Q36" s="197">
        <v>0.59</v>
      </c>
    </row>
    <row r="37" spans="1:17" x14ac:dyDescent="0.25">
      <c r="C37" s="199"/>
      <c r="D37" s="112"/>
      <c r="E37" s="33"/>
      <c r="F37" s="105"/>
      <c r="H37" s="116"/>
      <c r="I37" s="26"/>
      <c r="J37" s="98"/>
      <c r="K37" s="36"/>
      <c r="L37" s="26"/>
      <c r="M37" s="26"/>
      <c r="N37" s="26"/>
      <c r="O37" s="93"/>
      <c r="P37" s="95"/>
      <c r="Q37" s="197"/>
    </row>
    <row r="38" spans="1:17" ht="34.5" x14ac:dyDescent="0.25">
      <c r="A38">
        <v>1996</v>
      </c>
      <c r="B38" t="s">
        <v>286</v>
      </c>
      <c r="C38" s="199" t="s">
        <v>297</v>
      </c>
      <c r="D38" s="112" t="s">
        <v>298</v>
      </c>
      <c r="E38" s="33">
        <f t="shared" ref="E38:E40" si="12">DATEVALUE("30 Jun "&amp;A38)</f>
        <v>35246</v>
      </c>
      <c r="F38" s="105" t="str">
        <f t="shared" si="3"/>
        <v>1995-96</v>
      </c>
      <c r="H38" s="116"/>
      <c r="I38" s="26"/>
      <c r="J38" s="98">
        <f>J36</f>
        <v>0.51286599190777915</v>
      </c>
      <c r="K38" s="36"/>
      <c r="L38" s="26">
        <v>1</v>
      </c>
      <c r="M38" s="26"/>
      <c r="N38" s="26">
        <v>3247583.5351089593</v>
      </c>
      <c r="O38" s="93">
        <f t="shared" ref="O38:O40" si="13">IF(N38="","-",L38*N38)</f>
        <v>3247583.5351089593</v>
      </c>
      <c r="P38" s="95">
        <f t="shared" ref="P38:P40" si="14">IF(O38="-","-",IF(OR(E38&lt;$E$15,E38&gt;$E$16),0,O38*J38))*Q38</f>
        <v>1665575.1510370283</v>
      </c>
      <c r="Q38" s="197">
        <v>1</v>
      </c>
    </row>
    <row r="39" spans="1:17" x14ac:dyDescent="0.25">
      <c r="A39">
        <v>1999</v>
      </c>
      <c r="B39" t="s">
        <v>286</v>
      </c>
      <c r="C39" s="199" t="s">
        <v>297</v>
      </c>
      <c r="D39" s="112" t="s">
        <v>299</v>
      </c>
      <c r="E39" s="33">
        <f t="shared" si="12"/>
        <v>36341</v>
      </c>
      <c r="F39" s="105" t="str">
        <f t="shared" si="3"/>
        <v>1998-99</v>
      </c>
      <c r="H39" s="116"/>
      <c r="I39" s="26"/>
      <c r="J39" s="98">
        <f>J38</f>
        <v>0.51286599190777915</v>
      </c>
      <c r="K39" s="36"/>
      <c r="L39" s="26">
        <v>1</v>
      </c>
      <c r="M39" s="26"/>
      <c r="N39" s="26">
        <v>151016.94915254239</v>
      </c>
      <c r="O39" s="93">
        <f t="shared" si="13"/>
        <v>151016.94915254239</v>
      </c>
      <c r="P39" s="95">
        <f t="shared" si="14"/>
        <v>77451.457422005304</v>
      </c>
      <c r="Q39" s="197">
        <v>1</v>
      </c>
    </row>
    <row r="40" spans="1:17" ht="23" x14ac:dyDescent="0.25">
      <c r="A40">
        <v>2002</v>
      </c>
      <c r="B40" t="s">
        <v>286</v>
      </c>
      <c r="C40" s="199" t="s">
        <v>297</v>
      </c>
      <c r="D40" s="112" t="s">
        <v>300</v>
      </c>
      <c r="E40" s="33">
        <f t="shared" si="12"/>
        <v>37437</v>
      </c>
      <c r="F40" s="105" t="str">
        <f t="shared" si="3"/>
        <v>2001-02</v>
      </c>
      <c r="H40" s="116"/>
      <c r="I40" s="26"/>
      <c r="J40" s="98">
        <f>J39</f>
        <v>0.51286599190777915</v>
      </c>
      <c r="K40" s="36"/>
      <c r="L40" s="26">
        <v>1</v>
      </c>
      <c r="M40" s="26"/>
      <c r="N40" s="26">
        <v>18618272.21160394</v>
      </c>
      <c r="O40" s="93">
        <f t="shared" si="13"/>
        <v>18618272.21160394</v>
      </c>
      <c r="P40" s="95">
        <f t="shared" si="14"/>
        <v>9548678.6454132963</v>
      </c>
      <c r="Q40" s="197">
        <v>1</v>
      </c>
    </row>
    <row r="41" spans="1:17" x14ac:dyDescent="0.25">
      <c r="C41" s="199"/>
      <c r="D41" s="112"/>
      <c r="E41" s="33"/>
      <c r="F41" s="105" t="str">
        <f t="shared" si="3"/>
        <v>-</v>
      </c>
      <c r="H41" s="116"/>
      <c r="I41" s="26"/>
      <c r="J41" s="98">
        <f>J40</f>
        <v>0.51286599190777915</v>
      </c>
      <c r="K41" s="36"/>
      <c r="L41" s="26"/>
      <c r="M41" s="26"/>
      <c r="N41" s="26"/>
      <c r="O41" s="93"/>
      <c r="P41" s="95"/>
      <c r="Q41" s="197"/>
    </row>
    <row r="42" spans="1:17" x14ac:dyDescent="0.25">
      <c r="A42">
        <v>39028</v>
      </c>
      <c r="B42" t="s">
        <v>183</v>
      </c>
      <c r="C42" s="199"/>
      <c r="D42" s="112" t="s">
        <v>301</v>
      </c>
      <c r="E42" s="267">
        <v>39028</v>
      </c>
      <c r="F42" s="105" t="str">
        <f t="shared" si="3"/>
        <v>2006-07</v>
      </c>
      <c r="H42" s="116"/>
      <c r="I42" s="26"/>
      <c r="J42" s="98">
        <f t="shared" ref="J42:J52" si="15">J41</f>
        <v>0.51286599190777915</v>
      </c>
      <c r="K42" s="36"/>
      <c r="L42" s="26">
        <v>3.4994048065299999</v>
      </c>
      <c r="M42" s="26" t="s">
        <v>205</v>
      </c>
      <c r="N42" s="26">
        <v>1162.6195121951216</v>
      </c>
      <c r="O42" s="93">
        <f>IF(N42="","-",L42*N42)</f>
        <v>4068.4763091411724</v>
      </c>
      <c r="P42" s="95">
        <f>IF(O42="-","-",IF(OR(E42&lt;$E$15,E42&gt;$E$16),0,O42*J42))*Q42</f>
        <v>2086.5831378409875</v>
      </c>
      <c r="Q42" s="197">
        <v>1</v>
      </c>
    </row>
    <row r="43" spans="1:17" x14ac:dyDescent="0.25">
      <c r="A43">
        <v>39028</v>
      </c>
      <c r="B43" t="s">
        <v>183</v>
      </c>
      <c r="C43" s="199"/>
      <c r="D43" s="112" t="s">
        <v>301</v>
      </c>
      <c r="E43" s="267">
        <v>39028</v>
      </c>
      <c r="F43" s="105" t="str">
        <f t="shared" si="3"/>
        <v>2006-07</v>
      </c>
      <c r="H43" s="116"/>
      <c r="I43" s="26"/>
      <c r="J43" s="98">
        <f t="shared" si="15"/>
        <v>0.51286599190777915</v>
      </c>
      <c r="K43" s="36"/>
      <c r="L43" s="26">
        <v>3.134273281</v>
      </c>
      <c r="M43" s="26" t="s">
        <v>205</v>
      </c>
      <c r="N43" s="26">
        <v>1162.6195121951216</v>
      </c>
      <c r="O43" s="93">
        <f>IF(N43="","-",L43*N43)</f>
        <v>3643.9672730424236</v>
      </c>
      <c r="P43" s="95">
        <f t="shared" ref="P43:P52" si="16">IF(O43="-","-",IF(OR(E43&lt;$E$15,E43&gt;$E$16),0,O43*J43))*Q43</f>
        <v>1868.8668899683876</v>
      </c>
      <c r="Q43" s="197">
        <v>1</v>
      </c>
    </row>
    <row r="44" spans="1:17" x14ac:dyDescent="0.25">
      <c r="A44">
        <v>42259</v>
      </c>
      <c r="B44" t="s">
        <v>183</v>
      </c>
      <c r="C44" s="199" t="s">
        <v>302</v>
      </c>
      <c r="D44" s="112" t="s">
        <v>303</v>
      </c>
      <c r="E44" s="267">
        <v>42259</v>
      </c>
      <c r="F44" s="105" t="str">
        <f t="shared" si="3"/>
        <v>2015-16</v>
      </c>
      <c r="H44" s="116"/>
      <c r="I44" s="26"/>
      <c r="J44" s="98">
        <f t="shared" si="15"/>
        <v>0.51286599190777915</v>
      </c>
      <c r="K44" s="36"/>
      <c r="L44" s="26">
        <v>4.5689400302500003</v>
      </c>
      <c r="M44" s="26" t="s">
        <v>205</v>
      </c>
      <c r="N44" s="26">
        <v>1162.6195121951216</v>
      </c>
      <c r="O44" s="93">
        <f t="shared" ref="O44:O52" si="17">IF(N44="","-",L44*N44)</f>
        <v>5311.9388292180192</v>
      </c>
      <c r="P44" s="95">
        <f t="shared" si="16"/>
        <v>2724.3127766003463</v>
      </c>
      <c r="Q44" s="197">
        <v>1</v>
      </c>
    </row>
    <row r="45" spans="1:17" x14ac:dyDescent="0.25">
      <c r="A45">
        <v>39154</v>
      </c>
      <c r="B45" t="s">
        <v>183</v>
      </c>
      <c r="C45" s="199" t="s">
        <v>304</v>
      </c>
      <c r="D45" s="112" t="s">
        <v>301</v>
      </c>
      <c r="E45" s="267">
        <v>39154</v>
      </c>
      <c r="F45" s="105" t="str">
        <f t="shared" si="3"/>
        <v>2006-07</v>
      </c>
      <c r="H45" s="116"/>
      <c r="I45" s="26"/>
      <c r="J45" s="98">
        <f t="shared" si="15"/>
        <v>0.51286599190777915</v>
      </c>
      <c r="K45" s="36"/>
      <c r="L45" s="26">
        <v>9.9975023845699997</v>
      </c>
      <c r="M45" s="26" t="s">
        <v>205</v>
      </c>
      <c r="N45" s="26">
        <v>3336.4019512195118</v>
      </c>
      <c r="O45" s="93">
        <f t="shared" si="17"/>
        <v>33355.686463201069</v>
      </c>
      <c r="P45" s="95">
        <f t="shared" si="16"/>
        <v>17106.997223714498</v>
      </c>
      <c r="Q45" s="197">
        <v>1</v>
      </c>
    </row>
    <row r="46" spans="1:17" x14ac:dyDescent="0.25">
      <c r="C46" s="199"/>
      <c r="D46" s="112"/>
      <c r="E46" s="267"/>
      <c r="F46" s="105" t="str">
        <f t="shared" si="3"/>
        <v>-</v>
      </c>
      <c r="H46" s="116"/>
      <c r="I46" s="26"/>
      <c r="J46" s="98">
        <f t="shared" si="15"/>
        <v>0.51286599190777915</v>
      </c>
      <c r="K46" s="36"/>
      <c r="L46" s="26"/>
      <c r="M46" s="26"/>
      <c r="N46" s="26"/>
      <c r="O46" s="93"/>
      <c r="P46" s="95"/>
      <c r="Q46" s="197"/>
    </row>
    <row r="47" spans="1:17" x14ac:dyDescent="0.25">
      <c r="A47">
        <v>1998</v>
      </c>
      <c r="B47" t="s">
        <v>184</v>
      </c>
      <c r="C47" s="199">
        <v>37261</v>
      </c>
      <c r="D47" s="112" t="s">
        <v>305</v>
      </c>
      <c r="E47" s="33">
        <v>35976</v>
      </c>
      <c r="F47" s="105" t="str">
        <f t="shared" si="3"/>
        <v>1997-98</v>
      </c>
      <c r="H47" s="116"/>
      <c r="I47" s="26"/>
      <c r="J47" s="98">
        <f t="shared" si="15"/>
        <v>0.51286599190777915</v>
      </c>
      <c r="K47" s="36"/>
      <c r="L47" s="26">
        <v>86</v>
      </c>
      <c r="M47" s="26" t="s">
        <v>205</v>
      </c>
      <c r="N47" s="26">
        <v>446.14890523864955</v>
      </c>
      <c r="O47" s="93">
        <f t="shared" si="17"/>
        <v>38368.805850523859</v>
      </c>
      <c r="P47" s="95">
        <f t="shared" si="16"/>
        <v>19678.055670845919</v>
      </c>
      <c r="Q47" s="197">
        <v>1</v>
      </c>
    </row>
    <row r="48" spans="1:17" x14ac:dyDescent="0.25">
      <c r="C48" s="199"/>
      <c r="D48" s="112"/>
      <c r="E48" s="33"/>
      <c r="F48" s="105" t="str">
        <f t="shared" si="3"/>
        <v>-</v>
      </c>
      <c r="H48" s="116"/>
      <c r="I48" s="26"/>
      <c r="J48" s="98">
        <f t="shared" si="15"/>
        <v>0.51286599190777915</v>
      </c>
      <c r="K48" s="36"/>
      <c r="L48" s="26"/>
      <c r="M48" s="26"/>
      <c r="N48" s="26"/>
      <c r="O48" s="93"/>
      <c r="P48" s="95"/>
      <c r="Q48" s="197"/>
    </row>
    <row r="49" spans="1:17" ht="34.5" x14ac:dyDescent="0.25">
      <c r="A49">
        <v>1996</v>
      </c>
      <c r="B49" t="s">
        <v>286</v>
      </c>
      <c r="C49" s="199"/>
      <c r="D49" s="112" t="s">
        <v>298</v>
      </c>
      <c r="E49" s="33">
        <v>35246</v>
      </c>
      <c r="F49" s="105" t="str">
        <f t="shared" si="3"/>
        <v>1995-96</v>
      </c>
      <c r="H49" s="116"/>
      <c r="I49" s="26"/>
      <c r="J49" s="98">
        <f t="shared" si="15"/>
        <v>0.51286599190777915</v>
      </c>
      <c r="K49" s="36"/>
      <c r="L49" s="26">
        <v>1</v>
      </c>
      <c r="M49" s="26" t="s">
        <v>306</v>
      </c>
      <c r="N49" s="26">
        <v>13772745.762711866</v>
      </c>
      <c r="O49" s="93">
        <f t="shared" si="17"/>
        <v>13772745.762711866</v>
      </c>
      <c r="P49" s="95">
        <f t="shared" si="16"/>
        <v>1412714.5833773769</v>
      </c>
      <c r="Q49" s="197">
        <v>0.2</v>
      </c>
    </row>
    <row r="50" spans="1:17" ht="23" x14ac:dyDescent="0.25">
      <c r="A50">
        <v>1999</v>
      </c>
      <c r="B50" t="s">
        <v>286</v>
      </c>
      <c r="C50" s="199"/>
      <c r="D50" s="112" t="s">
        <v>307</v>
      </c>
      <c r="E50" s="33">
        <v>36341</v>
      </c>
      <c r="F50" s="105" t="str">
        <f t="shared" si="3"/>
        <v>1998-99</v>
      </c>
      <c r="H50" s="116"/>
      <c r="I50" s="26"/>
      <c r="J50" s="98">
        <f t="shared" si="15"/>
        <v>0.51286599190777915</v>
      </c>
      <c r="K50" s="36"/>
      <c r="L50" s="26">
        <v>1</v>
      </c>
      <c r="M50" s="26" t="s">
        <v>306</v>
      </c>
      <c r="N50" s="26">
        <v>303472.15496368043</v>
      </c>
      <c r="O50" s="93">
        <f t="shared" si="17"/>
        <v>303472.15496368043</v>
      </c>
      <c r="P50" s="95">
        <f t="shared" si="16"/>
        <v>31128.109554367846</v>
      </c>
      <c r="Q50" s="197">
        <v>0.2</v>
      </c>
    </row>
    <row r="51" spans="1:17" x14ac:dyDescent="0.25">
      <c r="A51">
        <v>2001</v>
      </c>
      <c r="B51" t="s">
        <v>286</v>
      </c>
      <c r="C51" s="199"/>
      <c r="D51" s="112" t="s">
        <v>308</v>
      </c>
      <c r="E51" s="33">
        <v>37072</v>
      </c>
      <c r="F51" s="105" t="str">
        <f t="shared" si="3"/>
        <v>2000-01</v>
      </c>
      <c r="H51" s="116"/>
      <c r="I51" s="26"/>
      <c r="J51" s="98">
        <f t="shared" si="15"/>
        <v>0.51286599190777915</v>
      </c>
      <c r="K51" s="36"/>
      <c r="L51" s="26">
        <v>1</v>
      </c>
      <c r="M51" s="26" t="s">
        <v>306</v>
      </c>
      <c r="N51" s="26">
        <v>238750.60532687654</v>
      </c>
      <c r="O51" s="93">
        <f t="shared" si="17"/>
        <v>238750.60532687654</v>
      </c>
      <c r="P51" s="95">
        <f t="shared" si="16"/>
        <v>122447.06601955123</v>
      </c>
      <c r="Q51" s="197">
        <v>1</v>
      </c>
    </row>
    <row r="52" spans="1:17" x14ac:dyDescent="0.25">
      <c r="A52">
        <v>2002</v>
      </c>
      <c r="B52" t="s">
        <v>286</v>
      </c>
      <c r="C52" s="199"/>
      <c r="D52" s="112" t="s">
        <v>309</v>
      </c>
      <c r="E52" s="33">
        <v>37437</v>
      </c>
      <c r="F52" s="105" t="str">
        <f t="shared" si="3"/>
        <v>2001-02</v>
      </c>
      <c r="H52" s="116"/>
      <c r="I52" s="26"/>
      <c r="J52" s="98">
        <f t="shared" si="15"/>
        <v>0.51286599190777915</v>
      </c>
      <c r="K52" s="36"/>
      <c r="L52" s="26">
        <v>1</v>
      </c>
      <c r="M52" s="26" t="s">
        <v>306</v>
      </c>
      <c r="N52" s="26">
        <v>2539989.8762135599</v>
      </c>
      <c r="O52" s="93">
        <f t="shared" si="17"/>
        <v>2539989.8762135599</v>
      </c>
      <c r="P52" s="95">
        <f t="shared" si="16"/>
        <v>260534.88545999691</v>
      </c>
      <c r="Q52" s="197">
        <v>0.2</v>
      </c>
    </row>
    <row r="53" spans="1:17" x14ac:dyDescent="0.25">
      <c r="C53" s="199"/>
      <c r="D53" s="112"/>
      <c r="E53" s="33"/>
      <c r="F53" s="105"/>
      <c r="H53" s="116"/>
      <c r="I53" s="26"/>
      <c r="J53" s="98"/>
      <c r="K53" s="36"/>
      <c r="L53" s="26"/>
      <c r="M53" s="26"/>
      <c r="N53" s="26"/>
      <c r="O53" s="93"/>
      <c r="P53" s="95"/>
      <c r="Q53" s="197"/>
    </row>
    <row r="54" spans="1:17" x14ac:dyDescent="0.25">
      <c r="C54" s="199"/>
      <c r="D54" s="112"/>
      <c r="E54" s="33"/>
      <c r="F54" s="105"/>
      <c r="H54" s="116"/>
      <c r="I54" s="26"/>
      <c r="J54" s="98"/>
      <c r="K54" s="36"/>
      <c r="L54" s="26"/>
      <c r="M54" s="26"/>
      <c r="N54" s="26"/>
      <c r="O54" s="93"/>
      <c r="P54" s="95"/>
      <c r="Q54" s="197"/>
    </row>
    <row r="55" spans="1:17" x14ac:dyDescent="0.25">
      <c r="C55" s="199"/>
      <c r="D55" s="112"/>
      <c r="E55" s="33"/>
      <c r="F55" s="105"/>
      <c r="H55" s="116"/>
      <c r="I55" s="26"/>
      <c r="J55" s="98"/>
      <c r="K55" s="36"/>
      <c r="L55" s="26"/>
      <c r="M55" s="26"/>
      <c r="N55" s="26"/>
      <c r="O55" s="93"/>
      <c r="P55" s="95"/>
      <c r="Q55" s="197"/>
    </row>
    <row r="56" spans="1:17" x14ac:dyDescent="0.25">
      <c r="C56" s="199"/>
      <c r="D56" s="112"/>
      <c r="E56" s="33"/>
      <c r="F56" s="105"/>
      <c r="H56" s="116"/>
      <c r="I56" s="26"/>
      <c r="J56" s="98"/>
      <c r="K56" s="36"/>
      <c r="L56" s="26"/>
      <c r="M56" s="26"/>
      <c r="N56" s="26"/>
      <c r="O56" s="93"/>
      <c r="P56" s="95"/>
      <c r="Q56" s="197"/>
    </row>
    <row r="57" spans="1:17" x14ac:dyDescent="0.25">
      <c r="C57" s="199"/>
      <c r="D57" s="112"/>
      <c r="E57" s="33"/>
      <c r="F57" s="105"/>
      <c r="H57" s="116"/>
      <c r="I57" s="26"/>
      <c r="J57" s="98"/>
      <c r="K57" s="36"/>
      <c r="L57" s="26"/>
      <c r="M57" s="26"/>
      <c r="N57" s="26"/>
      <c r="O57" s="93"/>
      <c r="P57" s="95"/>
      <c r="Q57" s="197"/>
    </row>
    <row r="58" spans="1:17" x14ac:dyDescent="0.25">
      <c r="C58" s="199"/>
      <c r="D58" s="112"/>
      <c r="E58" s="33"/>
      <c r="F58" s="105"/>
      <c r="H58" s="116"/>
      <c r="I58" s="26"/>
      <c r="J58" s="98"/>
      <c r="K58" s="36"/>
      <c r="L58" s="26"/>
      <c r="M58" s="26"/>
      <c r="N58" s="26"/>
      <c r="O58" s="93"/>
      <c r="P58" s="95"/>
      <c r="Q58" s="197"/>
    </row>
    <row r="59" spans="1:17" x14ac:dyDescent="0.25">
      <c r="C59" s="199"/>
      <c r="D59" s="112"/>
      <c r="E59" s="33"/>
      <c r="F59" s="105"/>
      <c r="H59" s="116"/>
      <c r="I59" s="26"/>
      <c r="J59" s="98"/>
      <c r="K59" s="36"/>
      <c r="L59" s="26"/>
      <c r="M59" s="26"/>
      <c r="N59" s="26"/>
      <c r="O59" s="93"/>
      <c r="P59" s="95"/>
      <c r="Q59" s="197"/>
    </row>
    <row r="60" spans="1:17" x14ac:dyDescent="0.25">
      <c r="C60" s="199"/>
      <c r="D60" s="112"/>
      <c r="E60" s="33"/>
      <c r="F60" s="105"/>
      <c r="H60" s="116"/>
      <c r="I60" s="26"/>
      <c r="J60" s="98"/>
      <c r="K60" s="36"/>
      <c r="L60" s="26"/>
      <c r="M60" s="26"/>
      <c r="N60" s="26"/>
      <c r="O60" s="93"/>
      <c r="P60" s="95"/>
      <c r="Q60" s="197"/>
    </row>
    <row r="61" spans="1:17" x14ac:dyDescent="0.25">
      <c r="C61" s="199"/>
      <c r="D61" s="112"/>
      <c r="E61" s="33"/>
      <c r="F61" s="105"/>
      <c r="H61" s="116"/>
      <c r="I61" s="26"/>
      <c r="J61" s="98"/>
      <c r="K61" s="36"/>
      <c r="L61" s="26"/>
      <c r="M61" s="26"/>
      <c r="N61" s="26"/>
      <c r="O61" s="93"/>
      <c r="P61" s="95"/>
      <c r="Q61" s="197"/>
    </row>
    <row r="62" spans="1:17" x14ac:dyDescent="0.25">
      <c r="C62" s="199"/>
      <c r="D62" s="112"/>
      <c r="E62" s="33"/>
      <c r="F62" s="105"/>
      <c r="H62" s="116"/>
      <c r="I62" s="26"/>
      <c r="J62" s="98"/>
      <c r="K62" s="36"/>
      <c r="L62" s="26"/>
      <c r="M62" s="26"/>
      <c r="N62" s="26"/>
      <c r="O62" s="93"/>
      <c r="P62" s="95"/>
      <c r="Q62" s="197"/>
    </row>
    <row r="63" spans="1:17" x14ac:dyDescent="0.25">
      <c r="C63" s="199"/>
      <c r="D63" s="112"/>
      <c r="E63" s="33"/>
      <c r="F63" s="105"/>
      <c r="H63" s="116"/>
      <c r="I63" s="26"/>
      <c r="J63" s="98"/>
      <c r="K63" s="36"/>
      <c r="L63" s="26"/>
      <c r="M63" s="26"/>
      <c r="N63" s="26"/>
      <c r="O63" s="93"/>
      <c r="P63" s="95"/>
      <c r="Q63" s="197"/>
    </row>
    <row r="64" spans="1:17" x14ac:dyDescent="0.25">
      <c r="C64" s="199"/>
      <c r="D64" s="112"/>
      <c r="E64" s="33"/>
      <c r="F64" s="105"/>
      <c r="H64" s="116"/>
      <c r="I64" s="26"/>
      <c r="J64" s="98"/>
      <c r="K64" s="36"/>
      <c r="L64" s="26"/>
      <c r="M64" s="26"/>
      <c r="N64" s="26"/>
      <c r="O64" s="93"/>
      <c r="P64" s="95"/>
      <c r="Q64" s="197"/>
    </row>
    <row r="65" spans="3:17" x14ac:dyDescent="0.25">
      <c r="C65" s="199"/>
      <c r="D65" s="112"/>
      <c r="E65" s="33"/>
      <c r="F65" s="105"/>
      <c r="H65" s="116"/>
      <c r="I65" s="26"/>
      <c r="J65" s="98"/>
      <c r="K65" s="36"/>
      <c r="L65" s="26"/>
      <c r="M65" s="26"/>
      <c r="N65" s="26"/>
      <c r="O65" s="93"/>
      <c r="P65" s="95"/>
      <c r="Q65" s="197"/>
    </row>
    <row r="66" spans="3:17" x14ac:dyDescent="0.25">
      <c r="C66" s="199"/>
      <c r="D66" s="112"/>
      <c r="E66" s="33"/>
      <c r="F66" s="105"/>
      <c r="H66" s="116"/>
      <c r="I66" s="26"/>
      <c r="J66" s="98"/>
      <c r="K66" s="36"/>
      <c r="L66" s="26"/>
      <c r="M66" s="26"/>
      <c r="N66" s="26"/>
      <c r="O66" s="93"/>
      <c r="P66" s="95"/>
      <c r="Q66" s="197"/>
    </row>
    <row r="67" spans="3:17" x14ac:dyDescent="0.25">
      <c r="C67" s="199"/>
      <c r="D67" s="112"/>
      <c r="E67" s="33"/>
      <c r="F67" s="105"/>
      <c r="H67" s="116"/>
      <c r="I67" s="26"/>
      <c r="J67" s="98"/>
      <c r="K67" s="36"/>
      <c r="L67" s="26"/>
      <c r="M67" s="26"/>
      <c r="N67" s="26"/>
      <c r="O67" s="93"/>
      <c r="P67" s="95"/>
      <c r="Q67" s="197"/>
    </row>
    <row r="68" spans="3:17" x14ac:dyDescent="0.25">
      <c r="C68" s="199"/>
      <c r="D68" s="112"/>
      <c r="E68" s="33"/>
      <c r="F68" s="105"/>
      <c r="H68" s="116"/>
      <c r="I68" s="26"/>
      <c r="J68" s="98"/>
      <c r="K68" s="36"/>
      <c r="L68" s="26"/>
      <c r="M68" s="26"/>
      <c r="N68" s="26"/>
      <c r="O68" s="93"/>
      <c r="P68" s="95"/>
      <c r="Q68" s="197"/>
    </row>
    <row r="69" spans="3:17" x14ac:dyDescent="0.25">
      <c r="C69" s="199"/>
      <c r="D69" s="112"/>
      <c r="E69" s="33"/>
      <c r="F69" s="105"/>
      <c r="H69" s="116"/>
      <c r="I69" s="26"/>
      <c r="J69" s="98"/>
      <c r="K69" s="36"/>
      <c r="L69" s="26"/>
      <c r="M69" s="26"/>
      <c r="N69" s="26"/>
      <c r="O69" s="93"/>
      <c r="P69" s="95"/>
      <c r="Q69" s="197"/>
    </row>
    <row r="70" spans="3:17" x14ac:dyDescent="0.25">
      <c r="C70" s="199"/>
      <c r="D70" s="112"/>
      <c r="E70" s="33"/>
      <c r="F70" s="105"/>
      <c r="H70" s="116"/>
      <c r="I70" s="26"/>
      <c r="J70" s="98"/>
      <c r="K70" s="36"/>
      <c r="L70" s="26"/>
      <c r="M70" s="26"/>
      <c r="N70" s="26"/>
      <c r="O70" s="93"/>
      <c r="P70" s="95"/>
      <c r="Q70" s="197"/>
    </row>
    <row r="71" spans="3:17" x14ac:dyDescent="0.25">
      <c r="C71" s="199"/>
      <c r="D71" s="112"/>
      <c r="E71" s="33"/>
      <c r="F71" s="105"/>
      <c r="H71" s="116"/>
      <c r="I71" s="26"/>
      <c r="J71" s="98"/>
      <c r="K71" s="36"/>
      <c r="L71" s="26"/>
      <c r="M71" s="26"/>
      <c r="N71" s="26"/>
      <c r="O71" s="93"/>
      <c r="P71" s="95"/>
      <c r="Q71" s="197"/>
    </row>
    <row r="72" spans="3:17" x14ac:dyDescent="0.25">
      <c r="C72" s="199"/>
      <c r="D72" s="112"/>
      <c r="E72" s="33"/>
      <c r="F72" s="105"/>
      <c r="H72" s="116"/>
      <c r="I72" s="26"/>
      <c r="J72" s="98"/>
      <c r="K72" s="36"/>
      <c r="L72" s="26"/>
      <c r="M72" s="26"/>
      <c r="N72" s="26"/>
      <c r="O72" s="93"/>
      <c r="P72" s="95"/>
      <c r="Q72" s="197"/>
    </row>
    <row r="73" spans="3:17" x14ac:dyDescent="0.25">
      <c r="C73" s="199"/>
      <c r="D73" s="112"/>
      <c r="E73" s="33"/>
      <c r="F73" s="105"/>
      <c r="H73" s="116"/>
      <c r="I73" s="26"/>
      <c r="J73" s="98"/>
      <c r="K73" s="36"/>
      <c r="L73" s="26"/>
      <c r="M73" s="26"/>
      <c r="N73" s="26"/>
      <c r="O73" s="93"/>
      <c r="P73" s="95"/>
      <c r="Q73" s="197"/>
    </row>
    <row r="74" spans="3:17" x14ac:dyDescent="0.25">
      <c r="C74" s="199"/>
      <c r="D74" s="112"/>
      <c r="E74" s="33"/>
      <c r="F74" s="105"/>
      <c r="H74" s="116"/>
      <c r="I74" s="26"/>
      <c r="J74" s="98"/>
      <c r="K74" s="36"/>
      <c r="L74" s="26"/>
      <c r="M74" s="26"/>
      <c r="N74" s="26"/>
      <c r="O74" s="93"/>
      <c r="P74" s="95"/>
      <c r="Q74" s="197"/>
    </row>
    <row r="75" spans="3:17" x14ac:dyDescent="0.25">
      <c r="C75" s="199"/>
      <c r="D75" s="112"/>
      <c r="E75" s="33"/>
      <c r="F75" s="105"/>
      <c r="H75" s="116"/>
      <c r="I75" s="26"/>
      <c r="J75" s="98"/>
      <c r="K75" s="36"/>
      <c r="L75" s="26"/>
      <c r="M75" s="26"/>
      <c r="N75" s="26"/>
      <c r="O75" s="93"/>
      <c r="P75" s="95"/>
      <c r="Q75" s="197"/>
    </row>
    <row r="76" spans="3:17" x14ac:dyDescent="0.25">
      <c r="C76" s="199"/>
      <c r="D76" s="112"/>
      <c r="E76" s="33"/>
      <c r="F76" s="105"/>
      <c r="H76" s="116"/>
      <c r="I76" s="26"/>
      <c r="J76" s="98"/>
      <c r="K76" s="36"/>
      <c r="L76" s="26"/>
      <c r="M76" s="26"/>
      <c r="N76" s="26"/>
      <c r="O76" s="93"/>
      <c r="P76" s="95"/>
      <c r="Q76" s="197"/>
    </row>
    <row r="77" spans="3:17" x14ac:dyDescent="0.25">
      <c r="C77" s="199"/>
      <c r="D77" s="112"/>
      <c r="E77" s="33"/>
      <c r="F77" s="105"/>
      <c r="H77" s="116"/>
      <c r="I77" s="26"/>
      <c r="J77" s="98"/>
      <c r="K77" s="36"/>
      <c r="L77" s="26"/>
      <c r="M77" s="26"/>
      <c r="N77" s="26"/>
      <c r="O77" s="93"/>
      <c r="P77" s="95"/>
      <c r="Q77" s="197"/>
    </row>
    <row r="78" spans="3:17" x14ac:dyDescent="0.25">
      <c r="C78" s="199"/>
      <c r="D78" s="112"/>
      <c r="E78" s="33"/>
      <c r="F78" s="105"/>
      <c r="H78" s="116"/>
      <c r="I78" s="26"/>
      <c r="J78" s="98"/>
      <c r="K78" s="36"/>
      <c r="L78" s="26"/>
      <c r="M78" s="26"/>
      <c r="N78" s="26"/>
      <c r="O78" s="93"/>
      <c r="P78" s="95"/>
      <c r="Q78" s="197"/>
    </row>
    <row r="79" spans="3:17" x14ac:dyDescent="0.25">
      <c r="C79" s="199"/>
      <c r="D79" s="112"/>
      <c r="E79" s="33"/>
      <c r="F79" s="105"/>
      <c r="H79" s="116"/>
      <c r="I79" s="26"/>
      <c r="J79" s="98"/>
      <c r="K79" s="36"/>
      <c r="L79" s="26"/>
      <c r="M79" s="26"/>
      <c r="N79" s="26"/>
      <c r="O79" s="93"/>
      <c r="P79" s="95"/>
      <c r="Q79" s="197"/>
    </row>
    <row r="80" spans="3:17" x14ac:dyDescent="0.25">
      <c r="C80" s="199"/>
      <c r="D80" s="112"/>
      <c r="E80" s="33"/>
      <c r="F80" s="105"/>
      <c r="H80" s="116"/>
      <c r="I80" s="26"/>
      <c r="J80" s="98"/>
      <c r="K80" s="36"/>
      <c r="L80" s="26"/>
      <c r="M80" s="26"/>
      <c r="N80" s="26"/>
      <c r="O80" s="93"/>
      <c r="P80" s="95"/>
      <c r="Q80" s="197"/>
    </row>
    <row r="81" spans="3:17" x14ac:dyDescent="0.25">
      <c r="C81" s="199"/>
      <c r="D81" s="112"/>
      <c r="E81" s="33"/>
      <c r="F81" s="105"/>
      <c r="H81" s="116"/>
      <c r="I81" s="26"/>
      <c r="J81" s="98"/>
      <c r="K81" s="36"/>
      <c r="L81" s="26"/>
      <c r="M81" s="26"/>
      <c r="N81" s="26"/>
      <c r="O81" s="93"/>
      <c r="P81" s="95"/>
      <c r="Q81" s="197"/>
    </row>
    <row r="82" spans="3:17" x14ac:dyDescent="0.25">
      <c r="C82" s="199"/>
      <c r="D82" s="112"/>
      <c r="E82" s="33"/>
      <c r="F82" s="105"/>
      <c r="H82" s="116"/>
      <c r="I82" s="26"/>
      <c r="J82" s="98"/>
      <c r="K82" s="36"/>
      <c r="L82" s="26"/>
      <c r="M82" s="26"/>
      <c r="N82" s="26"/>
      <c r="O82" s="93"/>
      <c r="P82" s="95"/>
      <c r="Q82" s="197"/>
    </row>
    <row r="83" spans="3:17" x14ac:dyDescent="0.25">
      <c r="C83" s="199"/>
      <c r="D83" s="112"/>
      <c r="E83" s="33"/>
      <c r="F83" s="105"/>
      <c r="H83" s="116"/>
      <c r="I83" s="26"/>
      <c r="J83" s="98"/>
      <c r="K83" s="36"/>
      <c r="L83" s="26"/>
      <c r="M83" s="26"/>
      <c r="N83" s="26"/>
      <c r="O83" s="93"/>
      <c r="P83" s="95"/>
      <c r="Q83" s="197"/>
    </row>
    <row r="84" spans="3:17" x14ac:dyDescent="0.25">
      <c r="C84" s="199"/>
      <c r="D84" s="112"/>
      <c r="E84" s="33"/>
      <c r="F84" s="105"/>
      <c r="H84" s="116"/>
      <c r="I84" s="26"/>
      <c r="J84" s="98"/>
      <c r="K84" s="36"/>
      <c r="L84" s="26"/>
      <c r="M84" s="26"/>
      <c r="N84" s="26"/>
      <c r="O84" s="93"/>
      <c r="P84" s="95"/>
      <c r="Q84" s="197"/>
    </row>
    <row r="85" spans="3:17" x14ac:dyDescent="0.25">
      <c r="C85" s="199"/>
      <c r="D85" s="112"/>
      <c r="E85" s="33"/>
      <c r="F85" s="105"/>
      <c r="H85" s="116"/>
      <c r="I85" s="26"/>
      <c r="J85" s="98"/>
      <c r="K85" s="36"/>
      <c r="L85" s="26"/>
      <c r="M85" s="26"/>
      <c r="N85" s="26"/>
      <c r="O85" s="93"/>
      <c r="P85" s="95"/>
      <c r="Q85" s="197"/>
    </row>
    <row r="86" spans="3:17" x14ac:dyDescent="0.25">
      <c r="C86" s="199"/>
      <c r="D86" s="112"/>
      <c r="E86" s="33"/>
      <c r="F86" s="105"/>
      <c r="H86" s="116"/>
      <c r="I86" s="26"/>
      <c r="J86" s="98"/>
      <c r="K86" s="36"/>
      <c r="L86" s="26"/>
      <c r="M86" s="26"/>
      <c r="N86" s="26"/>
      <c r="O86" s="93"/>
      <c r="P86" s="95"/>
      <c r="Q86" s="197"/>
    </row>
    <row r="87" spans="3:17" x14ac:dyDescent="0.25">
      <c r="C87" s="199"/>
      <c r="D87" s="112"/>
      <c r="E87" s="33"/>
      <c r="F87" s="105"/>
      <c r="H87" s="116"/>
      <c r="I87" s="26"/>
      <c r="J87" s="98"/>
      <c r="K87" s="36"/>
      <c r="L87" s="26"/>
      <c r="M87" s="26"/>
      <c r="N87" s="26"/>
      <c r="O87" s="93"/>
      <c r="P87" s="95"/>
      <c r="Q87" s="197"/>
    </row>
    <row r="88" spans="3:17" x14ac:dyDescent="0.25">
      <c r="C88" s="199"/>
      <c r="D88" s="112"/>
      <c r="E88" s="33"/>
      <c r="F88" s="105"/>
      <c r="H88" s="116"/>
      <c r="I88" s="26"/>
      <c r="J88" s="98"/>
      <c r="K88" s="36"/>
      <c r="L88" s="26"/>
      <c r="M88" s="26"/>
      <c r="N88" s="26"/>
      <c r="O88" s="93"/>
      <c r="P88" s="95"/>
      <c r="Q88" s="197"/>
    </row>
    <row r="89" spans="3:17" x14ac:dyDescent="0.25">
      <c r="C89" s="199"/>
      <c r="D89" s="112"/>
      <c r="E89" s="33"/>
      <c r="F89" s="105"/>
      <c r="H89" s="116"/>
      <c r="I89" s="26"/>
      <c r="J89" s="98"/>
      <c r="K89" s="36"/>
      <c r="L89" s="26"/>
      <c r="M89" s="26"/>
      <c r="N89" s="26"/>
      <c r="O89" s="93"/>
      <c r="P89" s="95"/>
      <c r="Q89" s="197"/>
    </row>
    <row r="90" spans="3:17" x14ac:dyDescent="0.25">
      <c r="C90" s="199"/>
      <c r="D90" s="112"/>
      <c r="E90" s="33"/>
      <c r="F90" s="105"/>
      <c r="H90" s="116"/>
      <c r="I90" s="26"/>
      <c r="J90" s="98"/>
      <c r="K90" s="36"/>
      <c r="L90" s="26"/>
      <c r="M90" s="26"/>
      <c r="N90" s="26"/>
      <c r="O90" s="93"/>
      <c r="P90" s="95"/>
      <c r="Q90" s="197"/>
    </row>
    <row r="91" spans="3:17" x14ac:dyDescent="0.25">
      <c r="C91" s="199"/>
      <c r="D91" s="112"/>
      <c r="E91" s="33"/>
      <c r="F91" s="105"/>
      <c r="H91" s="116"/>
      <c r="I91" s="26"/>
      <c r="J91" s="98"/>
      <c r="K91" s="36"/>
      <c r="L91" s="26"/>
      <c r="M91" s="26"/>
      <c r="N91" s="26"/>
      <c r="O91" s="93"/>
      <c r="P91" s="95"/>
      <c r="Q91" s="197"/>
    </row>
    <row r="92" spans="3:17" x14ac:dyDescent="0.25">
      <c r="C92" s="199"/>
      <c r="D92" s="112"/>
      <c r="E92" s="33"/>
      <c r="F92" s="105"/>
      <c r="H92" s="116"/>
      <c r="I92" s="26"/>
      <c r="J92" s="98"/>
      <c r="K92" s="36"/>
      <c r="L92" s="26"/>
      <c r="M92" s="26"/>
      <c r="N92" s="26"/>
      <c r="O92" s="93"/>
      <c r="P92" s="95"/>
      <c r="Q92" s="197"/>
    </row>
    <row r="93" spans="3:17" x14ac:dyDescent="0.25">
      <c r="C93" s="199"/>
      <c r="D93" s="112"/>
      <c r="E93" s="33"/>
      <c r="F93" s="105"/>
      <c r="H93" s="116"/>
      <c r="I93" s="26"/>
      <c r="J93" s="98"/>
      <c r="K93" s="36"/>
      <c r="L93" s="26"/>
      <c r="M93" s="26"/>
      <c r="N93" s="26"/>
      <c r="O93" s="93"/>
      <c r="P93" s="95"/>
      <c r="Q93" s="197"/>
    </row>
    <row r="94" spans="3:17" x14ac:dyDescent="0.25">
      <c r="C94" s="199"/>
      <c r="D94" s="112"/>
      <c r="E94" s="33"/>
      <c r="F94" s="105"/>
      <c r="H94" s="116"/>
      <c r="I94" s="26"/>
      <c r="J94" s="98"/>
      <c r="K94" s="36"/>
      <c r="L94" s="26"/>
      <c r="M94" s="26"/>
      <c r="N94" s="26"/>
      <c r="O94" s="93"/>
      <c r="P94" s="95"/>
      <c r="Q94" s="197"/>
    </row>
    <row r="95" spans="3:17" x14ac:dyDescent="0.25">
      <c r="C95" s="199"/>
      <c r="D95" s="112"/>
      <c r="E95" s="33"/>
      <c r="F95" s="105"/>
      <c r="H95" s="116"/>
      <c r="I95" s="26"/>
      <c r="J95" s="98"/>
      <c r="K95" s="36"/>
      <c r="L95" s="26"/>
      <c r="M95" s="26"/>
      <c r="N95" s="26"/>
      <c r="O95" s="93"/>
      <c r="P95" s="95"/>
      <c r="Q95" s="197"/>
    </row>
    <row r="96" spans="3:17" x14ac:dyDescent="0.25">
      <c r="C96" s="199"/>
      <c r="D96" s="112"/>
      <c r="E96" s="33"/>
      <c r="F96" s="105"/>
      <c r="H96" s="116"/>
      <c r="I96" s="26"/>
      <c r="J96" s="98"/>
      <c r="K96" s="36"/>
      <c r="L96" s="26"/>
      <c r="M96" s="26"/>
      <c r="N96" s="26"/>
      <c r="O96" s="93"/>
      <c r="P96" s="95"/>
      <c r="Q96" s="197"/>
    </row>
    <row r="97" spans="3:17" x14ac:dyDescent="0.25">
      <c r="C97" s="199"/>
      <c r="D97" s="112"/>
      <c r="E97" s="33"/>
      <c r="F97" s="105"/>
      <c r="H97" s="116"/>
      <c r="I97" s="26"/>
      <c r="J97" s="98"/>
      <c r="K97" s="36"/>
      <c r="L97" s="26"/>
      <c r="M97" s="26"/>
      <c r="N97" s="26"/>
      <c r="O97" s="93"/>
      <c r="P97" s="95"/>
      <c r="Q97" s="197"/>
    </row>
    <row r="98" spans="3:17" x14ac:dyDescent="0.25">
      <c r="C98" s="199"/>
      <c r="D98" s="112"/>
      <c r="E98" s="33"/>
      <c r="F98" s="105"/>
      <c r="H98" s="116"/>
      <c r="I98" s="26"/>
      <c r="J98" s="98"/>
      <c r="K98" s="36"/>
      <c r="L98" s="26"/>
      <c r="M98" s="26"/>
      <c r="N98" s="26"/>
      <c r="O98" s="93"/>
      <c r="P98" s="95"/>
      <c r="Q98" s="197"/>
    </row>
    <row r="99" spans="3:17" x14ac:dyDescent="0.25">
      <c r="C99" s="199"/>
      <c r="D99" s="112"/>
      <c r="E99" s="33"/>
      <c r="F99" s="105"/>
      <c r="H99" s="116"/>
      <c r="I99" s="26"/>
      <c r="J99" s="98"/>
      <c r="K99" s="36"/>
      <c r="L99" s="26"/>
      <c r="M99" s="26"/>
      <c r="N99" s="26"/>
      <c r="O99" s="93"/>
      <c r="P99" s="95"/>
      <c r="Q99" s="197"/>
    </row>
    <row r="100" spans="3:17" x14ac:dyDescent="0.25">
      <c r="C100" s="199"/>
      <c r="D100" s="112"/>
      <c r="E100" s="33"/>
      <c r="F100" s="105"/>
      <c r="H100" s="116"/>
      <c r="I100" s="26"/>
      <c r="J100" s="98"/>
      <c r="K100" s="36"/>
      <c r="L100" s="26"/>
      <c r="M100" s="26"/>
      <c r="N100" s="26"/>
      <c r="O100" s="93"/>
      <c r="P100" s="95"/>
      <c r="Q100" s="197"/>
    </row>
    <row r="101" spans="3:17" x14ac:dyDescent="0.25">
      <c r="C101" s="199"/>
      <c r="D101" s="112"/>
      <c r="E101" s="33"/>
      <c r="F101" s="105"/>
      <c r="H101" s="116"/>
      <c r="I101" s="26"/>
      <c r="J101" s="98"/>
      <c r="K101" s="36"/>
      <c r="L101" s="26"/>
      <c r="M101" s="26"/>
      <c r="N101" s="26"/>
      <c r="O101" s="93"/>
      <c r="P101" s="95"/>
      <c r="Q101" s="197"/>
    </row>
    <row r="102" spans="3:17" x14ac:dyDescent="0.25">
      <c r="C102" s="199"/>
      <c r="D102" s="112"/>
      <c r="E102" s="33"/>
      <c r="F102" s="105"/>
      <c r="H102" s="116"/>
      <c r="I102" s="26"/>
      <c r="J102" s="98"/>
      <c r="K102" s="36"/>
      <c r="L102" s="26"/>
      <c r="M102" s="26"/>
      <c r="N102" s="26"/>
      <c r="O102" s="93"/>
      <c r="P102" s="95"/>
      <c r="Q102" s="197"/>
    </row>
    <row r="103" spans="3:17" x14ac:dyDescent="0.25">
      <c r="C103" s="199"/>
      <c r="D103" s="112"/>
      <c r="E103" s="33"/>
      <c r="F103" s="105"/>
      <c r="H103" s="116"/>
      <c r="I103" s="26"/>
      <c r="J103" s="98"/>
      <c r="K103" s="36"/>
      <c r="L103" s="26"/>
      <c r="M103" s="26"/>
      <c r="N103" s="26"/>
      <c r="O103" s="93"/>
      <c r="P103" s="95"/>
      <c r="Q103" s="197"/>
    </row>
    <row r="104" spans="3:17" x14ac:dyDescent="0.25">
      <c r="C104" s="199"/>
      <c r="D104" s="112"/>
      <c r="E104" s="33"/>
      <c r="F104" s="105"/>
      <c r="H104" s="116"/>
      <c r="I104" s="26"/>
      <c r="J104" s="98"/>
      <c r="K104" s="36"/>
      <c r="L104" s="26"/>
      <c r="M104" s="26"/>
      <c r="N104" s="26"/>
      <c r="O104" s="93"/>
      <c r="P104" s="95"/>
      <c r="Q104" s="197"/>
    </row>
    <row r="105" spans="3:17" x14ac:dyDescent="0.25">
      <c r="C105" s="199"/>
      <c r="D105" s="112"/>
      <c r="E105" s="33"/>
      <c r="F105" s="105"/>
      <c r="H105" s="116"/>
      <c r="I105" s="26"/>
      <c r="J105" s="98"/>
      <c r="K105" s="36"/>
      <c r="L105" s="26"/>
      <c r="M105" s="26"/>
      <c r="N105" s="26"/>
      <c r="O105" s="93"/>
      <c r="P105" s="95"/>
      <c r="Q105" s="197"/>
    </row>
    <row r="106" spans="3:17" x14ac:dyDescent="0.25">
      <c r="C106" s="199"/>
      <c r="D106" s="112"/>
      <c r="E106" s="33"/>
      <c r="F106" s="105"/>
      <c r="H106" s="116"/>
      <c r="I106" s="26"/>
      <c r="J106" s="98"/>
      <c r="K106" s="36"/>
      <c r="L106" s="26"/>
      <c r="M106" s="26"/>
      <c r="N106" s="26"/>
      <c r="O106" s="93"/>
      <c r="P106" s="95"/>
      <c r="Q106" s="197"/>
    </row>
    <row r="107" spans="3:17" x14ac:dyDescent="0.25">
      <c r="C107" s="199"/>
      <c r="D107" s="112"/>
      <c r="E107" s="33"/>
      <c r="F107" s="105"/>
      <c r="H107" s="116"/>
      <c r="I107" s="26"/>
      <c r="J107" s="98"/>
      <c r="K107" s="36"/>
      <c r="L107" s="26"/>
      <c r="M107" s="26"/>
      <c r="N107" s="26"/>
      <c r="O107" s="93"/>
      <c r="P107" s="95"/>
      <c r="Q107" s="197"/>
    </row>
    <row r="108" spans="3:17" x14ac:dyDescent="0.25">
      <c r="C108" s="199"/>
      <c r="D108" s="112"/>
      <c r="E108" s="33"/>
      <c r="F108" s="105"/>
      <c r="H108" s="116"/>
      <c r="I108" s="26"/>
      <c r="J108" s="98"/>
      <c r="K108" s="36"/>
      <c r="L108" s="26"/>
      <c r="M108" s="26"/>
      <c r="N108" s="26"/>
      <c r="O108" s="93"/>
      <c r="P108" s="95"/>
      <c r="Q108" s="197"/>
    </row>
    <row r="109" spans="3:17" x14ac:dyDescent="0.25">
      <c r="C109" s="199"/>
      <c r="D109" s="112"/>
      <c r="E109" s="33"/>
      <c r="F109" s="105"/>
      <c r="H109" s="116"/>
      <c r="I109" s="26"/>
      <c r="J109" s="98"/>
      <c r="K109" s="36"/>
      <c r="L109" s="26"/>
      <c r="M109" s="26"/>
      <c r="N109" s="26"/>
      <c r="O109" s="93"/>
      <c r="P109" s="95"/>
      <c r="Q109" s="197"/>
    </row>
    <row r="110" spans="3:17" x14ac:dyDescent="0.25">
      <c r="C110" s="199"/>
      <c r="D110" s="112"/>
      <c r="E110" s="33"/>
      <c r="F110" s="105"/>
      <c r="H110" s="116"/>
      <c r="I110" s="26"/>
      <c r="J110" s="98"/>
      <c r="K110" s="36"/>
      <c r="L110" s="26"/>
      <c r="M110" s="26"/>
      <c r="N110" s="26"/>
      <c r="O110" s="93"/>
      <c r="P110" s="95"/>
      <c r="Q110" s="197"/>
    </row>
    <row r="111" spans="3:17" x14ac:dyDescent="0.25">
      <c r="C111" s="199"/>
      <c r="D111" s="112"/>
      <c r="E111" s="33"/>
      <c r="F111" s="105"/>
      <c r="H111" s="116"/>
      <c r="I111" s="26"/>
      <c r="J111" s="98"/>
      <c r="K111" s="36"/>
      <c r="L111" s="26"/>
      <c r="M111" s="26"/>
      <c r="N111" s="26"/>
      <c r="O111" s="93"/>
      <c r="P111" s="95"/>
      <c r="Q111" s="197"/>
    </row>
    <row r="112" spans="3:17" x14ac:dyDescent="0.25">
      <c r="C112" s="199"/>
      <c r="D112" s="112"/>
      <c r="E112" s="33"/>
      <c r="F112" s="105"/>
      <c r="H112" s="116"/>
      <c r="I112" s="26"/>
      <c r="J112" s="98"/>
      <c r="K112" s="36"/>
      <c r="L112" s="26"/>
      <c r="M112" s="26"/>
      <c r="N112" s="26"/>
      <c r="O112" s="93"/>
      <c r="P112" s="95"/>
      <c r="Q112" s="197"/>
    </row>
    <row r="113" spans="3:17" x14ac:dyDescent="0.25">
      <c r="C113" s="199"/>
      <c r="D113" s="112"/>
      <c r="E113" s="33"/>
      <c r="F113" s="105"/>
      <c r="H113" s="116"/>
      <c r="I113" s="26"/>
      <c r="J113" s="98"/>
      <c r="K113" s="36"/>
      <c r="L113" s="26"/>
      <c r="M113" s="26"/>
      <c r="N113" s="26"/>
      <c r="O113" s="93"/>
      <c r="P113" s="95"/>
      <c r="Q113" s="197"/>
    </row>
    <row r="114" spans="3:17" x14ac:dyDescent="0.25">
      <c r="C114" s="199"/>
      <c r="D114" s="112"/>
      <c r="E114" s="33"/>
      <c r="F114" s="105"/>
      <c r="H114" s="116"/>
      <c r="I114" s="26"/>
      <c r="J114" s="98"/>
      <c r="K114" s="36"/>
      <c r="L114" s="26"/>
      <c r="M114" s="26"/>
      <c r="N114" s="26"/>
      <c r="O114" s="93"/>
      <c r="P114" s="95"/>
      <c r="Q114" s="197"/>
    </row>
    <row r="115" spans="3:17" x14ac:dyDescent="0.25">
      <c r="C115" s="199"/>
      <c r="D115" s="112"/>
      <c r="E115" s="33"/>
      <c r="F115" s="105"/>
      <c r="H115" s="116"/>
      <c r="I115" s="26"/>
      <c r="J115" s="98"/>
      <c r="K115" s="36"/>
      <c r="L115" s="26"/>
      <c r="M115" s="26"/>
      <c r="N115" s="26"/>
      <c r="O115" s="93"/>
      <c r="P115" s="95"/>
      <c r="Q115" s="197"/>
    </row>
    <row r="116" spans="3:17" x14ac:dyDescent="0.25">
      <c r="C116" s="199"/>
      <c r="D116" s="112"/>
      <c r="E116" s="33"/>
      <c r="F116" s="105"/>
      <c r="H116" s="116"/>
      <c r="I116" s="26"/>
      <c r="J116" s="98"/>
      <c r="K116" s="36"/>
      <c r="L116" s="26"/>
      <c r="M116" s="26"/>
      <c r="N116" s="26"/>
      <c r="O116" s="93"/>
      <c r="P116" s="95"/>
      <c r="Q116" s="197"/>
    </row>
    <row r="117" spans="3:17" x14ac:dyDescent="0.25">
      <c r="C117" s="199"/>
      <c r="D117" s="112"/>
      <c r="E117" s="33"/>
      <c r="F117" s="105"/>
      <c r="H117" s="116"/>
      <c r="I117" s="26"/>
      <c r="J117" s="98"/>
      <c r="K117" s="36"/>
      <c r="L117" s="26"/>
      <c r="M117" s="26"/>
      <c r="N117" s="26"/>
      <c r="O117" s="93"/>
      <c r="P117" s="95"/>
      <c r="Q117" s="197"/>
    </row>
    <row r="118" spans="3:17" x14ac:dyDescent="0.25">
      <c r="C118" s="199"/>
      <c r="D118" s="112"/>
      <c r="E118" s="33"/>
      <c r="F118" s="105"/>
      <c r="H118" s="116"/>
      <c r="I118" s="26"/>
      <c r="J118" s="98"/>
      <c r="K118" s="36"/>
      <c r="L118" s="26"/>
      <c r="M118" s="26"/>
      <c r="N118" s="26"/>
      <c r="O118" s="93"/>
      <c r="P118" s="95"/>
      <c r="Q118" s="197"/>
    </row>
    <row r="119" spans="3:17" x14ac:dyDescent="0.25">
      <c r="C119" s="199"/>
      <c r="D119" s="112"/>
      <c r="E119" s="33"/>
      <c r="F119" s="105"/>
      <c r="H119" s="116"/>
      <c r="I119" s="26"/>
      <c r="J119" s="98"/>
      <c r="K119" s="36"/>
      <c r="L119" s="26"/>
      <c r="M119" s="26"/>
      <c r="N119" s="26"/>
      <c r="O119" s="93"/>
      <c r="P119" s="95"/>
      <c r="Q119" s="197"/>
    </row>
    <row r="120" spans="3:17" x14ac:dyDescent="0.25">
      <c r="C120" s="199"/>
      <c r="D120" s="112"/>
      <c r="E120" s="33"/>
      <c r="F120" s="105"/>
      <c r="H120" s="116"/>
      <c r="I120" s="26"/>
      <c r="J120" s="98"/>
      <c r="K120" s="36"/>
      <c r="L120" s="26"/>
      <c r="M120" s="26"/>
      <c r="N120" s="26"/>
      <c r="O120" s="93"/>
      <c r="P120" s="95"/>
      <c r="Q120" s="197"/>
    </row>
    <row r="121" spans="3:17" x14ac:dyDescent="0.25">
      <c r="C121" s="199"/>
      <c r="D121" s="112"/>
      <c r="E121" s="33"/>
      <c r="F121" s="105"/>
      <c r="H121" s="116"/>
      <c r="I121" s="26"/>
      <c r="J121" s="98"/>
      <c r="K121" s="36"/>
      <c r="L121" s="26"/>
      <c r="M121" s="26"/>
      <c r="N121" s="26"/>
      <c r="O121" s="93"/>
      <c r="P121" s="95"/>
      <c r="Q121" s="197"/>
    </row>
    <row r="122" spans="3:17" x14ac:dyDescent="0.25">
      <c r="C122" s="199"/>
      <c r="D122" s="112"/>
      <c r="E122" s="33"/>
      <c r="F122" s="105"/>
      <c r="H122" s="116"/>
      <c r="I122" s="26"/>
      <c r="J122" s="98"/>
      <c r="K122" s="36"/>
      <c r="L122" s="26"/>
      <c r="M122" s="26"/>
      <c r="N122" s="26"/>
      <c r="O122" s="93"/>
      <c r="P122" s="95"/>
      <c r="Q122" s="197"/>
    </row>
    <row r="123" spans="3:17" x14ac:dyDescent="0.25">
      <c r="C123" s="199"/>
      <c r="D123" s="112"/>
      <c r="E123" s="33"/>
      <c r="F123" s="105"/>
      <c r="H123" s="116"/>
      <c r="I123" s="26"/>
      <c r="J123" s="98"/>
      <c r="K123" s="36"/>
      <c r="L123" s="26"/>
      <c r="M123" s="26"/>
      <c r="N123" s="26"/>
      <c r="O123" s="93"/>
      <c r="P123" s="95"/>
      <c r="Q123" s="197"/>
    </row>
    <row r="124" spans="3:17" x14ac:dyDescent="0.25">
      <c r="C124" s="199"/>
      <c r="D124" s="112"/>
      <c r="E124" s="33"/>
      <c r="F124" s="105"/>
      <c r="H124" s="116"/>
      <c r="I124" s="26"/>
      <c r="J124" s="98"/>
      <c r="K124" s="36"/>
      <c r="L124" s="26"/>
      <c r="M124" s="26"/>
      <c r="N124" s="26"/>
      <c r="O124" s="93"/>
      <c r="P124" s="95"/>
      <c r="Q124" s="197"/>
    </row>
    <row r="125" spans="3:17" x14ac:dyDescent="0.25">
      <c r="C125" s="199"/>
      <c r="D125" s="112"/>
      <c r="E125" s="33"/>
      <c r="F125" s="105"/>
      <c r="H125" s="116"/>
      <c r="I125" s="26"/>
      <c r="J125" s="98"/>
      <c r="K125" s="36"/>
      <c r="L125" s="26"/>
      <c r="M125" s="26"/>
      <c r="N125" s="26"/>
      <c r="O125" s="93"/>
      <c r="P125" s="95"/>
      <c r="Q125" s="197"/>
    </row>
    <row r="126" spans="3:17" x14ac:dyDescent="0.25">
      <c r="C126" s="199"/>
      <c r="D126" s="112"/>
      <c r="E126" s="33"/>
      <c r="F126" s="105"/>
      <c r="H126" s="116"/>
      <c r="I126" s="26"/>
      <c r="J126" s="98"/>
      <c r="K126" s="36"/>
      <c r="L126" s="26"/>
      <c r="M126" s="26"/>
      <c r="N126" s="26"/>
      <c r="O126" s="93"/>
      <c r="P126" s="95"/>
      <c r="Q126" s="197"/>
    </row>
    <row r="127" spans="3:17" x14ac:dyDescent="0.25">
      <c r="C127" s="199"/>
      <c r="D127" s="112"/>
      <c r="E127" s="33"/>
      <c r="F127" s="105"/>
      <c r="H127" s="116"/>
      <c r="I127" s="26"/>
      <c r="J127" s="98"/>
      <c r="K127" s="36"/>
      <c r="L127" s="26"/>
      <c r="M127" s="26"/>
      <c r="N127" s="26"/>
      <c r="O127" s="93"/>
      <c r="P127" s="95"/>
      <c r="Q127" s="197"/>
    </row>
    <row r="128" spans="3:17" x14ac:dyDescent="0.25">
      <c r="C128" s="199"/>
      <c r="D128" s="112"/>
      <c r="E128" s="33"/>
      <c r="F128" s="105"/>
      <c r="H128" s="116"/>
      <c r="I128" s="26"/>
      <c r="J128" s="98"/>
      <c r="K128" s="36"/>
      <c r="L128" s="26"/>
      <c r="M128" s="26"/>
      <c r="N128" s="26"/>
      <c r="O128" s="93"/>
      <c r="P128" s="95"/>
      <c r="Q128" s="197"/>
    </row>
    <row r="129" spans="3:17" x14ac:dyDescent="0.25">
      <c r="C129" s="199"/>
      <c r="D129" s="112"/>
      <c r="E129" s="33"/>
      <c r="F129" s="105"/>
      <c r="H129" s="116"/>
      <c r="I129" s="26"/>
      <c r="J129" s="98"/>
      <c r="K129" s="36"/>
      <c r="L129" s="26"/>
      <c r="M129" s="26"/>
      <c r="N129" s="26"/>
      <c r="O129" s="93"/>
      <c r="P129" s="95"/>
      <c r="Q129" s="197"/>
    </row>
    <row r="130" spans="3:17" x14ac:dyDescent="0.25">
      <c r="C130" s="199"/>
      <c r="D130" s="112"/>
      <c r="E130" s="33"/>
      <c r="F130" s="105"/>
      <c r="H130" s="116"/>
      <c r="I130" s="26"/>
      <c r="J130" s="98"/>
      <c r="K130" s="36"/>
      <c r="L130" s="26"/>
      <c r="M130" s="26"/>
      <c r="N130" s="26"/>
      <c r="O130" s="93"/>
      <c r="P130" s="95"/>
      <c r="Q130" s="197"/>
    </row>
    <row r="131" spans="3:17" x14ac:dyDescent="0.25">
      <c r="C131" s="199"/>
      <c r="D131" s="112"/>
      <c r="E131" s="33"/>
      <c r="F131" s="105"/>
      <c r="H131" s="116"/>
      <c r="I131" s="26"/>
      <c r="J131" s="98"/>
      <c r="K131" s="36"/>
      <c r="L131" s="26"/>
      <c r="M131" s="26"/>
      <c r="N131" s="26"/>
      <c r="O131" s="93"/>
      <c r="P131" s="95"/>
      <c r="Q131" s="197"/>
    </row>
    <row r="132" spans="3:17" x14ac:dyDescent="0.25">
      <c r="C132" s="199"/>
      <c r="D132" s="112"/>
      <c r="E132" s="33"/>
      <c r="F132" s="105"/>
      <c r="H132" s="116"/>
      <c r="I132" s="26"/>
      <c r="J132" s="98"/>
      <c r="K132" s="36"/>
      <c r="L132" s="26"/>
      <c r="M132" s="26"/>
      <c r="N132" s="26"/>
      <c r="O132" s="93"/>
      <c r="P132" s="95"/>
      <c r="Q132" s="197"/>
    </row>
    <row r="133" spans="3:17" x14ac:dyDescent="0.25">
      <c r="C133" s="199"/>
      <c r="D133" s="112"/>
      <c r="E133" s="33"/>
      <c r="F133" s="105"/>
      <c r="H133" s="116"/>
      <c r="I133" s="26"/>
      <c r="J133" s="98"/>
      <c r="K133" s="36"/>
      <c r="L133" s="26"/>
      <c r="M133" s="26"/>
      <c r="N133" s="26"/>
      <c r="O133" s="93"/>
      <c r="P133" s="95"/>
      <c r="Q133" s="197"/>
    </row>
    <row r="134" spans="3:17" x14ac:dyDescent="0.25">
      <c r="C134" s="199"/>
      <c r="D134" s="112"/>
      <c r="E134" s="33"/>
      <c r="F134" s="105"/>
      <c r="H134" s="116"/>
      <c r="I134" s="26"/>
      <c r="J134" s="98"/>
      <c r="K134" s="36"/>
      <c r="L134" s="26"/>
      <c r="M134" s="26"/>
      <c r="N134" s="26"/>
      <c r="O134" s="93"/>
      <c r="P134" s="95"/>
      <c r="Q134" s="197"/>
    </row>
    <row r="135" spans="3:17" x14ac:dyDescent="0.25">
      <c r="C135" s="199"/>
      <c r="D135" s="112"/>
      <c r="E135" s="33"/>
      <c r="F135" s="105"/>
      <c r="H135" s="116"/>
      <c r="I135" s="26"/>
      <c r="J135" s="98"/>
      <c r="K135" s="36"/>
      <c r="L135" s="26"/>
      <c r="M135" s="26"/>
      <c r="N135" s="26"/>
      <c r="O135" s="93"/>
      <c r="P135" s="95"/>
      <c r="Q135" s="197"/>
    </row>
    <row r="136" spans="3:17" x14ac:dyDescent="0.25">
      <c r="C136" s="199"/>
      <c r="D136" s="112"/>
      <c r="E136" s="33"/>
      <c r="F136" s="105"/>
      <c r="H136" s="116"/>
      <c r="I136" s="26"/>
      <c r="J136" s="98"/>
      <c r="K136" s="36"/>
      <c r="L136" s="26"/>
      <c r="M136" s="26"/>
      <c r="N136" s="26"/>
      <c r="O136" s="93"/>
      <c r="P136" s="95"/>
      <c r="Q136" s="197"/>
    </row>
    <row r="137" spans="3:17" x14ac:dyDescent="0.25">
      <c r="C137" s="199"/>
      <c r="D137" s="112"/>
      <c r="E137" s="33"/>
      <c r="F137" s="105"/>
      <c r="H137" s="116"/>
      <c r="I137" s="26"/>
      <c r="J137" s="98"/>
      <c r="K137" s="36"/>
      <c r="L137" s="26"/>
      <c r="M137" s="26"/>
      <c r="N137" s="26"/>
      <c r="O137" s="93"/>
      <c r="P137" s="95"/>
      <c r="Q137" s="197"/>
    </row>
    <row r="138" spans="3:17" x14ac:dyDescent="0.25">
      <c r="C138" s="199"/>
      <c r="D138" s="112"/>
      <c r="E138" s="33"/>
      <c r="F138" s="105"/>
      <c r="H138" s="116"/>
      <c r="I138" s="26"/>
      <c r="J138" s="98"/>
      <c r="K138" s="36"/>
      <c r="L138" s="26"/>
      <c r="M138" s="26"/>
      <c r="N138" s="26"/>
      <c r="O138" s="93"/>
      <c r="P138" s="95"/>
      <c r="Q138" s="197"/>
    </row>
    <row r="139" spans="3:17" x14ac:dyDescent="0.25">
      <c r="C139" s="199"/>
      <c r="D139" s="112"/>
      <c r="E139" s="33"/>
      <c r="F139" s="105"/>
      <c r="H139" s="116"/>
      <c r="I139" s="26"/>
      <c r="J139" s="98"/>
      <c r="K139" s="36"/>
      <c r="L139" s="26"/>
      <c r="M139" s="26"/>
      <c r="N139" s="26"/>
      <c r="O139" s="93"/>
      <c r="P139" s="95"/>
      <c r="Q139" s="197"/>
    </row>
    <row r="140" spans="3:17" x14ac:dyDescent="0.25">
      <c r="C140" s="199"/>
      <c r="D140" s="112"/>
      <c r="E140" s="33"/>
      <c r="F140" s="105"/>
      <c r="H140" s="116"/>
      <c r="I140" s="26"/>
      <c r="J140" s="98"/>
      <c r="K140" s="36"/>
      <c r="L140" s="26"/>
      <c r="M140" s="26"/>
      <c r="N140" s="26"/>
      <c r="O140" s="93"/>
      <c r="P140" s="95"/>
      <c r="Q140" s="197"/>
    </row>
    <row r="141" spans="3:17" x14ac:dyDescent="0.25">
      <c r="C141" s="199"/>
      <c r="D141" s="112"/>
      <c r="E141" s="33"/>
      <c r="F141" s="105"/>
      <c r="H141" s="116"/>
      <c r="I141" s="26"/>
      <c r="J141" s="98"/>
      <c r="K141" s="36"/>
      <c r="L141" s="26"/>
      <c r="M141" s="26"/>
      <c r="N141" s="26"/>
      <c r="O141" s="93"/>
      <c r="P141" s="95"/>
      <c r="Q141" s="197"/>
    </row>
    <row r="142" spans="3:17" x14ac:dyDescent="0.25">
      <c r="C142" s="199"/>
      <c r="D142" s="112"/>
      <c r="E142" s="33"/>
      <c r="F142" s="105"/>
      <c r="H142" s="116"/>
      <c r="I142" s="26"/>
      <c r="J142" s="98"/>
      <c r="K142" s="36"/>
      <c r="L142" s="26"/>
      <c r="M142" s="26"/>
      <c r="N142" s="26"/>
      <c r="O142" s="93"/>
      <c r="P142" s="95"/>
      <c r="Q142" s="197"/>
    </row>
    <row r="143" spans="3:17" x14ac:dyDescent="0.25">
      <c r="C143" s="199"/>
      <c r="D143" s="112"/>
      <c r="E143" s="33"/>
      <c r="F143" s="105"/>
      <c r="H143" s="116"/>
      <c r="I143" s="26"/>
      <c r="J143" s="98"/>
      <c r="K143" s="36"/>
      <c r="L143" s="26"/>
      <c r="M143" s="26"/>
      <c r="N143" s="26"/>
      <c r="O143" s="93"/>
      <c r="P143" s="95"/>
      <c r="Q143" s="197"/>
    </row>
    <row r="144" spans="3:17" x14ac:dyDescent="0.25">
      <c r="C144" s="199"/>
      <c r="D144" s="112"/>
      <c r="E144" s="33"/>
      <c r="F144" s="105"/>
      <c r="H144" s="116"/>
      <c r="I144" s="26"/>
      <c r="J144" s="98"/>
      <c r="K144" s="36"/>
      <c r="L144" s="26"/>
      <c r="M144" s="26"/>
      <c r="N144" s="26"/>
      <c r="O144" s="93"/>
      <c r="P144" s="95"/>
      <c r="Q144" s="197"/>
    </row>
    <row r="145" spans="3:17" x14ac:dyDescent="0.25">
      <c r="C145" s="199"/>
      <c r="D145" s="112"/>
      <c r="E145" s="33"/>
      <c r="F145" s="105"/>
      <c r="H145" s="116"/>
      <c r="I145" s="26"/>
      <c r="J145" s="98"/>
      <c r="K145" s="36"/>
      <c r="L145" s="26"/>
      <c r="M145" s="26"/>
      <c r="N145" s="26"/>
      <c r="O145" s="93"/>
      <c r="P145" s="95"/>
      <c r="Q145" s="197"/>
    </row>
    <row r="146" spans="3:17" x14ac:dyDescent="0.25">
      <c r="C146" s="199"/>
      <c r="D146" s="112"/>
      <c r="E146" s="33"/>
      <c r="F146" s="105"/>
      <c r="H146" s="116"/>
      <c r="I146" s="26"/>
      <c r="J146" s="98"/>
      <c r="K146" s="36"/>
      <c r="L146" s="26"/>
      <c r="M146" s="26"/>
      <c r="N146" s="26"/>
      <c r="O146" s="93"/>
      <c r="P146" s="95"/>
      <c r="Q146" s="197"/>
    </row>
    <row r="147" spans="3:17" x14ac:dyDescent="0.25">
      <c r="C147" s="199"/>
      <c r="D147" s="112"/>
      <c r="E147" s="33"/>
      <c r="F147" s="105"/>
      <c r="H147" s="116"/>
      <c r="I147" s="26"/>
      <c r="J147" s="98"/>
      <c r="K147" s="36"/>
      <c r="L147" s="26"/>
      <c r="M147" s="26"/>
      <c r="N147" s="26"/>
      <c r="O147" s="93"/>
      <c r="P147" s="95"/>
      <c r="Q147" s="197"/>
    </row>
    <row r="148" spans="3:17" x14ac:dyDescent="0.25">
      <c r="C148" s="199"/>
      <c r="D148" s="112"/>
      <c r="E148" s="33"/>
      <c r="F148" s="105"/>
      <c r="H148" s="116"/>
      <c r="I148" s="26"/>
      <c r="J148" s="98"/>
      <c r="K148" s="36"/>
      <c r="L148" s="26"/>
      <c r="M148" s="26"/>
      <c r="N148" s="26"/>
      <c r="O148" s="93"/>
      <c r="P148" s="95"/>
      <c r="Q148" s="197"/>
    </row>
    <row r="149" spans="3:17" x14ac:dyDescent="0.25">
      <c r="C149" s="199"/>
      <c r="D149" s="112"/>
      <c r="E149" s="33"/>
      <c r="F149" s="105"/>
      <c r="H149" s="116"/>
      <c r="I149" s="26"/>
      <c r="J149" s="98"/>
      <c r="K149" s="36"/>
      <c r="L149" s="26"/>
      <c r="M149" s="26"/>
      <c r="N149" s="26"/>
      <c r="O149" s="93"/>
      <c r="P149" s="95"/>
      <c r="Q149" s="197"/>
    </row>
    <row r="150" spans="3:17" x14ac:dyDescent="0.25">
      <c r="C150" s="199"/>
      <c r="D150" s="112"/>
      <c r="E150" s="33"/>
      <c r="F150" s="105"/>
      <c r="H150" s="116"/>
      <c r="I150" s="26"/>
      <c r="J150" s="98"/>
      <c r="K150" s="36"/>
      <c r="L150" s="26"/>
      <c r="M150" s="26"/>
      <c r="N150" s="26"/>
      <c r="O150" s="93"/>
      <c r="P150" s="95"/>
      <c r="Q150" s="197"/>
    </row>
    <row r="151" spans="3:17" x14ac:dyDescent="0.25">
      <c r="C151" s="199"/>
      <c r="D151" s="112"/>
      <c r="E151" s="33"/>
      <c r="F151" s="105"/>
      <c r="H151" s="116"/>
      <c r="I151" s="26"/>
      <c r="J151" s="98"/>
      <c r="K151" s="36"/>
      <c r="L151" s="26"/>
      <c r="M151" s="26"/>
      <c r="N151" s="26"/>
      <c r="O151" s="93"/>
      <c r="P151" s="95"/>
      <c r="Q151" s="197"/>
    </row>
    <row r="152" spans="3:17" x14ac:dyDescent="0.25">
      <c r="C152" s="199"/>
      <c r="D152" s="112"/>
      <c r="E152" s="33"/>
      <c r="F152" s="105"/>
      <c r="H152" s="116"/>
      <c r="I152" s="26"/>
      <c r="J152" s="98"/>
      <c r="K152" s="36"/>
      <c r="L152" s="26"/>
      <c r="M152" s="26"/>
      <c r="N152" s="26"/>
      <c r="O152" s="93"/>
      <c r="P152" s="95"/>
      <c r="Q152" s="197"/>
    </row>
    <row r="153" spans="3:17" x14ac:dyDescent="0.25">
      <c r="C153" s="199"/>
      <c r="D153" s="112"/>
      <c r="E153" s="33"/>
      <c r="F153" s="105"/>
      <c r="H153" s="116"/>
      <c r="I153" s="26"/>
      <c r="J153" s="98"/>
      <c r="K153" s="36"/>
      <c r="L153" s="26"/>
      <c r="M153" s="26"/>
      <c r="N153" s="26"/>
      <c r="O153" s="93"/>
      <c r="P153" s="95"/>
      <c r="Q153" s="197"/>
    </row>
    <row r="154" spans="3:17" x14ac:dyDescent="0.25">
      <c r="C154" s="199"/>
      <c r="D154" s="112"/>
      <c r="E154" s="33"/>
      <c r="F154" s="105"/>
      <c r="H154" s="116"/>
      <c r="I154" s="26"/>
      <c r="J154" s="98"/>
      <c r="K154" s="36"/>
      <c r="L154" s="26"/>
      <c r="M154" s="26"/>
      <c r="N154" s="26"/>
      <c r="O154" s="93"/>
      <c r="P154" s="95"/>
      <c r="Q154" s="197"/>
    </row>
    <row r="155" spans="3:17" x14ac:dyDescent="0.25">
      <c r="C155" s="199"/>
      <c r="D155" s="112"/>
      <c r="E155" s="33"/>
      <c r="F155" s="105"/>
      <c r="H155" s="116"/>
      <c r="I155" s="26"/>
      <c r="J155" s="98"/>
      <c r="K155" s="36"/>
      <c r="L155" s="26"/>
      <c r="M155" s="26"/>
      <c r="N155" s="26"/>
      <c r="O155" s="93"/>
      <c r="P155" s="95"/>
      <c r="Q155" s="197"/>
    </row>
    <row r="156" spans="3:17" x14ac:dyDescent="0.25">
      <c r="C156" s="199"/>
      <c r="D156" s="112"/>
      <c r="E156" s="33"/>
      <c r="F156" s="105"/>
      <c r="H156" s="116"/>
      <c r="I156" s="26"/>
      <c r="J156" s="98"/>
      <c r="K156" s="36"/>
      <c r="L156" s="26"/>
      <c r="M156" s="26"/>
      <c r="N156" s="26"/>
      <c r="O156" s="93"/>
      <c r="P156" s="95"/>
      <c r="Q156" s="197"/>
    </row>
    <row r="157" spans="3:17" x14ac:dyDescent="0.25">
      <c r="C157" s="199"/>
      <c r="D157" s="112"/>
      <c r="E157" s="33"/>
      <c r="F157" s="105"/>
      <c r="H157" s="116"/>
      <c r="I157" s="26"/>
      <c r="J157" s="98"/>
      <c r="K157" s="36"/>
      <c r="L157" s="26"/>
      <c r="M157" s="26"/>
      <c r="N157" s="26"/>
      <c r="O157" s="93"/>
      <c r="P157" s="95"/>
      <c r="Q157" s="197"/>
    </row>
    <row r="158" spans="3:17" x14ac:dyDescent="0.25">
      <c r="C158" s="199"/>
      <c r="D158" s="112"/>
      <c r="E158" s="33"/>
      <c r="F158" s="105"/>
      <c r="H158" s="116"/>
      <c r="I158" s="26"/>
      <c r="J158" s="98"/>
      <c r="K158" s="36"/>
      <c r="L158" s="26"/>
      <c r="M158" s="26"/>
      <c r="N158" s="26"/>
      <c r="O158" s="93"/>
      <c r="P158" s="95"/>
      <c r="Q158" s="197"/>
    </row>
    <row r="159" spans="3:17" x14ac:dyDescent="0.25">
      <c r="C159" s="199"/>
      <c r="D159" s="112"/>
      <c r="E159" s="33"/>
      <c r="F159" s="105"/>
      <c r="H159" s="116"/>
      <c r="I159" s="26"/>
      <c r="J159" s="98"/>
      <c r="K159" s="36"/>
      <c r="L159" s="26"/>
      <c r="M159" s="26"/>
      <c r="N159" s="26"/>
      <c r="O159" s="93"/>
      <c r="P159" s="95"/>
      <c r="Q159" s="197"/>
    </row>
    <row r="160" spans="3:17" x14ac:dyDescent="0.25">
      <c r="C160" s="199"/>
      <c r="D160" s="112"/>
      <c r="E160" s="33"/>
      <c r="F160" s="105"/>
      <c r="H160" s="116"/>
      <c r="I160" s="26"/>
      <c r="J160" s="98"/>
      <c r="K160" s="36"/>
      <c r="L160" s="26"/>
      <c r="M160" s="26"/>
      <c r="N160" s="26"/>
      <c r="O160" s="93"/>
      <c r="P160" s="95"/>
      <c r="Q160" s="197"/>
    </row>
    <row r="161" spans="3:17" x14ac:dyDescent="0.25">
      <c r="C161" s="199"/>
      <c r="D161" s="112"/>
      <c r="E161" s="33"/>
      <c r="F161" s="105"/>
      <c r="H161" s="116"/>
      <c r="I161" s="26"/>
      <c r="J161" s="98"/>
      <c r="K161" s="36"/>
      <c r="L161" s="26"/>
      <c r="M161" s="26"/>
      <c r="N161" s="26"/>
      <c r="O161" s="93"/>
      <c r="P161" s="95"/>
      <c r="Q161" s="197"/>
    </row>
    <row r="162" spans="3:17" x14ac:dyDescent="0.25">
      <c r="C162" s="199"/>
      <c r="D162" s="112"/>
      <c r="E162" s="33"/>
      <c r="F162" s="105"/>
      <c r="H162" s="116"/>
      <c r="I162" s="26"/>
      <c r="J162" s="98"/>
      <c r="K162" s="36"/>
      <c r="L162" s="26"/>
      <c r="M162" s="26"/>
      <c r="N162" s="26"/>
      <c r="O162" s="93"/>
      <c r="P162" s="95"/>
      <c r="Q162" s="197"/>
    </row>
    <row r="163" spans="3:17" x14ac:dyDescent="0.25">
      <c r="C163" s="199"/>
      <c r="D163" s="112"/>
      <c r="E163" s="33"/>
      <c r="F163" s="105"/>
      <c r="H163" s="116"/>
      <c r="I163" s="26"/>
      <c r="J163" s="98"/>
      <c r="K163" s="36"/>
      <c r="L163" s="26"/>
      <c r="M163" s="26"/>
      <c r="N163" s="26"/>
      <c r="O163" s="93"/>
      <c r="P163" s="95"/>
      <c r="Q163" s="197"/>
    </row>
    <row r="164" spans="3:17" x14ac:dyDescent="0.25">
      <c r="C164" s="199"/>
      <c r="D164" s="112"/>
      <c r="E164" s="33"/>
      <c r="F164" s="105"/>
      <c r="H164" s="116"/>
      <c r="I164" s="26"/>
      <c r="J164" s="98"/>
      <c r="K164" s="36"/>
      <c r="L164" s="26"/>
      <c r="M164" s="26"/>
      <c r="N164" s="26"/>
      <c r="O164" s="93"/>
      <c r="P164" s="95"/>
      <c r="Q164" s="197"/>
    </row>
    <row r="165" spans="3:17" x14ac:dyDescent="0.25">
      <c r="C165" s="199"/>
      <c r="D165" s="112"/>
      <c r="E165" s="33"/>
      <c r="F165" s="105"/>
      <c r="H165" s="116"/>
      <c r="I165" s="26"/>
      <c r="J165" s="98"/>
      <c r="K165" s="36"/>
      <c r="L165" s="26"/>
      <c r="M165" s="26"/>
      <c r="N165" s="26"/>
      <c r="O165" s="93"/>
      <c r="P165" s="95"/>
      <c r="Q165" s="197"/>
    </row>
    <row r="166" spans="3:17" x14ac:dyDescent="0.25">
      <c r="C166" s="199"/>
      <c r="D166" s="112"/>
      <c r="E166" s="33"/>
      <c r="F166" s="105"/>
      <c r="H166" s="116"/>
      <c r="I166" s="26"/>
      <c r="J166" s="98"/>
      <c r="K166" s="36"/>
      <c r="L166" s="26"/>
      <c r="M166" s="26"/>
      <c r="N166" s="26"/>
      <c r="O166" s="93"/>
      <c r="P166" s="95"/>
      <c r="Q166" s="197"/>
    </row>
    <row r="167" spans="3:17" x14ac:dyDescent="0.25">
      <c r="C167" s="199"/>
      <c r="D167" s="112"/>
      <c r="E167" s="33"/>
      <c r="F167" s="105"/>
      <c r="H167" s="116"/>
      <c r="I167" s="26"/>
      <c r="J167" s="98"/>
      <c r="K167" s="36"/>
      <c r="L167" s="26"/>
      <c r="M167" s="26"/>
      <c r="N167" s="26"/>
      <c r="O167" s="93"/>
      <c r="P167" s="95"/>
      <c r="Q167" s="197"/>
    </row>
    <row r="168" spans="3:17" x14ac:dyDescent="0.25">
      <c r="C168" s="199"/>
      <c r="D168" s="112"/>
      <c r="E168" s="33"/>
      <c r="F168" s="105"/>
      <c r="H168" s="116"/>
      <c r="I168" s="26"/>
      <c r="J168" s="98"/>
      <c r="K168" s="36"/>
      <c r="L168" s="26"/>
      <c r="M168" s="26"/>
      <c r="N168" s="26"/>
      <c r="O168" s="93"/>
      <c r="P168" s="95"/>
      <c r="Q168" s="197"/>
    </row>
    <row r="169" spans="3:17" x14ac:dyDescent="0.25">
      <c r="C169" s="199"/>
      <c r="D169" s="112"/>
      <c r="E169" s="33"/>
      <c r="F169" s="105"/>
      <c r="H169" s="116"/>
      <c r="I169" s="26"/>
      <c r="J169" s="98"/>
      <c r="K169" s="36"/>
      <c r="L169" s="26"/>
      <c r="M169" s="26"/>
      <c r="N169" s="26"/>
      <c r="O169" s="93"/>
      <c r="P169" s="95"/>
      <c r="Q169" s="197"/>
    </row>
    <row r="170" spans="3:17" x14ac:dyDescent="0.25">
      <c r="C170" s="199"/>
      <c r="D170" s="112"/>
      <c r="E170" s="33"/>
      <c r="F170" s="105"/>
      <c r="H170" s="116"/>
      <c r="I170" s="26"/>
      <c r="J170" s="98"/>
      <c r="K170" s="36"/>
      <c r="L170" s="26"/>
      <c r="M170" s="26"/>
      <c r="N170" s="26"/>
      <c r="O170" s="93"/>
      <c r="P170" s="95"/>
      <c r="Q170" s="197"/>
    </row>
    <row r="171" spans="3:17" x14ac:dyDescent="0.25">
      <c r="C171" s="199"/>
      <c r="D171" s="112"/>
      <c r="E171" s="33"/>
      <c r="F171" s="105"/>
      <c r="H171" s="116"/>
      <c r="I171" s="26"/>
      <c r="J171" s="98"/>
      <c r="K171" s="36"/>
      <c r="L171" s="26"/>
      <c r="M171" s="26"/>
      <c r="N171" s="26"/>
      <c r="O171" s="93"/>
      <c r="P171" s="95"/>
      <c r="Q171" s="197"/>
    </row>
    <row r="172" spans="3:17" x14ac:dyDescent="0.25">
      <c r="C172" s="199"/>
      <c r="D172" s="112"/>
      <c r="E172" s="33"/>
      <c r="F172" s="105"/>
      <c r="H172" s="116"/>
      <c r="I172" s="26"/>
      <c r="J172" s="98"/>
      <c r="K172" s="36"/>
      <c r="L172" s="26"/>
      <c r="M172" s="26"/>
      <c r="N172" s="26"/>
      <c r="O172" s="93"/>
      <c r="P172" s="95"/>
      <c r="Q172" s="197"/>
    </row>
    <row r="173" spans="3:17" x14ac:dyDescent="0.25">
      <c r="C173" s="199"/>
      <c r="D173" s="112"/>
      <c r="E173" s="33"/>
      <c r="F173" s="105"/>
      <c r="H173" s="116"/>
      <c r="I173" s="26"/>
      <c r="J173" s="98"/>
      <c r="K173" s="36"/>
      <c r="L173" s="26"/>
      <c r="M173" s="26"/>
      <c r="N173" s="26"/>
      <c r="O173" s="93"/>
      <c r="P173" s="95"/>
      <c r="Q173" s="197"/>
    </row>
    <row r="174" spans="3:17" x14ac:dyDescent="0.25">
      <c r="C174" s="199"/>
      <c r="D174" s="112"/>
      <c r="E174" s="33"/>
      <c r="F174" s="105"/>
      <c r="H174" s="116"/>
      <c r="I174" s="26"/>
      <c r="J174" s="98"/>
      <c r="K174" s="36"/>
      <c r="L174" s="26"/>
      <c r="M174" s="26"/>
      <c r="N174" s="26"/>
      <c r="O174" s="93"/>
      <c r="P174" s="95"/>
      <c r="Q174" s="197"/>
    </row>
    <row r="175" spans="3:17" x14ac:dyDescent="0.25">
      <c r="C175" s="199"/>
      <c r="D175" s="112"/>
      <c r="E175" s="33"/>
      <c r="F175" s="105"/>
      <c r="H175" s="116"/>
      <c r="I175" s="26"/>
      <c r="J175" s="98"/>
      <c r="K175" s="36"/>
      <c r="L175" s="26"/>
      <c r="M175" s="26"/>
      <c r="N175" s="26"/>
      <c r="O175" s="93"/>
      <c r="P175" s="95"/>
      <c r="Q175" s="197"/>
    </row>
    <row r="176" spans="3:17" x14ac:dyDescent="0.25">
      <c r="C176" s="199"/>
      <c r="D176" s="112"/>
      <c r="E176" s="33"/>
      <c r="F176" s="105"/>
      <c r="H176" s="116"/>
      <c r="I176" s="26"/>
      <c r="J176" s="98"/>
      <c r="K176" s="36"/>
      <c r="L176" s="26"/>
      <c r="M176" s="26"/>
      <c r="N176" s="26"/>
      <c r="O176" s="93"/>
      <c r="P176" s="95"/>
      <c r="Q176" s="197"/>
    </row>
    <row r="177" spans="3:17" x14ac:dyDescent="0.25">
      <c r="C177" s="199"/>
      <c r="D177" s="112"/>
      <c r="E177" s="33"/>
      <c r="F177" s="105"/>
      <c r="H177" s="116"/>
      <c r="I177" s="26"/>
      <c r="J177" s="98"/>
      <c r="K177" s="36"/>
      <c r="L177" s="26"/>
      <c r="M177" s="26"/>
      <c r="N177" s="26"/>
      <c r="O177" s="93"/>
      <c r="P177" s="95"/>
      <c r="Q177" s="197"/>
    </row>
    <row r="178" spans="3:17" x14ac:dyDescent="0.25">
      <c r="C178" s="199"/>
      <c r="D178" s="112"/>
      <c r="E178" s="33"/>
      <c r="F178" s="105"/>
      <c r="H178" s="116"/>
      <c r="I178" s="26"/>
      <c r="J178" s="98"/>
      <c r="K178" s="36"/>
      <c r="L178" s="26"/>
      <c r="M178" s="26"/>
      <c r="N178" s="26"/>
      <c r="O178" s="93"/>
      <c r="P178" s="95"/>
      <c r="Q178" s="197"/>
    </row>
    <row r="179" spans="3:17" x14ac:dyDescent="0.25">
      <c r="C179" s="199"/>
      <c r="D179" s="112"/>
      <c r="E179" s="33"/>
      <c r="F179" s="105"/>
      <c r="H179" s="116"/>
      <c r="I179" s="26"/>
      <c r="J179" s="98"/>
      <c r="K179" s="36"/>
      <c r="L179" s="26"/>
      <c r="M179" s="26"/>
      <c r="N179" s="26"/>
      <c r="O179" s="93"/>
      <c r="P179" s="95"/>
      <c r="Q179" s="197"/>
    </row>
    <row r="180" spans="3:17" x14ac:dyDescent="0.25">
      <c r="C180" s="199"/>
      <c r="D180" s="112"/>
      <c r="E180" s="33"/>
      <c r="F180" s="105"/>
      <c r="H180" s="116"/>
      <c r="I180" s="26"/>
      <c r="J180" s="98"/>
      <c r="K180" s="36"/>
      <c r="L180" s="26"/>
      <c r="M180" s="26"/>
      <c r="N180" s="26"/>
      <c r="O180" s="93"/>
      <c r="P180" s="95"/>
      <c r="Q180" s="197"/>
    </row>
    <row r="181" spans="3:17" x14ac:dyDescent="0.25">
      <c r="C181" s="199"/>
      <c r="D181" s="112"/>
      <c r="E181" s="33"/>
      <c r="F181" s="105"/>
      <c r="H181" s="116"/>
      <c r="I181" s="26"/>
      <c r="J181" s="98"/>
      <c r="K181" s="36"/>
      <c r="L181" s="26"/>
      <c r="M181" s="26"/>
      <c r="N181" s="26"/>
      <c r="O181" s="93"/>
      <c r="P181" s="95"/>
      <c r="Q181" s="197"/>
    </row>
    <row r="182" spans="3:17" x14ac:dyDescent="0.25">
      <c r="C182" s="199"/>
      <c r="D182" s="112"/>
      <c r="E182" s="33"/>
      <c r="F182" s="105"/>
      <c r="H182" s="116"/>
      <c r="I182" s="26"/>
      <c r="J182" s="98"/>
      <c r="K182" s="36"/>
      <c r="L182" s="26"/>
      <c r="M182" s="26"/>
      <c r="N182" s="26"/>
      <c r="O182" s="93"/>
      <c r="P182" s="95"/>
      <c r="Q182" s="197"/>
    </row>
    <row r="183" spans="3:17" x14ac:dyDescent="0.25">
      <c r="C183" s="199"/>
      <c r="D183" s="112"/>
      <c r="E183" s="33"/>
      <c r="F183" s="105"/>
      <c r="H183" s="116"/>
      <c r="I183" s="26"/>
      <c r="J183" s="98"/>
      <c r="K183" s="36"/>
      <c r="L183" s="26"/>
      <c r="M183" s="26"/>
      <c r="N183" s="26"/>
      <c r="O183" s="93"/>
      <c r="P183" s="95"/>
      <c r="Q183" s="197"/>
    </row>
    <row r="184" spans="3:17" x14ac:dyDescent="0.25">
      <c r="C184" s="199"/>
      <c r="D184" s="112"/>
      <c r="E184" s="33"/>
      <c r="F184" s="105"/>
      <c r="H184" s="116"/>
      <c r="I184" s="26"/>
      <c r="J184" s="98"/>
      <c r="K184" s="36"/>
      <c r="L184" s="26"/>
      <c r="M184" s="26"/>
      <c r="N184" s="26"/>
      <c r="O184" s="93"/>
      <c r="P184" s="95"/>
      <c r="Q184" s="197"/>
    </row>
    <row r="185" spans="3:17" x14ac:dyDescent="0.25">
      <c r="C185" s="199"/>
      <c r="D185" s="112"/>
      <c r="E185" s="33"/>
      <c r="F185" s="105"/>
      <c r="H185" s="116"/>
      <c r="I185" s="26"/>
      <c r="J185" s="98"/>
      <c r="K185" s="36"/>
      <c r="L185" s="26"/>
      <c r="M185" s="26"/>
      <c r="N185" s="26"/>
      <c r="O185" s="93"/>
      <c r="P185" s="95"/>
      <c r="Q185" s="197"/>
    </row>
    <row r="186" spans="3:17" x14ac:dyDescent="0.25">
      <c r="C186" s="199"/>
      <c r="D186" s="112"/>
      <c r="E186" s="33"/>
      <c r="F186" s="105"/>
      <c r="H186" s="116"/>
      <c r="I186" s="26"/>
      <c r="J186" s="98"/>
      <c r="K186" s="36"/>
      <c r="L186" s="26"/>
      <c r="M186" s="26"/>
      <c r="N186" s="26"/>
      <c r="O186" s="93"/>
      <c r="P186" s="95"/>
      <c r="Q186" s="197"/>
    </row>
    <row r="187" spans="3:17" x14ac:dyDescent="0.25">
      <c r="C187" s="199"/>
      <c r="D187" s="112"/>
      <c r="E187" s="33"/>
      <c r="F187" s="105"/>
      <c r="H187" s="116"/>
      <c r="I187" s="26"/>
      <c r="J187" s="98"/>
      <c r="K187" s="36"/>
      <c r="L187" s="26"/>
      <c r="M187" s="26"/>
      <c r="N187" s="26"/>
      <c r="O187" s="93"/>
      <c r="P187" s="95"/>
      <c r="Q187" s="197"/>
    </row>
    <row r="188" spans="3:17" x14ac:dyDescent="0.25">
      <c r="C188" s="199"/>
      <c r="D188" s="112"/>
      <c r="E188" s="33"/>
      <c r="F188" s="105"/>
      <c r="H188" s="116"/>
      <c r="I188" s="26"/>
      <c r="J188" s="98"/>
      <c r="K188" s="36"/>
      <c r="L188" s="26"/>
      <c r="M188" s="26"/>
      <c r="N188" s="26"/>
      <c r="O188" s="93"/>
      <c r="P188" s="95"/>
      <c r="Q188" s="197"/>
    </row>
    <row r="189" spans="3:17" x14ac:dyDescent="0.25">
      <c r="C189" s="199"/>
      <c r="D189" s="112"/>
      <c r="E189" s="33"/>
      <c r="F189" s="105"/>
      <c r="H189" s="116"/>
      <c r="I189" s="26"/>
      <c r="J189" s="98"/>
      <c r="K189" s="36"/>
      <c r="L189" s="26"/>
      <c r="M189" s="26"/>
      <c r="N189" s="26"/>
      <c r="O189" s="93"/>
      <c r="P189" s="95"/>
      <c r="Q189" s="197"/>
    </row>
    <row r="190" spans="3:17" x14ac:dyDescent="0.25">
      <c r="C190" s="199"/>
      <c r="D190" s="112"/>
      <c r="E190" s="33"/>
      <c r="F190" s="105"/>
      <c r="H190" s="116"/>
      <c r="I190" s="26"/>
      <c r="J190" s="98"/>
      <c r="K190" s="36"/>
      <c r="L190" s="26"/>
      <c r="M190" s="26"/>
      <c r="N190" s="26"/>
      <c r="O190" s="93"/>
      <c r="P190" s="95"/>
      <c r="Q190" s="197"/>
    </row>
    <row r="191" spans="3:17" x14ac:dyDescent="0.25">
      <c r="C191" s="199"/>
      <c r="D191" s="112"/>
      <c r="E191" s="33"/>
      <c r="F191" s="105"/>
      <c r="H191" s="116"/>
      <c r="I191" s="26"/>
      <c r="J191" s="98"/>
      <c r="K191" s="36"/>
      <c r="L191" s="26"/>
      <c r="M191" s="26"/>
      <c r="N191" s="26"/>
      <c r="O191" s="93"/>
      <c r="P191" s="95"/>
      <c r="Q191" s="197"/>
    </row>
    <row r="192" spans="3:17" x14ac:dyDescent="0.25">
      <c r="C192" s="199"/>
      <c r="D192" s="112"/>
      <c r="E192" s="33"/>
      <c r="F192" s="105"/>
      <c r="H192" s="116"/>
      <c r="I192" s="26"/>
      <c r="J192" s="98"/>
      <c r="K192" s="36"/>
      <c r="L192" s="26"/>
      <c r="M192" s="26"/>
      <c r="N192" s="26"/>
      <c r="O192" s="93"/>
      <c r="P192" s="95"/>
      <c r="Q192" s="197"/>
    </row>
    <row r="193" spans="3:17" x14ac:dyDescent="0.25">
      <c r="C193" s="199"/>
      <c r="D193" s="112"/>
      <c r="E193" s="33"/>
      <c r="F193" s="105"/>
      <c r="H193" s="116"/>
      <c r="I193" s="26"/>
      <c r="J193" s="98"/>
      <c r="K193" s="36"/>
      <c r="L193" s="26"/>
      <c r="M193" s="26"/>
      <c r="N193" s="26"/>
      <c r="O193" s="93"/>
      <c r="P193" s="95"/>
      <c r="Q193" s="197"/>
    </row>
    <row r="194" spans="3:17" x14ac:dyDescent="0.25">
      <c r="C194" s="199"/>
      <c r="D194" s="112"/>
      <c r="E194" s="33"/>
      <c r="F194" s="105"/>
      <c r="H194" s="116"/>
      <c r="I194" s="26"/>
      <c r="J194" s="98"/>
      <c r="K194" s="36"/>
      <c r="L194" s="26"/>
      <c r="M194" s="26"/>
      <c r="N194" s="26"/>
      <c r="O194" s="93"/>
      <c r="P194" s="95"/>
      <c r="Q194" s="197"/>
    </row>
    <row r="195" spans="3:17" x14ac:dyDescent="0.25">
      <c r="C195" s="199"/>
      <c r="D195" s="112"/>
      <c r="E195" s="33"/>
      <c r="F195" s="105"/>
      <c r="H195" s="116"/>
      <c r="I195" s="26"/>
      <c r="J195" s="98"/>
      <c r="K195" s="36"/>
      <c r="L195" s="26"/>
      <c r="M195" s="26"/>
      <c r="N195" s="26"/>
      <c r="O195" s="93"/>
      <c r="P195" s="95"/>
      <c r="Q195" s="197"/>
    </row>
    <row r="196" spans="3:17" x14ac:dyDescent="0.25">
      <c r="C196" s="199"/>
      <c r="D196" s="112"/>
      <c r="E196" s="33"/>
      <c r="F196" s="105"/>
      <c r="H196" s="116"/>
      <c r="I196" s="26"/>
      <c r="J196" s="98"/>
      <c r="K196" s="36"/>
      <c r="L196" s="26"/>
      <c r="M196" s="26"/>
      <c r="N196" s="26"/>
      <c r="O196" s="93"/>
      <c r="P196" s="95"/>
      <c r="Q196" s="197"/>
    </row>
    <row r="197" spans="3:17" x14ac:dyDescent="0.25">
      <c r="C197" s="199"/>
      <c r="D197" s="112"/>
      <c r="E197" s="33"/>
      <c r="F197" s="105"/>
      <c r="H197" s="116"/>
      <c r="I197" s="26"/>
      <c r="J197" s="98"/>
      <c r="K197" s="36"/>
      <c r="L197" s="26"/>
      <c r="M197" s="26"/>
      <c r="N197" s="26"/>
      <c r="O197" s="93"/>
      <c r="P197" s="95"/>
      <c r="Q197" s="197"/>
    </row>
    <row r="198" spans="3:17" x14ac:dyDescent="0.25">
      <c r="C198" s="199"/>
      <c r="D198" s="112"/>
      <c r="E198" s="33"/>
      <c r="F198" s="105"/>
      <c r="H198" s="116"/>
      <c r="I198" s="26"/>
      <c r="J198" s="98"/>
      <c r="K198" s="36"/>
      <c r="L198" s="26"/>
      <c r="M198" s="26"/>
      <c r="N198" s="26"/>
      <c r="O198" s="93"/>
      <c r="P198" s="95"/>
      <c r="Q198" s="197"/>
    </row>
    <row r="199" spans="3:17" x14ac:dyDescent="0.25">
      <c r="C199" s="199"/>
      <c r="D199" s="112"/>
      <c r="E199" s="33"/>
      <c r="F199" s="105"/>
      <c r="H199" s="116"/>
      <c r="I199" s="26"/>
      <c r="J199" s="98"/>
      <c r="K199" s="36"/>
      <c r="L199" s="26"/>
      <c r="M199" s="26"/>
      <c r="N199" s="26"/>
      <c r="O199" s="93"/>
      <c r="P199" s="95"/>
      <c r="Q199" s="197"/>
    </row>
    <row r="200" spans="3:17" x14ac:dyDescent="0.25">
      <c r="C200" s="199"/>
      <c r="D200" s="112"/>
      <c r="E200" s="33"/>
      <c r="F200" s="105"/>
      <c r="H200" s="116"/>
      <c r="I200" s="26"/>
      <c r="J200" s="98"/>
      <c r="K200" s="36"/>
      <c r="L200" s="26"/>
      <c r="M200" s="26"/>
      <c r="N200" s="26"/>
      <c r="O200" s="93"/>
      <c r="P200" s="95"/>
      <c r="Q200" s="197"/>
    </row>
    <row r="201" spans="3:17" x14ac:dyDescent="0.25">
      <c r="C201" s="199"/>
      <c r="D201" s="112"/>
      <c r="E201" s="33"/>
      <c r="F201" s="105"/>
      <c r="H201" s="116"/>
      <c r="I201" s="26"/>
      <c r="J201" s="98"/>
      <c r="K201" s="36"/>
      <c r="L201" s="26"/>
      <c r="M201" s="26"/>
      <c r="N201" s="26"/>
      <c r="O201" s="93"/>
      <c r="P201" s="95"/>
      <c r="Q201" s="197"/>
    </row>
    <row r="202" spans="3:17" x14ac:dyDescent="0.25">
      <c r="C202" s="199"/>
      <c r="D202" s="112"/>
      <c r="E202" s="33"/>
      <c r="F202" s="105"/>
      <c r="H202" s="116"/>
      <c r="I202" s="26"/>
      <c r="J202" s="98"/>
      <c r="K202" s="36"/>
      <c r="L202" s="26"/>
      <c r="M202" s="26"/>
      <c r="N202" s="26"/>
      <c r="O202" s="93"/>
      <c r="P202" s="95"/>
      <c r="Q202" s="197"/>
    </row>
    <row r="203" spans="3:17" x14ac:dyDescent="0.25">
      <c r="C203" s="199"/>
      <c r="D203" s="112"/>
      <c r="E203" s="33"/>
      <c r="F203" s="105"/>
      <c r="H203" s="116"/>
      <c r="I203" s="26"/>
      <c r="J203" s="98"/>
      <c r="K203" s="36"/>
      <c r="L203" s="26"/>
      <c r="M203" s="26"/>
      <c r="N203" s="26"/>
      <c r="O203" s="93"/>
      <c r="P203" s="95"/>
      <c r="Q203" s="197"/>
    </row>
    <row r="204" spans="3:17" x14ac:dyDescent="0.25">
      <c r="C204" s="199"/>
      <c r="D204" s="112"/>
      <c r="E204" s="33"/>
      <c r="F204" s="105"/>
      <c r="H204" s="116"/>
      <c r="I204" s="26"/>
      <c r="J204" s="98"/>
      <c r="K204" s="36"/>
      <c r="L204" s="26"/>
      <c r="M204" s="26"/>
      <c r="N204" s="26"/>
      <c r="O204" s="93"/>
      <c r="P204" s="95"/>
      <c r="Q204" s="197"/>
    </row>
    <row r="205" spans="3:17" x14ac:dyDescent="0.25">
      <c r="C205" s="199"/>
      <c r="D205" s="112"/>
      <c r="E205" s="33"/>
      <c r="F205" s="105"/>
      <c r="H205" s="116"/>
      <c r="I205" s="26"/>
      <c r="J205" s="98"/>
      <c r="K205" s="36"/>
      <c r="L205" s="26"/>
      <c r="M205" s="26"/>
      <c r="N205" s="26"/>
      <c r="O205" s="93"/>
      <c r="P205" s="95"/>
      <c r="Q205" s="197"/>
    </row>
    <row r="206" spans="3:17" x14ac:dyDescent="0.25">
      <c r="C206" s="199"/>
      <c r="D206" s="112"/>
      <c r="E206" s="33"/>
      <c r="F206" s="105"/>
      <c r="H206" s="116"/>
      <c r="I206" s="26"/>
      <c r="J206" s="98"/>
      <c r="K206" s="36"/>
      <c r="L206" s="26"/>
      <c r="M206" s="26"/>
      <c r="N206" s="26"/>
      <c r="O206" s="93"/>
      <c r="P206" s="95"/>
      <c r="Q206" s="197"/>
    </row>
    <row r="207" spans="3:17" x14ac:dyDescent="0.25">
      <c r="C207" s="199"/>
      <c r="D207" s="112"/>
      <c r="E207" s="33"/>
      <c r="F207" s="105"/>
      <c r="H207" s="116"/>
      <c r="I207" s="26"/>
      <c r="J207" s="98"/>
      <c r="K207" s="36"/>
      <c r="L207" s="26"/>
      <c r="M207" s="26"/>
      <c r="N207" s="26"/>
      <c r="O207" s="93"/>
      <c r="P207" s="95"/>
      <c r="Q207" s="197"/>
    </row>
    <row r="208" spans="3:17" x14ac:dyDescent="0.25">
      <c r="C208" s="199"/>
      <c r="D208" s="112"/>
      <c r="E208" s="33"/>
      <c r="F208" s="105"/>
      <c r="H208" s="116"/>
      <c r="I208" s="26"/>
      <c r="J208" s="98"/>
      <c r="K208" s="36"/>
      <c r="L208" s="26"/>
      <c r="M208" s="26"/>
      <c r="N208" s="26"/>
      <c r="O208" s="93"/>
      <c r="P208" s="95"/>
      <c r="Q208" s="197"/>
    </row>
    <row r="209" spans="3:17" x14ac:dyDescent="0.25">
      <c r="C209" s="199"/>
      <c r="D209" s="112"/>
      <c r="E209" s="33"/>
      <c r="F209" s="105"/>
      <c r="H209" s="116"/>
      <c r="I209" s="26"/>
      <c r="J209" s="98"/>
      <c r="K209" s="36"/>
      <c r="L209" s="26"/>
      <c r="M209" s="26"/>
      <c r="N209" s="26"/>
      <c r="O209" s="93"/>
      <c r="P209" s="95"/>
      <c r="Q209" s="197"/>
    </row>
    <row r="210" spans="3:17" x14ac:dyDescent="0.25">
      <c r="C210" s="199"/>
      <c r="D210" s="112"/>
      <c r="E210" s="33"/>
      <c r="F210" s="105"/>
      <c r="H210" s="116"/>
      <c r="I210" s="26"/>
      <c r="J210" s="98"/>
      <c r="K210" s="36"/>
      <c r="L210" s="26"/>
      <c r="M210" s="26"/>
      <c r="N210" s="26"/>
      <c r="O210" s="93"/>
      <c r="P210" s="95"/>
      <c r="Q210" s="197"/>
    </row>
    <row r="211" spans="3:17" x14ac:dyDescent="0.25">
      <c r="C211" s="199"/>
      <c r="D211" s="112"/>
      <c r="E211" s="33"/>
      <c r="F211" s="105"/>
      <c r="H211" s="116"/>
      <c r="I211" s="26"/>
      <c r="J211" s="98"/>
      <c r="K211" s="36"/>
      <c r="L211" s="26"/>
      <c r="M211" s="26"/>
      <c r="N211" s="26"/>
      <c r="O211" s="93"/>
      <c r="P211" s="95"/>
      <c r="Q211" s="197"/>
    </row>
    <row r="212" spans="3:17" x14ac:dyDescent="0.25">
      <c r="C212" s="199"/>
      <c r="D212" s="112"/>
      <c r="E212" s="33"/>
      <c r="F212" s="105"/>
      <c r="H212" s="116"/>
      <c r="I212" s="26"/>
      <c r="J212" s="98"/>
      <c r="K212" s="36"/>
      <c r="L212" s="26"/>
      <c r="M212" s="26"/>
      <c r="N212" s="26"/>
      <c r="O212" s="93"/>
      <c r="P212" s="95"/>
      <c r="Q212" s="197"/>
    </row>
    <row r="213" spans="3:17" x14ac:dyDescent="0.25">
      <c r="C213" s="199"/>
      <c r="D213" s="112"/>
      <c r="E213" s="33"/>
      <c r="F213" s="105"/>
      <c r="H213" s="116"/>
      <c r="I213" s="26"/>
      <c r="J213" s="98"/>
      <c r="K213" s="36"/>
      <c r="L213" s="26"/>
      <c r="M213" s="26"/>
      <c r="N213" s="26"/>
      <c r="O213" s="93"/>
      <c r="P213" s="95"/>
      <c r="Q213" s="197"/>
    </row>
    <row r="214" spans="3:17" x14ac:dyDescent="0.25">
      <c r="C214" s="199"/>
      <c r="D214" s="112"/>
      <c r="E214" s="33"/>
      <c r="F214" s="105"/>
      <c r="H214" s="116"/>
      <c r="I214" s="26"/>
      <c r="J214" s="98"/>
      <c r="K214" s="36"/>
      <c r="L214" s="26"/>
      <c r="M214" s="26"/>
      <c r="N214" s="26"/>
      <c r="O214" s="93"/>
      <c r="P214" s="95"/>
      <c r="Q214" s="197"/>
    </row>
    <row r="215" spans="3:17" x14ac:dyDescent="0.25">
      <c r="C215" s="199"/>
      <c r="D215" s="112"/>
      <c r="E215" s="33"/>
      <c r="F215" s="105"/>
      <c r="H215" s="116"/>
      <c r="I215" s="26"/>
      <c r="J215" s="98"/>
      <c r="K215" s="36"/>
      <c r="L215" s="26"/>
      <c r="M215" s="26"/>
      <c r="N215" s="26"/>
      <c r="O215" s="93"/>
      <c r="P215" s="95"/>
      <c r="Q215" s="197"/>
    </row>
    <row r="216" spans="3:17" x14ac:dyDescent="0.25">
      <c r="C216" s="199"/>
      <c r="D216" s="112"/>
      <c r="E216" s="33"/>
      <c r="F216" s="105"/>
      <c r="H216" s="116"/>
      <c r="I216" s="26"/>
      <c r="J216" s="98"/>
      <c r="K216" s="36"/>
      <c r="L216" s="26"/>
      <c r="M216" s="26"/>
      <c r="N216" s="26"/>
      <c r="O216" s="93"/>
      <c r="P216" s="95"/>
      <c r="Q216" s="197"/>
    </row>
    <row r="217" spans="3:17" x14ac:dyDescent="0.25">
      <c r="C217" s="199"/>
      <c r="D217" s="112"/>
      <c r="E217" s="33"/>
      <c r="F217" s="105"/>
      <c r="H217" s="116"/>
      <c r="I217" s="26"/>
      <c r="J217" s="98"/>
      <c r="K217" s="36"/>
      <c r="L217" s="26"/>
      <c r="M217" s="26"/>
      <c r="N217" s="26"/>
      <c r="O217" s="93"/>
      <c r="P217" s="95"/>
      <c r="Q217" s="197"/>
    </row>
    <row r="218" spans="3:17" x14ac:dyDescent="0.25">
      <c r="C218" s="199"/>
      <c r="D218" s="112"/>
      <c r="E218" s="33"/>
      <c r="F218" s="105"/>
      <c r="H218" s="116"/>
      <c r="I218" s="26"/>
      <c r="J218" s="98"/>
      <c r="K218" s="36"/>
      <c r="L218" s="26"/>
      <c r="M218" s="26"/>
      <c r="N218" s="26"/>
      <c r="O218" s="93"/>
      <c r="P218" s="95"/>
      <c r="Q218" s="197"/>
    </row>
    <row r="219" spans="3:17" x14ac:dyDescent="0.25">
      <c r="C219" s="199"/>
      <c r="D219" s="112"/>
      <c r="E219" s="33"/>
      <c r="F219" s="105"/>
      <c r="H219" s="116"/>
      <c r="I219" s="26"/>
      <c r="J219" s="98"/>
      <c r="K219" s="36"/>
      <c r="L219" s="26"/>
      <c r="M219" s="26"/>
      <c r="N219" s="26"/>
      <c r="O219" s="93"/>
      <c r="P219" s="95"/>
      <c r="Q219" s="197"/>
    </row>
    <row r="220" spans="3:17" x14ac:dyDescent="0.25">
      <c r="C220" s="199"/>
      <c r="D220" s="112"/>
      <c r="E220" s="33"/>
      <c r="F220" s="105"/>
      <c r="H220" s="116"/>
      <c r="I220" s="26"/>
      <c r="J220" s="98"/>
      <c r="K220" s="36"/>
      <c r="L220" s="26"/>
      <c r="M220" s="26"/>
      <c r="N220" s="26"/>
      <c r="O220" s="93"/>
      <c r="P220" s="95"/>
      <c r="Q220" s="197"/>
    </row>
    <row r="221" spans="3:17" x14ac:dyDescent="0.25">
      <c r="C221" s="199"/>
      <c r="D221" s="112"/>
      <c r="E221" s="33"/>
      <c r="F221" s="105"/>
      <c r="H221" s="116"/>
      <c r="I221" s="26"/>
      <c r="J221" s="98"/>
      <c r="K221" s="36"/>
      <c r="L221" s="26"/>
      <c r="M221" s="26"/>
      <c r="N221" s="26"/>
      <c r="O221" s="93"/>
      <c r="P221" s="95"/>
      <c r="Q221" s="197"/>
    </row>
    <row r="222" spans="3:17" x14ac:dyDescent="0.25">
      <c r="C222" s="199"/>
      <c r="D222" s="112"/>
      <c r="E222" s="33"/>
      <c r="F222" s="105"/>
      <c r="H222" s="116"/>
      <c r="I222" s="26"/>
      <c r="J222" s="98"/>
      <c r="K222" s="36"/>
      <c r="L222" s="26"/>
      <c r="M222" s="26"/>
      <c r="N222" s="26"/>
      <c r="O222" s="93"/>
      <c r="P222" s="95"/>
      <c r="Q222" s="197"/>
    </row>
    <row r="223" spans="3:17" x14ac:dyDescent="0.25">
      <c r="C223" s="199"/>
      <c r="D223" s="112"/>
      <c r="E223" s="33"/>
      <c r="F223" s="105"/>
      <c r="H223" s="116"/>
      <c r="I223" s="26"/>
      <c r="J223" s="98"/>
      <c r="K223" s="36"/>
      <c r="L223" s="26"/>
      <c r="M223" s="26"/>
      <c r="N223" s="26"/>
      <c r="O223" s="93"/>
      <c r="P223" s="95"/>
      <c r="Q223" s="197"/>
    </row>
    <row r="224" spans="3:17" x14ac:dyDescent="0.25">
      <c r="C224" s="199"/>
      <c r="D224" s="112"/>
      <c r="E224" s="33"/>
      <c r="F224" s="105"/>
      <c r="H224" s="116"/>
      <c r="I224" s="26"/>
      <c r="J224" s="98"/>
      <c r="K224" s="36"/>
      <c r="L224" s="26"/>
      <c r="M224" s="26"/>
      <c r="N224" s="26"/>
      <c r="O224" s="93"/>
      <c r="P224" s="95"/>
      <c r="Q224" s="197"/>
    </row>
    <row r="225" spans="3:17" x14ac:dyDescent="0.25">
      <c r="C225" s="199"/>
      <c r="D225" s="112"/>
      <c r="E225" s="33"/>
      <c r="F225" s="105"/>
      <c r="H225" s="116"/>
      <c r="I225" s="26"/>
      <c r="J225" s="98"/>
      <c r="K225" s="36"/>
      <c r="L225" s="26"/>
      <c r="M225" s="26"/>
      <c r="N225" s="26"/>
      <c r="O225" s="93"/>
      <c r="P225" s="95"/>
      <c r="Q225" s="197"/>
    </row>
    <row r="226" spans="3:17" x14ac:dyDescent="0.25">
      <c r="C226" s="199"/>
      <c r="D226" s="112"/>
      <c r="E226" s="33"/>
      <c r="F226" s="105"/>
      <c r="H226" s="116"/>
      <c r="I226" s="26"/>
      <c r="J226" s="98"/>
      <c r="K226" s="36"/>
      <c r="L226" s="26"/>
      <c r="M226" s="26"/>
      <c r="N226" s="26"/>
      <c r="O226" s="93"/>
      <c r="P226" s="95"/>
      <c r="Q226" s="197"/>
    </row>
    <row r="227" spans="3:17" x14ac:dyDescent="0.25">
      <c r="C227" s="199"/>
      <c r="D227" s="112"/>
      <c r="E227" s="33"/>
      <c r="F227" s="105"/>
      <c r="H227" s="116"/>
      <c r="I227" s="26"/>
      <c r="J227" s="98"/>
      <c r="K227" s="36"/>
      <c r="L227" s="26"/>
      <c r="M227" s="26"/>
      <c r="N227" s="26"/>
      <c r="O227" s="93"/>
      <c r="P227" s="95"/>
      <c r="Q227" s="197"/>
    </row>
    <row r="228" spans="3:17" x14ac:dyDescent="0.25">
      <c r="C228" s="199"/>
      <c r="D228" s="112"/>
      <c r="E228" s="33"/>
      <c r="F228" s="105"/>
      <c r="H228" s="116"/>
      <c r="I228" s="26"/>
      <c r="J228" s="98"/>
      <c r="K228" s="36"/>
      <c r="L228" s="26"/>
      <c r="M228" s="26"/>
      <c r="N228" s="26"/>
      <c r="O228" s="93"/>
      <c r="P228" s="95"/>
      <c r="Q228" s="197"/>
    </row>
    <row r="229" spans="3:17" x14ac:dyDescent="0.25">
      <c r="C229" s="199"/>
      <c r="D229" s="112"/>
      <c r="E229" s="33"/>
      <c r="F229" s="105"/>
      <c r="H229" s="116"/>
      <c r="I229" s="26"/>
      <c r="J229" s="98"/>
      <c r="K229" s="36"/>
      <c r="L229" s="26"/>
      <c r="M229" s="26"/>
      <c r="N229" s="26"/>
      <c r="O229" s="93"/>
      <c r="P229" s="95"/>
      <c r="Q229" s="197"/>
    </row>
    <row r="230" spans="3:17" x14ac:dyDescent="0.25">
      <c r="C230" s="199"/>
      <c r="D230" s="112"/>
      <c r="E230" s="33"/>
      <c r="F230" s="105"/>
      <c r="H230" s="116"/>
      <c r="I230" s="26"/>
      <c r="J230" s="98"/>
      <c r="K230" s="36"/>
      <c r="L230" s="26"/>
      <c r="M230" s="26"/>
      <c r="N230" s="26"/>
      <c r="O230" s="93"/>
      <c r="P230" s="95"/>
      <c r="Q230" s="197"/>
    </row>
    <row r="231" spans="3:17" x14ac:dyDescent="0.25">
      <c r="C231" s="199"/>
      <c r="D231" s="112"/>
      <c r="E231" s="33"/>
      <c r="F231" s="105"/>
      <c r="H231" s="116"/>
      <c r="I231" s="26"/>
      <c r="J231" s="98"/>
      <c r="K231" s="36"/>
      <c r="L231" s="26"/>
      <c r="M231" s="26"/>
      <c r="N231" s="26"/>
      <c r="O231" s="93"/>
      <c r="P231" s="95"/>
      <c r="Q231" s="197"/>
    </row>
    <row r="232" spans="3:17" x14ac:dyDescent="0.25">
      <c r="C232" s="199"/>
      <c r="D232" s="112"/>
      <c r="E232" s="33"/>
      <c r="F232" s="105"/>
      <c r="H232" s="116"/>
      <c r="I232" s="26"/>
      <c r="J232" s="98"/>
      <c r="K232" s="36"/>
      <c r="L232" s="26"/>
      <c r="M232" s="26"/>
      <c r="N232" s="26"/>
      <c r="O232" s="93"/>
      <c r="P232" s="95"/>
      <c r="Q232" s="197"/>
    </row>
    <row r="233" spans="3:17" x14ac:dyDescent="0.25">
      <c r="C233" s="199"/>
      <c r="D233" s="112"/>
      <c r="E233" s="33"/>
      <c r="F233" s="105"/>
      <c r="H233" s="116"/>
      <c r="I233" s="26"/>
      <c r="J233" s="98"/>
      <c r="K233" s="36"/>
      <c r="L233" s="26"/>
      <c r="M233" s="26"/>
      <c r="N233" s="26"/>
      <c r="O233" s="93"/>
      <c r="P233" s="95"/>
      <c r="Q233" s="197"/>
    </row>
    <row r="234" spans="3:17" x14ac:dyDescent="0.25">
      <c r="C234" s="199"/>
      <c r="D234" s="112"/>
      <c r="E234" s="33"/>
      <c r="F234" s="105"/>
      <c r="H234" s="116"/>
      <c r="I234" s="26"/>
      <c r="J234" s="98"/>
      <c r="K234" s="36"/>
      <c r="L234" s="26"/>
      <c r="M234" s="26"/>
      <c r="N234" s="26"/>
      <c r="O234" s="93"/>
      <c r="P234" s="95"/>
      <c r="Q234" s="197"/>
    </row>
    <row r="235" spans="3:17" x14ac:dyDescent="0.25">
      <c r="C235" s="199"/>
      <c r="D235" s="112"/>
      <c r="E235" s="33"/>
      <c r="F235" s="105"/>
      <c r="H235" s="116"/>
      <c r="I235" s="26"/>
      <c r="J235" s="98"/>
      <c r="K235" s="36"/>
      <c r="L235" s="26"/>
      <c r="M235" s="26"/>
      <c r="N235" s="26"/>
      <c r="O235" s="93"/>
      <c r="P235" s="95"/>
      <c r="Q235" s="197"/>
    </row>
    <row r="236" spans="3:17" x14ac:dyDescent="0.25">
      <c r="C236" s="199"/>
      <c r="D236" s="112"/>
      <c r="E236" s="33"/>
      <c r="F236" s="105"/>
      <c r="H236" s="116"/>
      <c r="I236" s="26"/>
      <c r="J236" s="98"/>
      <c r="K236" s="36"/>
      <c r="L236" s="26"/>
      <c r="M236" s="26"/>
      <c r="N236" s="26"/>
      <c r="O236" s="93"/>
      <c r="P236" s="95"/>
      <c r="Q236" s="197"/>
    </row>
    <row r="237" spans="3:17" x14ac:dyDescent="0.25">
      <c r="C237" s="199"/>
      <c r="D237" s="112"/>
      <c r="E237" s="33"/>
      <c r="F237" s="105"/>
      <c r="H237" s="116"/>
      <c r="I237" s="26"/>
      <c r="J237" s="98"/>
      <c r="K237" s="36"/>
      <c r="L237" s="26"/>
      <c r="M237" s="26"/>
      <c r="N237" s="26"/>
      <c r="O237" s="93"/>
      <c r="P237" s="95"/>
      <c r="Q237" s="197"/>
    </row>
    <row r="238" spans="3:17" x14ac:dyDescent="0.25">
      <c r="C238" s="199"/>
      <c r="D238" s="112"/>
      <c r="E238" s="33"/>
      <c r="F238" s="105"/>
      <c r="H238" s="116"/>
      <c r="I238" s="26"/>
      <c r="J238" s="98"/>
      <c r="K238" s="36"/>
      <c r="L238" s="26"/>
      <c r="M238" s="26"/>
      <c r="N238" s="26"/>
      <c r="O238" s="93"/>
      <c r="P238" s="95"/>
      <c r="Q238" s="197"/>
    </row>
    <row r="239" spans="3:17" x14ac:dyDescent="0.25">
      <c r="C239" s="199"/>
      <c r="D239" s="112"/>
      <c r="E239" s="33"/>
      <c r="F239" s="105"/>
      <c r="H239" s="116"/>
      <c r="I239" s="26"/>
      <c r="J239" s="98"/>
      <c r="K239" s="36"/>
      <c r="L239" s="26"/>
      <c r="M239" s="26"/>
      <c r="N239" s="26"/>
      <c r="O239" s="93"/>
      <c r="P239" s="95"/>
      <c r="Q239" s="197"/>
    </row>
    <row r="240" spans="3:17" x14ac:dyDescent="0.25">
      <c r="C240" s="199"/>
      <c r="D240" s="112"/>
      <c r="E240" s="33"/>
      <c r="F240" s="105"/>
      <c r="H240" s="116"/>
      <c r="I240" s="26"/>
      <c r="J240" s="98"/>
      <c r="K240" s="36"/>
      <c r="L240" s="26"/>
      <c r="M240" s="26"/>
      <c r="N240" s="26"/>
      <c r="O240" s="93"/>
      <c r="P240" s="95"/>
      <c r="Q240" s="197"/>
    </row>
    <row r="241" spans="3:17" x14ac:dyDescent="0.25">
      <c r="C241" s="199"/>
      <c r="D241" s="112"/>
      <c r="E241" s="33"/>
      <c r="F241" s="105"/>
      <c r="H241" s="116"/>
      <c r="I241" s="26"/>
      <c r="J241" s="98"/>
      <c r="K241" s="36"/>
      <c r="L241" s="26"/>
      <c r="M241" s="26"/>
      <c r="N241" s="26"/>
      <c r="O241" s="93"/>
      <c r="P241" s="95"/>
      <c r="Q241" s="197"/>
    </row>
    <row r="242" spans="3:17" x14ac:dyDescent="0.25">
      <c r="C242" s="199"/>
      <c r="D242" s="112"/>
      <c r="E242" s="33"/>
      <c r="F242" s="105"/>
      <c r="H242" s="116"/>
      <c r="I242" s="26"/>
      <c r="J242" s="98"/>
      <c r="K242" s="36"/>
      <c r="L242" s="26"/>
      <c r="M242" s="26"/>
      <c r="N242" s="26"/>
      <c r="O242" s="93"/>
      <c r="P242" s="95"/>
      <c r="Q242" s="197"/>
    </row>
    <row r="243" spans="3:17" x14ac:dyDescent="0.25">
      <c r="C243" s="199"/>
      <c r="D243" s="112"/>
      <c r="E243" s="33"/>
      <c r="F243" s="105"/>
      <c r="H243" s="116"/>
      <c r="I243" s="26"/>
      <c r="J243" s="98"/>
      <c r="K243" s="36"/>
      <c r="L243" s="26"/>
      <c r="M243" s="26"/>
      <c r="N243" s="26"/>
      <c r="O243" s="93"/>
      <c r="P243" s="95"/>
      <c r="Q243" s="197"/>
    </row>
    <row r="244" spans="3:17" x14ac:dyDescent="0.25">
      <c r="C244" s="199"/>
      <c r="D244" s="112"/>
      <c r="E244" s="33"/>
      <c r="F244" s="105"/>
      <c r="H244" s="116"/>
      <c r="I244" s="26"/>
      <c r="J244" s="98"/>
      <c r="K244" s="36"/>
      <c r="L244" s="26"/>
      <c r="M244" s="26"/>
      <c r="N244" s="26"/>
      <c r="O244" s="93"/>
      <c r="P244" s="95"/>
      <c r="Q244" s="197"/>
    </row>
    <row r="245" spans="3:17" x14ac:dyDescent="0.25">
      <c r="C245" s="199"/>
      <c r="D245" s="112"/>
      <c r="E245" s="33"/>
      <c r="F245" s="105"/>
      <c r="H245" s="116"/>
      <c r="I245" s="26"/>
      <c r="J245" s="98"/>
      <c r="K245" s="36"/>
      <c r="L245" s="26"/>
      <c r="M245" s="26"/>
      <c r="N245" s="26"/>
      <c r="O245" s="93"/>
      <c r="P245" s="95"/>
      <c r="Q245" s="197"/>
    </row>
    <row r="246" spans="3:17" x14ac:dyDescent="0.25">
      <c r="C246" s="199"/>
      <c r="D246" s="112"/>
      <c r="E246" s="33"/>
      <c r="F246" s="105"/>
      <c r="H246" s="116"/>
      <c r="I246" s="26"/>
      <c r="J246" s="98"/>
      <c r="K246" s="36"/>
      <c r="L246" s="26"/>
      <c r="M246" s="26"/>
      <c r="N246" s="26"/>
      <c r="O246" s="93"/>
      <c r="P246" s="95"/>
      <c r="Q246" s="197"/>
    </row>
    <row r="247" spans="3:17" x14ac:dyDescent="0.25">
      <c r="C247" s="199"/>
      <c r="D247" s="112"/>
      <c r="E247" s="33"/>
      <c r="F247" s="105"/>
      <c r="H247" s="116"/>
      <c r="I247" s="26"/>
      <c r="J247" s="98"/>
      <c r="K247" s="36"/>
      <c r="L247" s="26"/>
      <c r="M247" s="26"/>
      <c r="N247" s="26"/>
      <c r="O247" s="93"/>
      <c r="P247" s="95"/>
      <c r="Q247" s="197"/>
    </row>
    <row r="248" spans="3:17" x14ac:dyDescent="0.25">
      <c r="C248" s="199"/>
      <c r="D248" s="112"/>
      <c r="E248" s="33"/>
      <c r="F248" s="105"/>
      <c r="H248" s="116"/>
      <c r="I248" s="26"/>
      <c r="J248" s="98"/>
      <c r="K248" s="36"/>
      <c r="L248" s="26"/>
      <c r="M248" s="26"/>
      <c r="N248" s="26"/>
      <c r="O248" s="93"/>
      <c r="P248" s="95"/>
      <c r="Q248" s="197"/>
    </row>
    <row r="249" spans="3:17" x14ac:dyDescent="0.25">
      <c r="C249" s="199"/>
      <c r="D249" s="112"/>
      <c r="E249" s="33"/>
      <c r="F249" s="105"/>
      <c r="H249" s="116"/>
      <c r="I249" s="26"/>
      <c r="J249" s="98"/>
      <c r="K249" s="36"/>
      <c r="L249" s="26"/>
      <c r="M249" s="26"/>
      <c r="N249" s="26"/>
      <c r="O249" s="93"/>
      <c r="P249" s="95"/>
      <c r="Q249" s="197"/>
    </row>
    <row r="250" spans="3:17" x14ac:dyDescent="0.25">
      <c r="C250" s="199"/>
      <c r="D250" s="112"/>
      <c r="E250" s="33"/>
      <c r="F250" s="105"/>
      <c r="H250" s="116"/>
      <c r="I250" s="26"/>
      <c r="J250" s="98"/>
      <c r="K250" s="36"/>
      <c r="L250" s="26"/>
      <c r="M250" s="26"/>
      <c r="N250" s="26"/>
      <c r="O250" s="93"/>
      <c r="P250" s="95"/>
      <c r="Q250" s="197"/>
    </row>
    <row r="251" spans="3:17" x14ac:dyDescent="0.25">
      <c r="C251" s="199"/>
      <c r="D251" s="112"/>
      <c r="E251" s="33"/>
      <c r="F251" s="105"/>
      <c r="H251" s="116"/>
      <c r="I251" s="26"/>
      <c r="J251" s="98"/>
      <c r="K251" s="36"/>
      <c r="L251" s="26"/>
      <c r="M251" s="26"/>
      <c r="N251" s="26"/>
      <c r="O251" s="93"/>
      <c r="P251" s="95"/>
      <c r="Q251" s="197"/>
    </row>
    <row r="252" spans="3:17" x14ac:dyDescent="0.25">
      <c r="C252" s="199"/>
      <c r="D252" s="112"/>
      <c r="E252" s="33"/>
      <c r="F252" s="105"/>
      <c r="H252" s="116"/>
      <c r="I252" s="26"/>
      <c r="J252" s="98"/>
      <c r="K252" s="36"/>
      <c r="L252" s="26"/>
      <c r="M252" s="26"/>
      <c r="N252" s="26"/>
      <c r="O252" s="93"/>
      <c r="P252" s="95"/>
      <c r="Q252" s="197"/>
    </row>
    <row r="253" spans="3:17" x14ac:dyDescent="0.25">
      <c r="C253" s="199"/>
      <c r="D253" s="112"/>
      <c r="E253" s="33"/>
      <c r="F253" s="105"/>
      <c r="H253" s="116"/>
      <c r="I253" s="26"/>
      <c r="J253" s="98"/>
      <c r="K253" s="36"/>
      <c r="L253" s="26"/>
      <c r="M253" s="26"/>
      <c r="N253" s="26"/>
      <c r="O253" s="93"/>
      <c r="P253" s="95"/>
      <c r="Q253" s="197"/>
    </row>
    <row r="254" spans="3:17" x14ac:dyDescent="0.25">
      <c r="C254" s="199"/>
      <c r="D254" s="112"/>
      <c r="E254" s="33"/>
      <c r="F254" s="105"/>
      <c r="H254" s="116"/>
      <c r="I254" s="26"/>
      <c r="J254" s="98"/>
      <c r="K254" s="36"/>
      <c r="L254" s="26"/>
      <c r="M254" s="26"/>
      <c r="N254" s="26"/>
      <c r="O254" s="93"/>
      <c r="P254" s="95"/>
      <c r="Q254" s="197"/>
    </row>
    <row r="255" spans="3:17" x14ac:dyDescent="0.25">
      <c r="C255" s="199"/>
      <c r="D255" s="112"/>
      <c r="E255" s="33"/>
      <c r="F255" s="105"/>
      <c r="H255" s="116"/>
      <c r="I255" s="26"/>
      <c r="J255" s="98"/>
      <c r="K255" s="36"/>
      <c r="L255" s="26"/>
      <c r="M255" s="26"/>
      <c r="N255" s="26"/>
      <c r="O255" s="93"/>
      <c r="P255" s="95"/>
      <c r="Q255" s="197"/>
    </row>
    <row r="256" spans="3:17" x14ac:dyDescent="0.25">
      <c r="C256" s="199"/>
      <c r="D256" s="112"/>
      <c r="E256" s="33"/>
      <c r="F256" s="105"/>
      <c r="H256" s="116"/>
      <c r="I256" s="26"/>
      <c r="J256" s="98"/>
      <c r="K256" s="36"/>
      <c r="L256" s="26"/>
      <c r="M256" s="26"/>
      <c r="N256" s="26"/>
      <c r="O256" s="93"/>
      <c r="P256" s="95"/>
      <c r="Q256" s="197"/>
    </row>
    <row r="257" spans="3:17" x14ac:dyDescent="0.25">
      <c r="C257" s="199"/>
      <c r="D257" s="112"/>
      <c r="E257" s="33"/>
      <c r="F257" s="105"/>
      <c r="H257" s="116"/>
      <c r="I257" s="26"/>
      <c r="J257" s="98"/>
      <c r="K257" s="36"/>
      <c r="L257" s="26"/>
      <c r="M257" s="26"/>
      <c r="N257" s="26"/>
      <c r="O257" s="93"/>
      <c r="P257" s="95"/>
      <c r="Q257" s="197"/>
    </row>
    <row r="258" spans="3:17" x14ac:dyDescent="0.25">
      <c r="C258" s="199"/>
      <c r="D258" s="112"/>
      <c r="E258" s="33"/>
      <c r="F258" s="105"/>
      <c r="H258" s="116"/>
      <c r="I258" s="26"/>
      <c r="J258" s="98"/>
      <c r="K258" s="36"/>
      <c r="L258" s="26"/>
      <c r="M258" s="26"/>
      <c r="N258" s="26"/>
      <c r="O258" s="93"/>
      <c r="P258" s="95"/>
      <c r="Q258" s="197"/>
    </row>
    <row r="259" spans="3:17" x14ac:dyDescent="0.25">
      <c r="C259" s="199"/>
      <c r="D259" s="112"/>
      <c r="E259" s="33"/>
      <c r="F259" s="105"/>
      <c r="H259" s="116"/>
      <c r="I259" s="26"/>
      <c r="J259" s="98"/>
      <c r="K259" s="36"/>
      <c r="L259" s="26"/>
      <c r="M259" s="26"/>
      <c r="N259" s="26"/>
      <c r="O259" s="93"/>
      <c r="P259" s="95"/>
      <c r="Q259" s="197"/>
    </row>
    <row r="260" spans="3:17" x14ac:dyDescent="0.25">
      <c r="C260" s="199"/>
      <c r="D260" s="112"/>
      <c r="E260" s="33"/>
      <c r="F260" s="105"/>
      <c r="H260" s="116"/>
      <c r="I260" s="26"/>
      <c r="J260" s="98"/>
      <c r="K260" s="36"/>
      <c r="L260" s="26"/>
      <c r="M260" s="26"/>
      <c r="N260" s="26"/>
      <c r="O260" s="93"/>
      <c r="P260" s="95"/>
      <c r="Q260" s="197"/>
    </row>
    <row r="261" spans="3:17" x14ac:dyDescent="0.25">
      <c r="C261" s="199"/>
      <c r="D261" s="112"/>
      <c r="E261" s="33"/>
      <c r="F261" s="105"/>
      <c r="H261" s="116"/>
      <c r="I261" s="26"/>
      <c r="J261" s="98"/>
      <c r="K261" s="36"/>
      <c r="L261" s="26"/>
      <c r="M261" s="26"/>
      <c r="N261" s="26"/>
      <c r="O261" s="93"/>
      <c r="P261" s="95"/>
      <c r="Q261" s="197"/>
    </row>
    <row r="262" spans="3:17" x14ac:dyDescent="0.25">
      <c r="C262" s="199"/>
      <c r="D262" s="112"/>
      <c r="E262" s="33"/>
      <c r="F262" s="105"/>
      <c r="H262" s="116"/>
      <c r="I262" s="26"/>
      <c r="J262" s="98"/>
      <c r="K262" s="36"/>
      <c r="L262" s="26"/>
      <c r="M262" s="26"/>
      <c r="N262" s="26"/>
      <c r="O262" s="93"/>
      <c r="P262" s="95"/>
      <c r="Q262" s="197"/>
    </row>
    <row r="263" spans="3:17" x14ac:dyDescent="0.25">
      <c r="C263" s="199"/>
      <c r="D263" s="112"/>
      <c r="E263" s="33"/>
      <c r="F263" s="105"/>
      <c r="H263" s="116"/>
      <c r="I263" s="26"/>
      <c r="J263" s="98"/>
      <c r="K263" s="36"/>
      <c r="L263" s="26"/>
      <c r="M263" s="26"/>
      <c r="N263" s="26"/>
      <c r="O263" s="93"/>
      <c r="P263" s="95"/>
      <c r="Q263" s="197"/>
    </row>
    <row r="264" spans="3:17" x14ac:dyDescent="0.25">
      <c r="C264" s="199"/>
      <c r="D264" s="112"/>
      <c r="E264" s="33"/>
      <c r="F264" s="105"/>
      <c r="H264" s="116"/>
      <c r="I264" s="26"/>
      <c r="J264" s="98"/>
      <c r="K264" s="36"/>
      <c r="L264" s="26"/>
      <c r="M264" s="26"/>
      <c r="N264" s="26"/>
      <c r="O264" s="93"/>
      <c r="P264" s="95"/>
      <c r="Q264" s="197"/>
    </row>
    <row r="265" spans="3:17" x14ac:dyDescent="0.25">
      <c r="C265" s="199"/>
      <c r="D265" s="112"/>
      <c r="E265" s="33"/>
      <c r="F265" s="105"/>
      <c r="H265" s="116"/>
      <c r="I265" s="26"/>
      <c r="J265" s="98"/>
      <c r="K265" s="36"/>
      <c r="L265" s="26"/>
      <c r="M265" s="26"/>
      <c r="N265" s="26"/>
      <c r="O265" s="93"/>
      <c r="P265" s="95"/>
      <c r="Q265" s="197"/>
    </row>
    <row r="266" spans="3:17" x14ac:dyDescent="0.25">
      <c r="C266" s="199"/>
      <c r="D266" s="112"/>
      <c r="E266" s="33"/>
      <c r="F266" s="105"/>
      <c r="H266" s="116"/>
      <c r="I266" s="26"/>
      <c r="J266" s="98"/>
      <c r="K266" s="36"/>
      <c r="L266" s="26"/>
      <c r="M266" s="26"/>
      <c r="N266" s="26"/>
      <c r="O266" s="93"/>
      <c r="P266" s="95"/>
      <c r="Q266" s="197"/>
    </row>
    <row r="267" spans="3:17" x14ac:dyDescent="0.25">
      <c r="C267" s="199"/>
      <c r="D267" s="112"/>
      <c r="E267" s="33"/>
      <c r="F267" s="105"/>
      <c r="H267" s="116"/>
      <c r="I267" s="26"/>
      <c r="J267" s="98"/>
      <c r="K267" s="36"/>
      <c r="L267" s="26"/>
      <c r="M267" s="26"/>
      <c r="N267" s="26"/>
      <c r="O267" s="93"/>
      <c r="P267" s="95"/>
      <c r="Q267" s="197"/>
    </row>
    <row r="268" spans="3:17" x14ac:dyDescent="0.25">
      <c r="C268" s="199"/>
      <c r="D268" s="112"/>
      <c r="E268" s="33"/>
      <c r="F268" s="105"/>
      <c r="H268" s="116"/>
      <c r="I268" s="26"/>
      <c r="J268" s="98"/>
      <c r="K268" s="36"/>
      <c r="L268" s="26"/>
      <c r="M268" s="26"/>
      <c r="N268" s="26"/>
      <c r="O268" s="93"/>
      <c r="P268" s="95"/>
      <c r="Q268" s="197"/>
    </row>
    <row r="269" spans="3:17" x14ac:dyDescent="0.25">
      <c r="C269" s="199"/>
      <c r="D269" s="112"/>
      <c r="E269" s="33"/>
      <c r="F269" s="105"/>
      <c r="H269" s="116"/>
      <c r="I269" s="26"/>
      <c r="J269" s="98"/>
      <c r="K269" s="36"/>
      <c r="L269" s="26"/>
      <c r="M269" s="26"/>
      <c r="N269" s="26"/>
      <c r="O269" s="93"/>
      <c r="P269" s="95"/>
      <c r="Q269" s="197"/>
    </row>
    <row r="270" spans="3:17" x14ac:dyDescent="0.25">
      <c r="C270" s="199"/>
      <c r="D270" s="112"/>
      <c r="E270" s="33"/>
      <c r="F270" s="105"/>
      <c r="H270" s="116"/>
      <c r="I270" s="26"/>
      <c r="J270" s="98"/>
      <c r="K270" s="36"/>
      <c r="L270" s="26"/>
      <c r="M270" s="26"/>
      <c r="N270" s="26"/>
      <c r="O270" s="93"/>
      <c r="P270" s="95"/>
      <c r="Q270" s="197"/>
    </row>
    <row r="271" spans="3:17" x14ac:dyDescent="0.25">
      <c r="C271" s="199"/>
      <c r="D271" s="112"/>
      <c r="E271" s="33"/>
      <c r="F271" s="105"/>
      <c r="H271" s="116"/>
      <c r="I271" s="26"/>
      <c r="J271" s="98"/>
      <c r="K271" s="36"/>
      <c r="L271" s="26"/>
      <c r="M271" s="26"/>
      <c r="N271" s="26"/>
      <c r="O271" s="93"/>
      <c r="P271" s="95"/>
      <c r="Q271" s="197"/>
    </row>
    <row r="272" spans="3:17" x14ac:dyDescent="0.25">
      <c r="C272" s="199"/>
      <c r="D272" s="112"/>
      <c r="E272" s="33"/>
      <c r="F272" s="105"/>
      <c r="H272" s="116"/>
      <c r="I272" s="26"/>
      <c r="J272" s="98"/>
      <c r="K272" s="36"/>
      <c r="L272" s="26"/>
      <c r="M272" s="26"/>
      <c r="N272" s="26"/>
      <c r="O272" s="93"/>
      <c r="P272" s="95"/>
      <c r="Q272" s="197"/>
    </row>
    <row r="273" spans="3:17" x14ac:dyDescent="0.25">
      <c r="C273" s="199"/>
      <c r="D273" s="112"/>
      <c r="E273" s="33"/>
      <c r="F273" s="105"/>
      <c r="H273" s="116"/>
      <c r="I273" s="26"/>
      <c r="J273" s="98"/>
      <c r="K273" s="36"/>
      <c r="L273" s="26"/>
      <c r="M273" s="26"/>
      <c r="N273" s="26"/>
      <c r="O273" s="93"/>
      <c r="P273" s="95"/>
      <c r="Q273" s="197"/>
    </row>
    <row r="274" spans="3:17" x14ac:dyDescent="0.25">
      <c r="C274" s="199"/>
      <c r="D274" s="112"/>
      <c r="E274" s="33"/>
      <c r="F274" s="105"/>
      <c r="H274" s="116"/>
      <c r="I274" s="26"/>
      <c r="J274" s="98"/>
      <c r="K274" s="36"/>
      <c r="L274" s="26"/>
      <c r="M274" s="26"/>
      <c r="N274" s="26"/>
      <c r="O274" s="93"/>
      <c r="P274" s="95"/>
      <c r="Q274" s="197"/>
    </row>
    <row r="275" spans="3:17" x14ac:dyDescent="0.25">
      <c r="C275" s="199"/>
      <c r="D275" s="112"/>
      <c r="E275" s="33"/>
      <c r="F275" s="105"/>
      <c r="H275" s="116"/>
      <c r="I275" s="26"/>
      <c r="J275" s="98"/>
      <c r="K275" s="36"/>
      <c r="L275" s="26"/>
      <c r="M275" s="26"/>
      <c r="N275" s="26"/>
      <c r="O275" s="93"/>
      <c r="P275" s="95"/>
      <c r="Q275" s="197"/>
    </row>
    <row r="276" spans="3:17" x14ac:dyDescent="0.25">
      <c r="C276" s="199"/>
      <c r="D276" s="112"/>
      <c r="E276" s="33"/>
      <c r="F276" s="105"/>
      <c r="H276" s="116"/>
      <c r="I276" s="26"/>
      <c r="J276" s="98"/>
      <c r="K276" s="36"/>
      <c r="L276" s="26"/>
      <c r="M276" s="26"/>
      <c r="N276" s="26"/>
      <c r="O276" s="93"/>
      <c r="P276" s="95"/>
      <c r="Q276" s="197"/>
    </row>
    <row r="277" spans="3:17" x14ac:dyDescent="0.25">
      <c r="C277" s="199"/>
      <c r="D277" s="112"/>
      <c r="E277" s="33"/>
      <c r="F277" s="105"/>
      <c r="H277" s="116"/>
      <c r="I277" s="26"/>
      <c r="J277" s="98"/>
      <c r="K277" s="36"/>
      <c r="L277" s="26"/>
      <c r="M277" s="26"/>
      <c r="N277" s="26"/>
      <c r="O277" s="93"/>
      <c r="P277" s="95"/>
      <c r="Q277" s="197"/>
    </row>
    <row r="278" spans="3:17" x14ac:dyDescent="0.25">
      <c r="C278" s="199"/>
      <c r="D278" s="112"/>
      <c r="E278" s="33"/>
      <c r="F278" s="105"/>
      <c r="H278" s="116"/>
      <c r="I278" s="26"/>
      <c r="J278" s="98"/>
      <c r="K278" s="36"/>
      <c r="L278" s="26"/>
      <c r="M278" s="26"/>
      <c r="N278" s="26"/>
      <c r="O278" s="93"/>
      <c r="P278" s="95"/>
      <c r="Q278" s="197"/>
    </row>
    <row r="279" spans="3:17" x14ac:dyDescent="0.25">
      <c r="C279" s="199"/>
      <c r="D279" s="112"/>
      <c r="E279" s="33"/>
      <c r="F279" s="105"/>
      <c r="H279" s="116"/>
      <c r="I279" s="26"/>
      <c r="J279" s="98"/>
      <c r="K279" s="36"/>
      <c r="L279" s="26"/>
      <c r="M279" s="26"/>
      <c r="N279" s="26"/>
      <c r="O279" s="93"/>
      <c r="P279" s="95"/>
      <c r="Q279" s="197"/>
    </row>
    <row r="280" spans="3:17" x14ac:dyDescent="0.25">
      <c r="C280" s="199"/>
      <c r="D280" s="112"/>
      <c r="E280" s="33"/>
      <c r="F280" s="105"/>
      <c r="H280" s="116"/>
      <c r="I280" s="26"/>
      <c r="J280" s="98"/>
      <c r="K280" s="36"/>
      <c r="L280" s="26"/>
      <c r="M280" s="26"/>
      <c r="N280" s="26"/>
      <c r="O280" s="93"/>
      <c r="P280" s="95"/>
      <c r="Q280" s="197"/>
    </row>
    <row r="281" spans="3:17" x14ac:dyDescent="0.25">
      <c r="C281" s="199"/>
      <c r="D281" s="112"/>
      <c r="E281" s="33"/>
      <c r="F281" s="105"/>
      <c r="H281" s="116"/>
      <c r="I281" s="26"/>
      <c r="J281" s="98"/>
      <c r="K281" s="36"/>
      <c r="L281" s="26"/>
      <c r="M281" s="26"/>
      <c r="N281" s="26"/>
      <c r="O281" s="93"/>
      <c r="P281" s="95"/>
      <c r="Q281" s="197"/>
    </row>
    <row r="282" spans="3:17" x14ac:dyDescent="0.25">
      <c r="C282" s="199"/>
      <c r="D282" s="112"/>
      <c r="E282" s="33"/>
      <c r="F282" s="105"/>
      <c r="H282" s="116"/>
      <c r="I282" s="26"/>
      <c r="J282" s="98"/>
      <c r="K282" s="36"/>
      <c r="L282" s="26"/>
      <c r="M282" s="26"/>
      <c r="N282" s="26"/>
      <c r="O282" s="93"/>
      <c r="P282" s="95"/>
      <c r="Q282" s="197"/>
    </row>
    <row r="283" spans="3:17" x14ac:dyDescent="0.25">
      <c r="C283" s="199"/>
      <c r="D283" s="112"/>
      <c r="E283" s="33"/>
      <c r="F283" s="105"/>
      <c r="H283" s="116"/>
      <c r="I283" s="26"/>
      <c r="J283" s="98"/>
      <c r="K283" s="36"/>
      <c r="L283" s="26"/>
      <c r="M283" s="26"/>
      <c r="N283" s="26"/>
      <c r="O283" s="93"/>
      <c r="P283" s="95"/>
      <c r="Q283" s="197"/>
    </row>
    <row r="284" spans="3:17" x14ac:dyDescent="0.25">
      <c r="C284" s="199"/>
      <c r="D284" s="112"/>
      <c r="E284" s="33"/>
      <c r="F284" s="105"/>
      <c r="H284" s="116"/>
      <c r="I284" s="26"/>
      <c r="J284" s="98"/>
      <c r="K284" s="36"/>
      <c r="L284" s="26"/>
      <c r="M284" s="26"/>
      <c r="N284" s="26"/>
      <c r="O284" s="93"/>
      <c r="P284" s="95"/>
      <c r="Q284" s="197"/>
    </row>
    <row r="285" spans="3:17" x14ac:dyDescent="0.25">
      <c r="C285" s="199"/>
      <c r="D285" s="112"/>
      <c r="E285" s="33"/>
      <c r="F285" s="105"/>
      <c r="H285" s="116"/>
      <c r="I285" s="26"/>
      <c r="J285" s="98"/>
      <c r="K285" s="36"/>
      <c r="L285" s="26"/>
      <c r="M285" s="26"/>
      <c r="N285" s="26"/>
      <c r="O285" s="93"/>
      <c r="P285" s="95"/>
      <c r="Q285" s="197"/>
    </row>
    <row r="286" spans="3:17" x14ac:dyDescent="0.25">
      <c r="C286" s="199"/>
      <c r="D286" s="112"/>
      <c r="E286" s="33"/>
      <c r="F286" s="105"/>
      <c r="H286" s="116"/>
      <c r="I286" s="26"/>
      <c r="J286" s="98"/>
      <c r="K286" s="36"/>
      <c r="L286" s="26"/>
      <c r="M286" s="26"/>
      <c r="N286" s="26"/>
      <c r="O286" s="93"/>
      <c r="P286" s="95"/>
      <c r="Q286" s="197"/>
    </row>
    <row r="287" spans="3:17" x14ac:dyDescent="0.25">
      <c r="C287" s="199"/>
      <c r="D287" s="112"/>
      <c r="E287" s="33"/>
      <c r="F287" s="105"/>
      <c r="H287" s="116"/>
      <c r="I287" s="26"/>
      <c r="J287" s="98"/>
      <c r="K287" s="36"/>
      <c r="L287" s="26"/>
      <c r="M287" s="26"/>
      <c r="N287" s="26"/>
      <c r="O287" s="93"/>
      <c r="P287" s="95"/>
      <c r="Q287" s="197"/>
    </row>
    <row r="288" spans="3:17" x14ac:dyDescent="0.25">
      <c r="C288" s="199"/>
      <c r="D288" s="112"/>
      <c r="E288" s="33"/>
      <c r="F288" s="105"/>
      <c r="H288" s="116"/>
      <c r="I288" s="26"/>
      <c r="J288" s="98"/>
      <c r="K288" s="36"/>
      <c r="L288" s="26"/>
      <c r="M288" s="26"/>
      <c r="N288" s="26"/>
      <c r="O288" s="93"/>
      <c r="P288" s="95"/>
      <c r="Q288" s="197"/>
    </row>
    <row r="289" spans="3:17" x14ac:dyDescent="0.25">
      <c r="C289" s="199"/>
      <c r="D289" s="112"/>
      <c r="E289" s="33"/>
      <c r="F289" s="105"/>
      <c r="H289" s="116"/>
      <c r="I289" s="26"/>
      <c r="J289" s="98"/>
      <c r="K289" s="36"/>
      <c r="L289" s="26"/>
      <c r="M289" s="26"/>
      <c r="N289" s="26"/>
      <c r="O289" s="93"/>
      <c r="P289" s="95"/>
      <c r="Q289" s="197"/>
    </row>
    <row r="290" spans="3:17" x14ac:dyDescent="0.25">
      <c r="C290" s="199"/>
      <c r="D290" s="112"/>
      <c r="E290" s="33"/>
      <c r="F290" s="105"/>
      <c r="H290" s="116"/>
      <c r="I290" s="26"/>
      <c r="J290" s="98"/>
      <c r="K290" s="36"/>
      <c r="L290" s="26"/>
      <c r="M290" s="26"/>
      <c r="N290" s="26"/>
      <c r="O290" s="93"/>
      <c r="P290" s="95"/>
      <c r="Q290" s="197"/>
    </row>
    <row r="291" spans="3:17" x14ac:dyDescent="0.25">
      <c r="C291" s="199"/>
      <c r="D291" s="112"/>
      <c r="E291" s="33"/>
      <c r="F291" s="105"/>
      <c r="H291" s="116"/>
      <c r="I291" s="26"/>
      <c r="J291" s="98"/>
      <c r="K291" s="36"/>
      <c r="L291" s="26"/>
      <c r="M291" s="26"/>
      <c r="N291" s="26"/>
      <c r="O291" s="93"/>
      <c r="P291" s="95"/>
      <c r="Q291" s="197"/>
    </row>
    <row r="292" spans="3:17" x14ac:dyDescent="0.25">
      <c r="C292" s="199"/>
      <c r="D292" s="112"/>
      <c r="E292" s="33"/>
      <c r="F292" s="105"/>
      <c r="H292" s="116"/>
      <c r="I292" s="26"/>
      <c r="J292" s="98"/>
      <c r="K292" s="36"/>
      <c r="L292" s="26"/>
      <c r="M292" s="26"/>
      <c r="N292" s="26"/>
      <c r="O292" s="93"/>
      <c r="P292" s="95"/>
      <c r="Q292" s="197"/>
    </row>
    <row r="293" spans="3:17" x14ac:dyDescent="0.25">
      <c r="C293" s="199"/>
      <c r="D293" s="112"/>
      <c r="E293" s="33"/>
      <c r="F293" s="105"/>
      <c r="H293" s="116"/>
      <c r="I293" s="26"/>
      <c r="J293" s="98"/>
      <c r="K293" s="36"/>
      <c r="L293" s="26"/>
      <c r="M293" s="26"/>
      <c r="N293" s="26"/>
      <c r="O293" s="93"/>
      <c r="P293" s="95"/>
      <c r="Q293" s="197"/>
    </row>
    <row r="294" spans="3:17" x14ac:dyDescent="0.25">
      <c r="C294" s="199"/>
      <c r="D294" s="112"/>
      <c r="E294" s="33"/>
      <c r="F294" s="105"/>
      <c r="H294" s="116"/>
      <c r="I294" s="26"/>
      <c r="J294" s="98"/>
      <c r="K294" s="36"/>
      <c r="L294" s="26"/>
      <c r="M294" s="26"/>
      <c r="N294" s="26"/>
      <c r="O294" s="93"/>
      <c r="P294" s="95"/>
      <c r="Q294" s="197"/>
    </row>
    <row r="295" spans="3:17" x14ac:dyDescent="0.25">
      <c r="C295" s="199"/>
      <c r="D295" s="112"/>
      <c r="E295" s="33"/>
      <c r="F295" s="105"/>
      <c r="H295" s="116"/>
      <c r="I295" s="26"/>
      <c r="J295" s="98"/>
      <c r="K295" s="36"/>
      <c r="L295" s="26"/>
      <c r="M295" s="26"/>
      <c r="N295" s="26"/>
      <c r="O295" s="93"/>
      <c r="P295" s="95"/>
      <c r="Q295" s="197"/>
    </row>
    <row r="296" spans="3:17" x14ac:dyDescent="0.25">
      <c r="C296" s="199"/>
      <c r="D296" s="112"/>
      <c r="E296" s="33"/>
      <c r="F296" s="105"/>
      <c r="H296" s="116"/>
      <c r="I296" s="26"/>
      <c r="J296" s="98"/>
      <c r="K296" s="36"/>
      <c r="L296" s="26"/>
      <c r="M296" s="26"/>
      <c r="N296" s="26"/>
      <c r="O296" s="93"/>
      <c r="P296" s="95"/>
      <c r="Q296" s="197"/>
    </row>
    <row r="297" spans="3:17" x14ac:dyDescent="0.25">
      <c r="C297" s="199"/>
      <c r="D297" s="112"/>
      <c r="E297" s="33"/>
      <c r="F297" s="105"/>
      <c r="H297" s="116"/>
      <c r="I297" s="26"/>
      <c r="J297" s="98"/>
      <c r="K297" s="36"/>
      <c r="L297" s="26"/>
      <c r="M297" s="26"/>
      <c r="N297" s="26"/>
      <c r="O297" s="93"/>
      <c r="P297" s="95"/>
      <c r="Q297" s="197"/>
    </row>
    <row r="298" spans="3:17" x14ac:dyDescent="0.25">
      <c r="C298" s="199"/>
      <c r="D298" s="112"/>
      <c r="E298" s="33"/>
      <c r="F298" s="105"/>
      <c r="H298" s="116"/>
      <c r="I298" s="26"/>
      <c r="J298" s="98"/>
      <c r="K298" s="36"/>
      <c r="L298" s="26"/>
      <c r="M298" s="26"/>
      <c r="N298" s="26"/>
      <c r="O298" s="93"/>
      <c r="P298" s="95"/>
      <c r="Q298" s="197"/>
    </row>
    <row r="299" spans="3:17" x14ac:dyDescent="0.25">
      <c r="C299" s="199"/>
      <c r="D299" s="112"/>
      <c r="E299" s="33"/>
      <c r="F299" s="105"/>
      <c r="H299" s="116"/>
      <c r="I299" s="26"/>
      <c r="J299" s="98"/>
      <c r="K299" s="36"/>
      <c r="L299" s="26"/>
      <c r="M299" s="26"/>
      <c r="N299" s="26"/>
      <c r="O299" s="93"/>
      <c r="P299" s="95"/>
      <c r="Q299" s="197"/>
    </row>
    <row r="300" spans="3:17" x14ac:dyDescent="0.25">
      <c r="C300" s="199"/>
      <c r="D300" s="112"/>
      <c r="E300" s="33"/>
      <c r="F300" s="105"/>
      <c r="H300" s="116"/>
      <c r="I300" s="26"/>
      <c r="J300" s="98"/>
      <c r="K300" s="36"/>
      <c r="L300" s="26"/>
      <c r="M300" s="26"/>
      <c r="N300" s="26"/>
      <c r="O300" s="93"/>
      <c r="P300" s="95"/>
      <c r="Q300" s="197"/>
    </row>
    <row r="301" spans="3:17" x14ac:dyDescent="0.25">
      <c r="C301" s="199"/>
      <c r="D301" s="112"/>
      <c r="E301" s="33"/>
      <c r="F301" s="105"/>
      <c r="H301" s="116"/>
      <c r="I301" s="26"/>
      <c r="J301" s="98"/>
      <c r="K301" s="36"/>
      <c r="L301" s="26"/>
      <c r="M301" s="26"/>
      <c r="N301" s="26"/>
      <c r="O301" s="93"/>
      <c r="P301" s="95"/>
      <c r="Q301" s="197"/>
    </row>
    <row r="302" spans="3:17" x14ac:dyDescent="0.25">
      <c r="C302" s="199"/>
      <c r="D302" s="112"/>
      <c r="E302" s="33"/>
      <c r="F302" s="105"/>
      <c r="H302" s="116"/>
      <c r="I302" s="26"/>
      <c r="J302" s="98"/>
      <c r="K302" s="36"/>
      <c r="L302" s="26"/>
      <c r="M302" s="26"/>
      <c r="N302" s="26"/>
      <c r="O302" s="93"/>
      <c r="P302" s="95"/>
      <c r="Q302" s="197"/>
    </row>
    <row r="303" spans="3:17" x14ac:dyDescent="0.25">
      <c r="C303" s="199"/>
      <c r="D303" s="112"/>
      <c r="E303" s="33"/>
      <c r="F303" s="105"/>
      <c r="H303" s="116"/>
      <c r="I303" s="26"/>
      <c r="J303" s="98"/>
      <c r="K303" s="36"/>
      <c r="L303" s="26"/>
      <c r="M303" s="26"/>
      <c r="N303" s="26"/>
      <c r="O303" s="93"/>
      <c r="P303" s="95"/>
      <c r="Q303" s="197"/>
    </row>
    <row r="304" spans="3:17" x14ac:dyDescent="0.25">
      <c r="C304" s="199"/>
      <c r="D304" s="112"/>
      <c r="E304" s="33"/>
      <c r="F304" s="105"/>
      <c r="H304" s="116"/>
      <c r="I304" s="26"/>
      <c r="J304" s="98"/>
      <c r="K304" s="36"/>
      <c r="L304" s="26"/>
      <c r="M304" s="26"/>
      <c r="N304" s="26"/>
      <c r="O304" s="93"/>
      <c r="P304" s="95"/>
      <c r="Q304" s="197"/>
    </row>
    <row r="305" spans="3:17" x14ac:dyDescent="0.25">
      <c r="C305" s="199"/>
      <c r="D305" s="112"/>
      <c r="E305" s="33"/>
      <c r="F305" s="105"/>
      <c r="H305" s="116"/>
      <c r="I305" s="26"/>
      <c r="J305" s="98"/>
      <c r="K305" s="36"/>
      <c r="L305" s="26"/>
      <c r="M305" s="26"/>
      <c r="N305" s="26"/>
      <c r="O305" s="93"/>
      <c r="P305" s="95"/>
      <c r="Q305" s="197"/>
    </row>
    <row r="306" spans="3:17" x14ac:dyDescent="0.25">
      <c r="C306" s="199"/>
      <c r="D306" s="112"/>
      <c r="E306" s="33"/>
      <c r="F306" s="105"/>
      <c r="H306" s="116"/>
      <c r="I306" s="26"/>
      <c r="J306" s="98"/>
      <c r="K306" s="36"/>
      <c r="L306" s="26"/>
      <c r="M306" s="26"/>
      <c r="N306" s="26"/>
      <c r="O306" s="93"/>
      <c r="P306" s="95"/>
      <c r="Q306" s="197"/>
    </row>
    <row r="307" spans="3:17" x14ac:dyDescent="0.25">
      <c r="C307" s="199"/>
      <c r="D307" s="112"/>
      <c r="E307" s="33"/>
      <c r="F307" s="105"/>
      <c r="H307" s="116"/>
      <c r="I307" s="26"/>
      <c r="J307" s="98"/>
      <c r="K307" s="36"/>
      <c r="L307" s="26"/>
      <c r="M307" s="26"/>
      <c r="N307" s="26"/>
      <c r="O307" s="93"/>
      <c r="P307" s="95"/>
      <c r="Q307" s="197"/>
    </row>
    <row r="308" spans="3:17" x14ac:dyDescent="0.25">
      <c r="C308" s="199"/>
      <c r="D308" s="112"/>
      <c r="E308" s="33"/>
      <c r="F308" s="105"/>
      <c r="H308" s="116"/>
      <c r="I308" s="26"/>
      <c r="J308" s="98"/>
      <c r="K308" s="36"/>
      <c r="L308" s="26"/>
      <c r="M308" s="26"/>
      <c r="N308" s="26"/>
      <c r="O308" s="93"/>
      <c r="P308" s="95"/>
      <c r="Q308" s="197"/>
    </row>
    <row r="309" spans="3:17" x14ac:dyDescent="0.25">
      <c r="C309" s="199"/>
      <c r="D309" s="112"/>
      <c r="E309" s="33"/>
      <c r="F309" s="105"/>
      <c r="H309" s="116"/>
      <c r="I309" s="26"/>
      <c r="J309" s="98"/>
      <c r="K309" s="36"/>
      <c r="L309" s="26"/>
      <c r="M309" s="26"/>
      <c r="N309" s="26"/>
      <c r="O309" s="93"/>
      <c r="P309" s="95"/>
      <c r="Q309" s="197"/>
    </row>
    <row r="310" spans="3:17" x14ac:dyDescent="0.25">
      <c r="C310" s="199"/>
      <c r="D310" s="112"/>
      <c r="E310" s="33"/>
      <c r="F310" s="105"/>
      <c r="H310" s="116"/>
      <c r="I310" s="26"/>
      <c r="J310" s="98"/>
      <c r="K310" s="36"/>
      <c r="L310" s="26"/>
      <c r="M310" s="26"/>
      <c r="N310" s="26"/>
      <c r="O310" s="93"/>
      <c r="P310" s="95"/>
      <c r="Q310" s="197"/>
    </row>
    <row r="311" spans="3:17" x14ac:dyDescent="0.25">
      <c r="C311" s="199"/>
      <c r="D311" s="112"/>
      <c r="E311" s="33"/>
      <c r="F311" s="105"/>
      <c r="H311" s="116"/>
      <c r="I311" s="26"/>
      <c r="J311" s="98"/>
      <c r="K311" s="36"/>
      <c r="L311" s="26"/>
      <c r="M311" s="26"/>
      <c r="N311" s="26"/>
      <c r="O311" s="93"/>
      <c r="P311" s="95"/>
      <c r="Q311" s="197"/>
    </row>
    <row r="312" spans="3:17" x14ac:dyDescent="0.25">
      <c r="C312" s="199"/>
      <c r="D312" s="112"/>
      <c r="E312" s="33"/>
      <c r="F312" s="105"/>
      <c r="H312" s="116"/>
      <c r="I312" s="26"/>
      <c r="J312" s="98"/>
      <c r="K312" s="36"/>
      <c r="L312" s="26"/>
      <c r="M312" s="26"/>
      <c r="N312" s="26"/>
      <c r="O312" s="93"/>
      <c r="P312" s="95"/>
      <c r="Q312" s="197"/>
    </row>
    <row r="313" spans="3:17" x14ac:dyDescent="0.25">
      <c r="C313" s="199"/>
      <c r="D313" s="112"/>
      <c r="E313" s="33"/>
      <c r="F313" s="105"/>
      <c r="H313" s="116"/>
      <c r="I313" s="26"/>
      <c r="J313" s="98"/>
      <c r="K313" s="36"/>
      <c r="L313" s="26"/>
      <c r="M313" s="26"/>
      <c r="N313" s="26"/>
      <c r="O313" s="93"/>
      <c r="P313" s="95"/>
      <c r="Q313" s="197"/>
    </row>
    <row r="314" spans="3:17" x14ac:dyDescent="0.25">
      <c r="C314" s="199"/>
      <c r="D314" s="112"/>
      <c r="E314" s="33"/>
      <c r="F314" s="105"/>
      <c r="H314" s="116"/>
      <c r="I314" s="26"/>
      <c r="J314" s="98"/>
      <c r="K314" s="36"/>
      <c r="L314" s="26"/>
      <c r="M314" s="26"/>
      <c r="N314" s="26"/>
      <c r="O314" s="93"/>
      <c r="P314" s="95"/>
      <c r="Q314" s="197"/>
    </row>
    <row r="315" spans="3:17" x14ac:dyDescent="0.25">
      <c r="C315" s="199"/>
      <c r="D315" s="112"/>
      <c r="E315" s="33"/>
      <c r="F315" s="105"/>
      <c r="H315" s="116"/>
      <c r="I315" s="26"/>
      <c r="J315" s="98"/>
      <c r="K315" s="36"/>
      <c r="L315" s="26"/>
      <c r="M315" s="26"/>
      <c r="N315" s="26"/>
      <c r="O315" s="93"/>
      <c r="P315" s="95"/>
      <c r="Q315" s="197"/>
    </row>
    <row r="316" spans="3:17" x14ac:dyDescent="0.25">
      <c r="C316" s="199"/>
      <c r="D316" s="112"/>
      <c r="E316" s="33"/>
      <c r="F316" s="105"/>
      <c r="H316" s="116"/>
      <c r="I316" s="26"/>
      <c r="J316" s="98"/>
      <c r="K316" s="36"/>
      <c r="L316" s="26"/>
      <c r="M316" s="26"/>
      <c r="N316" s="26"/>
      <c r="O316" s="93"/>
      <c r="P316" s="95"/>
      <c r="Q316" s="197"/>
    </row>
    <row r="317" spans="3:17" x14ac:dyDescent="0.25">
      <c r="C317" s="199"/>
      <c r="D317" s="112"/>
      <c r="E317" s="33"/>
      <c r="F317" s="105"/>
      <c r="H317" s="116"/>
      <c r="I317" s="26"/>
      <c r="J317" s="98"/>
      <c r="K317" s="36"/>
      <c r="L317" s="26"/>
      <c r="M317" s="26"/>
      <c r="N317" s="26"/>
      <c r="O317" s="93"/>
      <c r="P317" s="95"/>
      <c r="Q317" s="197"/>
    </row>
    <row r="318" spans="3:17" x14ac:dyDescent="0.25">
      <c r="C318" s="199"/>
      <c r="D318" s="112"/>
      <c r="E318" s="33"/>
      <c r="F318" s="105"/>
      <c r="H318" s="116"/>
      <c r="I318" s="26"/>
      <c r="J318" s="98"/>
      <c r="K318" s="36"/>
      <c r="L318" s="26"/>
      <c r="M318" s="26"/>
      <c r="N318" s="26"/>
      <c r="O318" s="93"/>
      <c r="P318" s="95"/>
      <c r="Q318" s="197"/>
    </row>
    <row r="319" spans="3:17" x14ac:dyDescent="0.25">
      <c r="C319" s="199"/>
      <c r="D319" s="112"/>
      <c r="E319" s="33"/>
      <c r="F319" s="105"/>
      <c r="H319" s="116"/>
      <c r="I319" s="26"/>
      <c r="J319" s="98"/>
      <c r="K319" s="36"/>
      <c r="L319" s="26"/>
      <c r="M319" s="26"/>
      <c r="N319" s="26"/>
      <c r="O319" s="93"/>
      <c r="P319" s="95"/>
      <c r="Q319" s="197"/>
    </row>
    <row r="320" spans="3:17" x14ac:dyDescent="0.25">
      <c r="C320" s="199"/>
      <c r="D320" s="112"/>
      <c r="E320" s="33"/>
      <c r="F320" s="105"/>
      <c r="H320" s="116"/>
      <c r="I320" s="26"/>
      <c r="J320" s="98"/>
      <c r="K320" s="36"/>
      <c r="L320" s="26"/>
      <c r="M320" s="26"/>
      <c r="N320" s="26"/>
      <c r="O320" s="93"/>
      <c r="P320" s="95"/>
      <c r="Q320" s="197"/>
    </row>
    <row r="321" spans="3:17" x14ac:dyDescent="0.25">
      <c r="C321" s="199"/>
      <c r="D321" s="112"/>
      <c r="E321" s="33"/>
      <c r="F321" s="105"/>
      <c r="H321" s="116"/>
      <c r="I321" s="26"/>
      <c r="J321" s="98"/>
      <c r="K321" s="36"/>
      <c r="L321" s="26"/>
      <c r="M321" s="26"/>
      <c r="N321" s="26"/>
      <c r="O321" s="93"/>
      <c r="P321" s="95"/>
      <c r="Q321" s="197"/>
    </row>
    <row r="322" spans="3:17" x14ac:dyDescent="0.25">
      <c r="C322" s="199"/>
      <c r="D322" s="112"/>
      <c r="E322" s="33"/>
      <c r="F322" s="105"/>
      <c r="H322" s="116"/>
      <c r="I322" s="26"/>
      <c r="J322" s="98"/>
      <c r="K322" s="36"/>
      <c r="L322" s="26"/>
      <c r="M322" s="26"/>
      <c r="N322" s="26"/>
      <c r="O322" s="93"/>
      <c r="P322" s="95"/>
      <c r="Q322" s="197"/>
    </row>
    <row r="323" spans="3:17" x14ac:dyDescent="0.25">
      <c r="C323" s="199"/>
      <c r="D323" s="112"/>
      <c r="E323" s="33"/>
      <c r="F323" s="105"/>
      <c r="H323" s="116"/>
      <c r="I323" s="26"/>
      <c r="J323" s="98"/>
      <c r="K323" s="36"/>
      <c r="L323" s="26"/>
      <c r="M323" s="26"/>
      <c r="N323" s="26"/>
      <c r="O323" s="93"/>
      <c r="P323" s="95"/>
      <c r="Q323" s="197"/>
    </row>
    <row r="324" spans="3:17" x14ac:dyDescent="0.25">
      <c r="C324" s="199"/>
      <c r="D324" s="112"/>
      <c r="E324" s="33"/>
      <c r="F324" s="105"/>
      <c r="H324" s="116"/>
      <c r="I324" s="26"/>
      <c r="J324" s="98"/>
      <c r="K324" s="36"/>
      <c r="L324" s="26"/>
      <c r="M324" s="26"/>
      <c r="N324" s="26"/>
      <c r="O324" s="93"/>
      <c r="P324" s="95"/>
      <c r="Q324" s="197"/>
    </row>
    <row r="325" spans="3:17" x14ac:dyDescent="0.25">
      <c r="C325" s="199"/>
      <c r="D325" s="112"/>
      <c r="E325" s="33"/>
      <c r="F325" s="105"/>
      <c r="H325" s="116"/>
      <c r="I325" s="26"/>
      <c r="J325" s="98"/>
      <c r="K325" s="36"/>
      <c r="L325" s="26"/>
      <c r="M325" s="26"/>
      <c r="N325" s="26"/>
      <c r="O325" s="93"/>
      <c r="P325" s="95"/>
      <c r="Q325" s="197"/>
    </row>
    <row r="326" spans="3:17" x14ac:dyDescent="0.25">
      <c r="C326" s="199"/>
      <c r="D326" s="112"/>
      <c r="E326" s="33"/>
      <c r="F326" s="105"/>
      <c r="H326" s="116"/>
      <c r="I326" s="26"/>
      <c r="J326" s="98"/>
      <c r="K326" s="36"/>
      <c r="L326" s="26"/>
      <c r="M326" s="26"/>
      <c r="N326" s="26"/>
      <c r="O326" s="93"/>
      <c r="P326" s="95"/>
      <c r="Q326" s="197"/>
    </row>
    <row r="327" spans="3:17" x14ac:dyDescent="0.25">
      <c r="C327" s="199"/>
      <c r="D327" s="112"/>
      <c r="E327" s="33"/>
      <c r="F327" s="105"/>
      <c r="H327" s="116"/>
      <c r="I327" s="26"/>
      <c r="J327" s="98"/>
      <c r="K327" s="36"/>
      <c r="L327" s="26"/>
      <c r="M327" s="26"/>
      <c r="N327" s="26"/>
      <c r="O327" s="93"/>
      <c r="P327" s="95"/>
      <c r="Q327" s="197"/>
    </row>
    <row r="328" spans="3:17" x14ac:dyDescent="0.25">
      <c r="C328" s="199"/>
      <c r="D328" s="112"/>
      <c r="E328" s="33"/>
      <c r="F328" s="105"/>
      <c r="H328" s="116"/>
      <c r="I328" s="26"/>
      <c r="J328" s="98"/>
      <c r="K328" s="36"/>
      <c r="L328" s="26"/>
      <c r="M328" s="26"/>
      <c r="N328" s="26"/>
      <c r="O328" s="93"/>
      <c r="P328" s="95"/>
      <c r="Q328" s="197"/>
    </row>
    <row r="329" spans="3:17" x14ac:dyDescent="0.25">
      <c r="C329" s="199"/>
      <c r="D329" s="112"/>
      <c r="E329" s="33"/>
      <c r="F329" s="105"/>
      <c r="H329" s="116"/>
      <c r="I329" s="26"/>
      <c r="J329" s="98"/>
      <c r="K329" s="36"/>
      <c r="L329" s="26"/>
      <c r="M329" s="26"/>
      <c r="N329" s="26"/>
      <c r="O329" s="93"/>
      <c r="P329" s="95"/>
      <c r="Q329" s="197"/>
    </row>
    <row r="330" spans="3:17" x14ac:dyDescent="0.25">
      <c r="C330" s="199"/>
      <c r="D330" s="112"/>
      <c r="E330" s="33"/>
      <c r="F330" s="105"/>
      <c r="H330" s="116"/>
      <c r="I330" s="26"/>
      <c r="J330" s="98"/>
      <c r="K330" s="36"/>
      <c r="L330" s="26"/>
      <c r="M330" s="26"/>
      <c r="N330" s="26"/>
      <c r="O330" s="93"/>
      <c r="P330" s="95"/>
      <c r="Q330" s="197"/>
    </row>
    <row r="331" spans="3:17" x14ac:dyDescent="0.25">
      <c r="C331" s="199"/>
      <c r="D331" s="112"/>
      <c r="E331" s="33"/>
      <c r="F331" s="105"/>
      <c r="H331" s="116"/>
      <c r="I331" s="26"/>
      <c r="J331" s="98"/>
      <c r="K331" s="36"/>
      <c r="L331" s="26"/>
      <c r="M331" s="26"/>
      <c r="N331" s="26"/>
      <c r="O331" s="93"/>
      <c r="P331" s="95"/>
      <c r="Q331" s="197"/>
    </row>
    <row r="332" spans="3:17" x14ac:dyDescent="0.25">
      <c r="C332" s="199"/>
      <c r="D332" s="112"/>
      <c r="E332" s="33"/>
      <c r="F332" s="105"/>
      <c r="H332" s="116"/>
      <c r="I332" s="26"/>
      <c r="J332" s="98"/>
      <c r="K332" s="36"/>
      <c r="L332" s="26"/>
      <c r="M332" s="26"/>
      <c r="N332" s="26"/>
      <c r="O332" s="93"/>
      <c r="P332" s="95"/>
      <c r="Q332" s="197"/>
    </row>
    <row r="333" spans="3:17" x14ac:dyDescent="0.25">
      <c r="C333" s="199"/>
      <c r="D333" s="112"/>
      <c r="E333" s="33"/>
      <c r="F333" s="105"/>
      <c r="H333" s="116"/>
      <c r="I333" s="26"/>
      <c r="J333" s="98"/>
      <c r="K333" s="36"/>
      <c r="L333" s="26"/>
      <c r="M333" s="26"/>
      <c r="N333" s="26"/>
      <c r="O333" s="93"/>
      <c r="P333" s="95"/>
      <c r="Q333" s="197"/>
    </row>
    <row r="334" spans="3:17" x14ac:dyDescent="0.25">
      <c r="C334" s="199"/>
      <c r="D334" s="112"/>
      <c r="E334" s="33"/>
      <c r="F334" s="105"/>
      <c r="H334" s="116"/>
      <c r="I334" s="26"/>
      <c r="J334" s="98"/>
      <c r="K334" s="36"/>
      <c r="L334" s="26"/>
      <c r="M334" s="26"/>
      <c r="N334" s="26"/>
      <c r="O334" s="93"/>
      <c r="P334" s="95"/>
      <c r="Q334" s="197"/>
    </row>
    <row r="335" spans="3:17" x14ac:dyDescent="0.25">
      <c r="C335" s="199"/>
      <c r="D335" s="112"/>
      <c r="E335" s="33"/>
      <c r="F335" s="105"/>
      <c r="H335" s="116"/>
      <c r="I335" s="26"/>
      <c r="J335" s="98"/>
      <c r="K335" s="36"/>
      <c r="L335" s="26"/>
      <c r="M335" s="26"/>
      <c r="N335" s="26"/>
      <c r="O335" s="93"/>
      <c r="P335" s="95"/>
      <c r="Q335" s="197"/>
    </row>
    <row r="336" spans="3:17" x14ac:dyDescent="0.25">
      <c r="C336" s="199"/>
      <c r="D336" s="112"/>
      <c r="E336" s="33"/>
      <c r="F336" s="105"/>
      <c r="H336" s="116"/>
      <c r="I336" s="26"/>
      <c r="J336" s="98"/>
      <c r="K336" s="36"/>
      <c r="L336" s="26"/>
      <c r="M336" s="26"/>
      <c r="N336" s="26"/>
      <c r="O336" s="93"/>
      <c r="P336" s="95"/>
      <c r="Q336" s="197"/>
    </row>
    <row r="337" spans="3:17" x14ac:dyDescent="0.25">
      <c r="C337" s="199"/>
      <c r="D337" s="112"/>
      <c r="E337" s="33"/>
      <c r="F337" s="105"/>
      <c r="H337" s="116"/>
      <c r="I337" s="26"/>
      <c r="J337" s="98"/>
      <c r="K337" s="36"/>
      <c r="L337" s="26"/>
      <c r="M337" s="26"/>
      <c r="N337" s="26"/>
      <c r="O337" s="93"/>
      <c r="P337" s="95"/>
      <c r="Q337" s="197"/>
    </row>
    <row r="338" spans="3:17" x14ac:dyDescent="0.25">
      <c r="C338" s="199"/>
      <c r="D338" s="112"/>
      <c r="E338" s="33"/>
      <c r="F338" s="105"/>
      <c r="H338" s="116"/>
      <c r="I338" s="26"/>
      <c r="J338" s="98"/>
      <c r="K338" s="36"/>
      <c r="L338" s="26"/>
      <c r="M338" s="26"/>
      <c r="N338" s="26"/>
      <c r="O338" s="93"/>
      <c r="P338" s="95"/>
      <c r="Q338" s="197"/>
    </row>
    <row r="339" spans="3:17" x14ac:dyDescent="0.25">
      <c r="C339" s="199"/>
      <c r="D339" s="112"/>
      <c r="E339" s="33"/>
      <c r="F339" s="105"/>
      <c r="H339" s="116"/>
      <c r="I339" s="26"/>
      <c r="J339" s="98"/>
      <c r="K339" s="36"/>
      <c r="L339" s="26"/>
      <c r="M339" s="26"/>
      <c r="N339" s="26"/>
      <c r="O339" s="93"/>
      <c r="P339" s="95"/>
      <c r="Q339" s="197"/>
    </row>
    <row r="340" spans="3:17" x14ac:dyDescent="0.25">
      <c r="C340" s="199"/>
      <c r="D340" s="112"/>
      <c r="E340" s="33"/>
      <c r="F340" s="105"/>
      <c r="H340" s="116"/>
      <c r="I340" s="26"/>
      <c r="J340" s="98"/>
      <c r="K340" s="36"/>
      <c r="L340" s="26"/>
      <c r="M340" s="26"/>
      <c r="N340" s="26"/>
      <c r="O340" s="93"/>
      <c r="P340" s="95"/>
      <c r="Q340" s="197"/>
    </row>
    <row r="341" spans="3:17" x14ac:dyDescent="0.25">
      <c r="C341" s="199"/>
      <c r="D341" s="112"/>
      <c r="E341" s="33"/>
      <c r="F341" s="105"/>
      <c r="H341" s="116"/>
      <c r="I341" s="26"/>
      <c r="J341" s="98"/>
      <c r="K341" s="36"/>
      <c r="L341" s="26"/>
      <c r="M341" s="26"/>
      <c r="N341" s="26"/>
      <c r="O341" s="93"/>
      <c r="P341" s="95"/>
      <c r="Q341" s="197"/>
    </row>
    <row r="342" spans="3:17" x14ac:dyDescent="0.25">
      <c r="C342" s="199"/>
      <c r="D342" s="112"/>
      <c r="E342" s="33"/>
      <c r="F342" s="105"/>
      <c r="H342" s="116"/>
      <c r="I342" s="26"/>
      <c r="J342" s="98"/>
      <c r="K342" s="36"/>
      <c r="L342" s="26"/>
      <c r="M342" s="26"/>
      <c r="N342" s="26"/>
      <c r="O342" s="93"/>
      <c r="P342" s="95"/>
      <c r="Q342" s="197"/>
    </row>
    <row r="343" spans="3:17" x14ac:dyDescent="0.25">
      <c r="C343" s="199"/>
      <c r="D343" s="112"/>
      <c r="E343" s="33"/>
      <c r="F343" s="105"/>
      <c r="H343" s="116"/>
      <c r="I343" s="26"/>
      <c r="J343" s="98"/>
      <c r="K343" s="36"/>
      <c r="L343" s="26"/>
      <c r="M343" s="26"/>
      <c r="N343" s="26"/>
      <c r="O343" s="93"/>
      <c r="P343" s="95"/>
      <c r="Q343" s="197"/>
    </row>
    <row r="344" spans="3:17" x14ac:dyDescent="0.25">
      <c r="C344" s="199"/>
      <c r="D344" s="112"/>
      <c r="E344" s="33"/>
      <c r="F344" s="105"/>
      <c r="H344" s="116"/>
      <c r="I344" s="26"/>
      <c r="J344" s="98"/>
      <c r="K344" s="36"/>
      <c r="L344" s="26"/>
      <c r="M344" s="26"/>
      <c r="N344" s="26"/>
      <c r="O344" s="93"/>
      <c r="P344" s="95"/>
      <c r="Q344" s="197"/>
    </row>
    <row r="345" spans="3:17" x14ac:dyDescent="0.25">
      <c r="C345" s="199"/>
      <c r="D345" s="112"/>
      <c r="E345" s="33"/>
      <c r="F345" s="105"/>
      <c r="H345" s="116"/>
      <c r="I345" s="26"/>
      <c r="J345" s="98"/>
      <c r="K345" s="36"/>
      <c r="L345" s="26"/>
      <c r="M345" s="26"/>
      <c r="N345" s="26"/>
      <c r="O345" s="93"/>
      <c r="P345" s="95"/>
      <c r="Q345" s="197"/>
    </row>
    <row r="346" spans="3:17" x14ac:dyDescent="0.25">
      <c r="C346" s="199"/>
      <c r="D346" s="112"/>
      <c r="E346" s="33"/>
      <c r="F346" s="105"/>
      <c r="H346" s="116"/>
      <c r="I346" s="26"/>
      <c r="J346" s="98"/>
      <c r="K346" s="36"/>
      <c r="L346" s="26"/>
      <c r="M346" s="26"/>
      <c r="N346" s="26"/>
      <c r="O346" s="93"/>
      <c r="P346" s="95"/>
      <c r="Q346" s="197"/>
    </row>
    <row r="347" spans="3:17" x14ac:dyDescent="0.25">
      <c r="C347" s="199"/>
      <c r="D347" s="112"/>
      <c r="E347" s="33"/>
      <c r="F347" s="105"/>
      <c r="H347" s="116"/>
      <c r="I347" s="26"/>
      <c r="J347" s="98"/>
      <c r="K347" s="36"/>
      <c r="L347" s="26"/>
      <c r="M347" s="26"/>
      <c r="N347" s="26"/>
      <c r="O347" s="93"/>
      <c r="P347" s="95"/>
      <c r="Q347" s="197"/>
    </row>
    <row r="348" spans="3:17" x14ac:dyDescent="0.25">
      <c r="C348" s="199"/>
      <c r="D348" s="112"/>
      <c r="E348" s="33"/>
      <c r="F348" s="105"/>
      <c r="H348" s="116"/>
      <c r="I348" s="26"/>
      <c r="J348" s="98"/>
      <c r="K348" s="36"/>
      <c r="L348" s="26"/>
      <c r="M348" s="26"/>
      <c r="N348" s="26"/>
      <c r="O348" s="93"/>
      <c r="P348" s="95"/>
      <c r="Q348" s="197"/>
    </row>
    <row r="349" spans="3:17" x14ac:dyDescent="0.25">
      <c r="C349" s="199"/>
      <c r="D349" s="112"/>
      <c r="E349" s="33"/>
      <c r="F349" s="105"/>
      <c r="H349" s="116"/>
      <c r="I349" s="26"/>
      <c r="J349" s="98"/>
      <c r="K349" s="36"/>
      <c r="L349" s="26"/>
      <c r="M349" s="26"/>
      <c r="N349" s="26"/>
      <c r="O349" s="93"/>
      <c r="P349" s="95"/>
      <c r="Q349" s="197"/>
    </row>
    <row r="350" spans="3:17" x14ac:dyDescent="0.25">
      <c r="C350" s="199"/>
      <c r="D350" s="112"/>
      <c r="E350" s="33"/>
      <c r="F350" s="105"/>
      <c r="H350" s="116"/>
      <c r="I350" s="26"/>
      <c r="J350" s="98"/>
      <c r="K350" s="36"/>
      <c r="L350" s="26"/>
      <c r="M350" s="26"/>
      <c r="N350" s="26"/>
      <c r="O350" s="93"/>
      <c r="P350" s="95"/>
      <c r="Q350" s="197"/>
    </row>
    <row r="351" spans="3:17" x14ac:dyDescent="0.25">
      <c r="C351" s="199"/>
      <c r="D351" s="112"/>
      <c r="E351" s="33"/>
      <c r="F351" s="105"/>
      <c r="H351" s="116"/>
      <c r="I351" s="26"/>
      <c r="J351" s="98"/>
      <c r="K351" s="36"/>
      <c r="L351" s="26"/>
      <c r="M351" s="26"/>
      <c r="N351" s="26"/>
      <c r="O351" s="93"/>
      <c r="P351" s="95"/>
      <c r="Q351" s="197"/>
    </row>
    <row r="352" spans="3:17" x14ac:dyDescent="0.25">
      <c r="C352" s="199"/>
      <c r="D352" s="112"/>
      <c r="E352" s="33"/>
      <c r="F352" s="105"/>
      <c r="H352" s="116"/>
      <c r="I352" s="26"/>
      <c r="J352" s="98"/>
      <c r="K352" s="36"/>
      <c r="L352" s="26"/>
      <c r="M352" s="26"/>
      <c r="N352" s="26"/>
      <c r="O352" s="93"/>
      <c r="P352" s="95"/>
      <c r="Q352" s="197"/>
    </row>
    <row r="353" spans="3:17" x14ac:dyDescent="0.25">
      <c r="C353" s="199"/>
      <c r="D353" s="112"/>
      <c r="E353" s="33"/>
      <c r="F353" s="105"/>
      <c r="H353" s="116"/>
      <c r="I353" s="26"/>
      <c r="J353" s="98"/>
      <c r="K353" s="36"/>
      <c r="L353" s="26"/>
      <c r="M353" s="26"/>
      <c r="N353" s="26"/>
      <c r="O353" s="93"/>
      <c r="P353" s="95"/>
      <c r="Q353" s="197"/>
    </row>
    <row r="354" spans="3:17" x14ac:dyDescent="0.25">
      <c r="C354" s="199"/>
      <c r="D354" s="112"/>
      <c r="E354" s="33"/>
      <c r="F354" s="105"/>
      <c r="H354" s="116"/>
      <c r="I354" s="26"/>
      <c r="J354" s="98"/>
      <c r="K354" s="36"/>
      <c r="L354" s="26"/>
      <c r="M354" s="26"/>
      <c r="N354" s="26"/>
      <c r="O354" s="93"/>
      <c r="P354" s="95"/>
      <c r="Q354" s="197"/>
    </row>
    <row r="355" spans="3:17" x14ac:dyDescent="0.25">
      <c r="C355" s="199"/>
      <c r="D355" s="112"/>
      <c r="E355" s="33"/>
      <c r="F355" s="105"/>
      <c r="H355" s="116"/>
      <c r="I355" s="26"/>
      <c r="J355" s="98"/>
      <c r="K355" s="36"/>
      <c r="L355" s="26"/>
      <c r="M355" s="26"/>
      <c r="N355" s="26"/>
      <c r="O355" s="93"/>
      <c r="P355" s="95"/>
      <c r="Q355" s="197"/>
    </row>
    <row r="356" spans="3:17" x14ac:dyDescent="0.25">
      <c r="C356" s="199"/>
      <c r="D356" s="112"/>
      <c r="E356" s="33"/>
      <c r="F356" s="105"/>
      <c r="H356" s="116"/>
      <c r="I356" s="26"/>
      <c r="J356" s="98"/>
      <c r="K356" s="36"/>
      <c r="L356" s="26"/>
      <c r="M356" s="26"/>
      <c r="N356" s="26"/>
      <c r="O356" s="93"/>
      <c r="P356" s="95"/>
      <c r="Q356" s="197"/>
    </row>
    <row r="357" spans="3:17" x14ac:dyDescent="0.25">
      <c r="C357" s="199"/>
      <c r="D357" s="112"/>
      <c r="E357" s="33"/>
      <c r="F357" s="105"/>
      <c r="H357" s="116"/>
      <c r="I357" s="26"/>
      <c r="J357" s="98"/>
      <c r="K357" s="36"/>
      <c r="L357" s="26"/>
      <c r="M357" s="26"/>
      <c r="N357" s="26"/>
      <c r="O357" s="93"/>
      <c r="P357" s="95"/>
      <c r="Q357" s="197"/>
    </row>
    <row r="358" spans="3:17" x14ac:dyDescent="0.25">
      <c r="C358" s="199"/>
      <c r="D358" s="112"/>
      <c r="E358" s="33"/>
      <c r="F358" s="105"/>
      <c r="H358" s="116"/>
      <c r="I358" s="26"/>
      <c r="J358" s="98"/>
      <c r="K358" s="36"/>
      <c r="L358" s="26"/>
      <c r="M358" s="26"/>
      <c r="N358" s="26"/>
      <c r="O358" s="93"/>
      <c r="P358" s="95"/>
      <c r="Q358" s="197"/>
    </row>
    <row r="359" spans="3:17" x14ac:dyDescent="0.25">
      <c r="C359" s="199"/>
      <c r="D359" s="112"/>
      <c r="E359" s="33"/>
      <c r="F359" s="105"/>
      <c r="H359" s="116"/>
      <c r="I359" s="26"/>
      <c r="J359" s="98"/>
      <c r="K359" s="36"/>
      <c r="L359" s="26"/>
      <c r="M359" s="26"/>
      <c r="N359" s="26"/>
      <c r="O359" s="93"/>
      <c r="P359" s="95"/>
      <c r="Q359" s="197"/>
    </row>
    <row r="360" spans="3:17" x14ac:dyDescent="0.25">
      <c r="C360" s="199"/>
      <c r="D360" s="112"/>
      <c r="E360" s="33"/>
      <c r="F360" s="105"/>
      <c r="H360" s="116"/>
      <c r="I360" s="26"/>
      <c r="J360" s="98"/>
      <c r="K360" s="36"/>
      <c r="L360" s="26"/>
      <c r="M360" s="26"/>
      <c r="N360" s="26"/>
      <c r="O360" s="93"/>
      <c r="P360" s="95"/>
      <c r="Q360" s="197"/>
    </row>
    <row r="361" spans="3:17" x14ac:dyDescent="0.25">
      <c r="C361" s="199"/>
      <c r="D361" s="112"/>
      <c r="E361" s="33"/>
      <c r="F361" s="105"/>
      <c r="H361" s="116"/>
      <c r="I361" s="26"/>
      <c r="J361" s="98"/>
      <c r="K361" s="36"/>
      <c r="L361" s="26"/>
      <c r="M361" s="26"/>
      <c r="N361" s="26"/>
      <c r="O361" s="93"/>
      <c r="P361" s="95"/>
      <c r="Q361" s="197"/>
    </row>
    <row r="362" spans="3:17" x14ac:dyDescent="0.25">
      <c r="C362" s="199"/>
      <c r="D362" s="112"/>
      <c r="E362" s="33"/>
      <c r="F362" s="105"/>
      <c r="H362" s="116"/>
      <c r="I362" s="26"/>
      <c r="J362" s="98"/>
      <c r="K362" s="36"/>
      <c r="L362" s="26"/>
      <c r="M362" s="26"/>
      <c r="N362" s="26"/>
      <c r="O362" s="93"/>
      <c r="P362" s="95"/>
      <c r="Q362" s="197"/>
    </row>
    <row r="363" spans="3:17" x14ac:dyDescent="0.25">
      <c r="C363" s="199"/>
      <c r="D363" s="112"/>
      <c r="E363" s="33"/>
      <c r="F363" s="105"/>
      <c r="H363" s="116"/>
      <c r="I363" s="26"/>
      <c r="J363" s="98"/>
      <c r="K363" s="36"/>
      <c r="L363" s="26"/>
      <c r="M363" s="26"/>
      <c r="N363" s="26"/>
      <c r="O363" s="93"/>
      <c r="P363" s="95"/>
      <c r="Q363" s="197"/>
    </row>
    <row r="364" spans="3:17" x14ac:dyDescent="0.25">
      <c r="C364" s="199"/>
      <c r="D364" s="112"/>
      <c r="E364" s="33"/>
      <c r="F364" s="105"/>
      <c r="H364" s="116"/>
      <c r="I364" s="26"/>
      <c r="J364" s="98"/>
      <c r="K364" s="36"/>
      <c r="L364" s="26"/>
      <c r="M364" s="26"/>
      <c r="N364" s="26"/>
      <c r="O364" s="93"/>
      <c r="P364" s="95"/>
      <c r="Q364" s="197"/>
    </row>
    <row r="365" spans="3:17" x14ac:dyDescent="0.25">
      <c r="C365" s="199"/>
      <c r="D365" s="112"/>
      <c r="E365" s="33"/>
      <c r="F365" s="105"/>
      <c r="H365" s="116"/>
      <c r="I365" s="26"/>
      <c r="J365" s="98"/>
      <c r="K365" s="36"/>
      <c r="L365" s="26"/>
      <c r="M365" s="26"/>
      <c r="N365" s="26"/>
      <c r="O365" s="93"/>
      <c r="P365" s="95"/>
      <c r="Q365" s="197"/>
    </row>
    <row r="366" spans="3:17" x14ac:dyDescent="0.25">
      <c r="C366" s="199"/>
      <c r="D366" s="112"/>
      <c r="E366" s="33"/>
      <c r="F366" s="105"/>
      <c r="H366" s="116"/>
      <c r="I366" s="26"/>
      <c r="J366" s="98"/>
      <c r="K366" s="36"/>
      <c r="L366" s="26"/>
      <c r="M366" s="26"/>
      <c r="N366" s="26"/>
      <c r="O366" s="93"/>
      <c r="P366" s="95"/>
      <c r="Q366" s="197"/>
    </row>
    <row r="367" spans="3:17" x14ac:dyDescent="0.25">
      <c r="C367" s="199"/>
      <c r="D367" s="112"/>
      <c r="E367" s="33"/>
      <c r="F367" s="105"/>
      <c r="H367" s="116"/>
      <c r="I367" s="26"/>
      <c r="J367" s="98"/>
      <c r="K367" s="36"/>
      <c r="L367" s="26"/>
      <c r="M367" s="26"/>
      <c r="N367" s="26"/>
      <c r="O367" s="93"/>
      <c r="P367" s="95"/>
      <c r="Q367" s="197"/>
    </row>
    <row r="368" spans="3:17" x14ac:dyDescent="0.25">
      <c r="C368" s="199"/>
      <c r="D368" s="112"/>
      <c r="E368" s="33"/>
      <c r="F368" s="105"/>
      <c r="H368" s="116"/>
      <c r="I368" s="26"/>
      <c r="J368" s="98"/>
      <c r="K368" s="36"/>
      <c r="L368" s="26"/>
      <c r="M368" s="26"/>
      <c r="N368" s="26"/>
      <c r="O368" s="93"/>
      <c r="P368" s="95"/>
      <c r="Q368" s="197"/>
    </row>
    <row r="369" spans="3:17" x14ac:dyDescent="0.25">
      <c r="C369" s="199"/>
      <c r="D369" s="112"/>
      <c r="E369" s="33"/>
      <c r="F369" s="105"/>
      <c r="H369" s="116"/>
      <c r="I369" s="26"/>
      <c r="J369" s="98"/>
      <c r="K369" s="36"/>
      <c r="L369" s="26"/>
      <c r="M369" s="26"/>
      <c r="N369" s="26"/>
      <c r="O369" s="93"/>
      <c r="P369" s="95"/>
      <c r="Q369" s="197"/>
    </row>
    <row r="370" spans="3:17" x14ac:dyDescent="0.25">
      <c r="C370" s="199"/>
      <c r="D370" s="112"/>
      <c r="E370" s="33"/>
      <c r="F370" s="105"/>
      <c r="H370" s="116"/>
      <c r="I370" s="26"/>
      <c r="J370" s="98"/>
      <c r="K370" s="36"/>
      <c r="L370" s="26"/>
      <c r="M370" s="26"/>
      <c r="N370" s="26"/>
      <c r="O370" s="93"/>
      <c r="P370" s="95"/>
      <c r="Q370" s="197"/>
    </row>
    <row r="371" spans="3:17" x14ac:dyDescent="0.25">
      <c r="C371" s="199"/>
      <c r="D371" s="112"/>
      <c r="E371" s="33"/>
      <c r="F371" s="105"/>
      <c r="H371" s="116"/>
      <c r="I371" s="26"/>
      <c r="J371" s="98"/>
      <c r="K371" s="36"/>
      <c r="L371" s="26"/>
      <c r="M371" s="26"/>
      <c r="N371" s="26"/>
      <c r="O371" s="93"/>
      <c r="P371" s="95"/>
      <c r="Q371" s="197"/>
    </row>
    <row r="372" spans="3:17" x14ac:dyDescent="0.25">
      <c r="C372" s="199"/>
      <c r="D372" s="112"/>
      <c r="E372" s="33"/>
      <c r="F372" s="105"/>
      <c r="H372" s="116"/>
      <c r="I372" s="26"/>
      <c r="J372" s="98"/>
      <c r="K372" s="36"/>
      <c r="L372" s="26"/>
      <c r="M372" s="26"/>
      <c r="N372" s="26"/>
      <c r="O372" s="93"/>
      <c r="P372" s="95"/>
      <c r="Q372" s="197"/>
    </row>
    <row r="373" spans="3:17" x14ac:dyDescent="0.25">
      <c r="C373" s="199"/>
      <c r="D373" s="112"/>
      <c r="E373" s="33"/>
      <c r="F373" s="105"/>
      <c r="H373" s="116"/>
      <c r="I373" s="26"/>
      <c r="J373" s="98"/>
      <c r="K373" s="36"/>
      <c r="L373" s="26"/>
      <c r="M373" s="26"/>
      <c r="N373" s="26"/>
      <c r="O373" s="93"/>
      <c r="P373" s="95"/>
      <c r="Q373" s="197"/>
    </row>
    <row r="374" spans="3:17" x14ac:dyDescent="0.25">
      <c r="C374" s="199"/>
      <c r="D374" s="112"/>
      <c r="E374" s="33"/>
      <c r="F374" s="105"/>
      <c r="H374" s="116"/>
      <c r="I374" s="26"/>
      <c r="J374" s="98"/>
      <c r="K374" s="36"/>
      <c r="L374" s="26"/>
      <c r="M374" s="26"/>
      <c r="N374" s="26"/>
      <c r="O374" s="93"/>
      <c r="P374" s="95"/>
      <c r="Q374" s="197"/>
    </row>
    <row r="375" spans="3:17" x14ac:dyDescent="0.25">
      <c r="C375" s="199"/>
      <c r="D375" s="112"/>
      <c r="E375" s="33"/>
      <c r="F375" s="105"/>
      <c r="H375" s="116"/>
      <c r="I375" s="26"/>
      <c r="J375" s="98"/>
      <c r="K375" s="36"/>
      <c r="L375" s="26"/>
      <c r="M375" s="26"/>
      <c r="N375" s="26"/>
      <c r="O375" s="93"/>
      <c r="P375" s="95"/>
      <c r="Q375" s="197"/>
    </row>
    <row r="376" spans="3:17" x14ac:dyDescent="0.25">
      <c r="C376" s="199"/>
      <c r="D376" s="112"/>
      <c r="E376" s="33"/>
      <c r="F376" s="105"/>
      <c r="H376" s="116"/>
      <c r="I376" s="26"/>
      <c r="J376" s="98"/>
      <c r="K376" s="36"/>
      <c r="L376" s="26"/>
      <c r="M376" s="26"/>
      <c r="N376" s="26"/>
      <c r="O376" s="93"/>
      <c r="P376" s="95"/>
      <c r="Q376" s="197"/>
    </row>
    <row r="377" spans="3:17" x14ac:dyDescent="0.25">
      <c r="C377" s="199"/>
      <c r="D377" s="112"/>
      <c r="E377" s="33"/>
      <c r="F377" s="105"/>
      <c r="H377" s="116"/>
      <c r="I377" s="26"/>
      <c r="J377" s="98"/>
      <c r="K377" s="36"/>
      <c r="L377" s="26"/>
      <c r="M377" s="26"/>
      <c r="N377" s="26"/>
      <c r="O377" s="93"/>
      <c r="P377" s="95"/>
      <c r="Q377" s="197"/>
    </row>
    <row r="378" spans="3:17" x14ac:dyDescent="0.25">
      <c r="C378" s="199"/>
      <c r="D378" s="112"/>
      <c r="E378" s="33"/>
      <c r="F378" s="105"/>
      <c r="H378" s="116"/>
      <c r="I378" s="26"/>
      <c r="J378" s="98"/>
      <c r="K378" s="36"/>
      <c r="L378" s="26"/>
      <c r="M378" s="26"/>
      <c r="N378" s="26"/>
      <c r="O378" s="93"/>
      <c r="P378" s="95"/>
      <c r="Q378" s="197"/>
    </row>
    <row r="379" spans="3:17" x14ac:dyDescent="0.25">
      <c r="C379" s="199"/>
      <c r="D379" s="112"/>
      <c r="E379" s="33"/>
      <c r="F379" s="105"/>
      <c r="H379" s="116"/>
      <c r="I379" s="26"/>
      <c r="J379" s="98"/>
      <c r="K379" s="36"/>
      <c r="L379" s="26"/>
      <c r="M379" s="26"/>
      <c r="N379" s="26"/>
      <c r="O379" s="93"/>
      <c r="P379" s="95"/>
      <c r="Q379" s="197"/>
    </row>
    <row r="380" spans="3:17" x14ac:dyDescent="0.25">
      <c r="C380" s="199"/>
      <c r="D380" s="112"/>
      <c r="E380" s="33"/>
      <c r="F380" s="105"/>
      <c r="H380" s="116"/>
      <c r="I380" s="26"/>
      <c r="J380" s="98"/>
      <c r="K380" s="36"/>
      <c r="L380" s="26"/>
      <c r="M380" s="26"/>
      <c r="N380" s="26"/>
      <c r="O380" s="93"/>
      <c r="P380" s="95"/>
      <c r="Q380" s="197"/>
    </row>
    <row r="381" spans="3:17" x14ac:dyDescent="0.25">
      <c r="C381" s="199"/>
      <c r="D381" s="112"/>
      <c r="E381" s="33"/>
      <c r="F381" s="105"/>
      <c r="H381" s="116"/>
      <c r="I381" s="26"/>
      <c r="J381" s="98"/>
      <c r="K381" s="36"/>
      <c r="L381" s="26"/>
      <c r="M381" s="26"/>
      <c r="N381" s="26"/>
      <c r="O381" s="93"/>
      <c r="P381" s="95"/>
      <c r="Q381" s="197"/>
    </row>
    <row r="382" spans="3:17" x14ac:dyDescent="0.25">
      <c r="C382" s="199"/>
      <c r="D382" s="112"/>
      <c r="E382" s="33"/>
      <c r="F382" s="105"/>
      <c r="H382" s="116"/>
      <c r="I382" s="26"/>
      <c r="J382" s="98"/>
      <c r="K382" s="36"/>
      <c r="L382" s="26"/>
      <c r="M382" s="26"/>
      <c r="N382" s="26"/>
      <c r="O382" s="93"/>
      <c r="P382" s="95"/>
      <c r="Q382" s="197"/>
    </row>
    <row r="383" spans="3:17" x14ac:dyDescent="0.25">
      <c r="C383" s="199"/>
      <c r="D383" s="112"/>
      <c r="E383" s="33"/>
      <c r="F383" s="105"/>
      <c r="H383" s="116"/>
      <c r="I383" s="26"/>
      <c r="J383" s="98"/>
      <c r="K383" s="36"/>
      <c r="L383" s="26"/>
      <c r="M383" s="26"/>
      <c r="N383" s="26"/>
      <c r="O383" s="93"/>
      <c r="P383" s="95"/>
      <c r="Q383" s="197"/>
    </row>
    <row r="384" spans="3:17" x14ac:dyDescent="0.25">
      <c r="C384" s="199"/>
      <c r="D384" s="112"/>
      <c r="E384" s="33"/>
      <c r="F384" s="105"/>
      <c r="H384" s="116"/>
      <c r="I384" s="26"/>
      <c r="J384" s="98"/>
      <c r="K384" s="36"/>
      <c r="L384" s="26"/>
      <c r="M384" s="26"/>
      <c r="N384" s="26"/>
      <c r="O384" s="93"/>
      <c r="P384" s="95"/>
      <c r="Q384" s="197"/>
    </row>
    <row r="385" spans="3:17" x14ac:dyDescent="0.25">
      <c r="C385" s="199"/>
      <c r="D385" s="112"/>
      <c r="E385" s="33"/>
      <c r="F385" s="105"/>
      <c r="H385" s="116"/>
      <c r="I385" s="26"/>
      <c r="J385" s="98"/>
      <c r="K385" s="36"/>
      <c r="L385" s="26"/>
      <c r="M385" s="26"/>
      <c r="N385" s="26"/>
      <c r="O385" s="93"/>
      <c r="P385" s="95"/>
      <c r="Q385" s="197"/>
    </row>
    <row r="386" spans="3:17" x14ac:dyDescent="0.25">
      <c r="C386" s="199"/>
      <c r="D386" s="112"/>
      <c r="E386" s="33"/>
      <c r="F386" s="105"/>
      <c r="H386" s="116"/>
      <c r="I386" s="26"/>
      <c r="J386" s="98"/>
      <c r="K386" s="36"/>
      <c r="L386" s="26"/>
      <c r="M386" s="26"/>
      <c r="N386" s="26"/>
      <c r="O386" s="93"/>
      <c r="P386" s="95"/>
      <c r="Q386" s="197"/>
    </row>
    <row r="387" spans="3:17" x14ac:dyDescent="0.25">
      <c r="C387" s="199"/>
      <c r="D387" s="112"/>
      <c r="E387" s="33"/>
      <c r="F387" s="105"/>
      <c r="H387" s="116"/>
      <c r="I387" s="26"/>
      <c r="J387" s="98"/>
      <c r="K387" s="36"/>
      <c r="L387" s="26"/>
      <c r="M387" s="26"/>
      <c r="N387" s="26"/>
      <c r="O387" s="93"/>
      <c r="P387" s="95"/>
      <c r="Q387" s="197"/>
    </row>
    <row r="388" spans="3:17" x14ac:dyDescent="0.25">
      <c r="C388" s="199"/>
      <c r="D388" s="112"/>
      <c r="E388" s="33"/>
      <c r="F388" s="105"/>
      <c r="H388" s="116"/>
      <c r="I388" s="26"/>
      <c r="J388" s="98"/>
      <c r="K388" s="36"/>
      <c r="L388" s="26"/>
      <c r="M388" s="26"/>
      <c r="N388" s="26"/>
      <c r="O388" s="93"/>
      <c r="P388" s="95"/>
      <c r="Q388" s="197"/>
    </row>
    <row r="389" spans="3:17" x14ac:dyDescent="0.25">
      <c r="C389" s="199"/>
      <c r="D389" s="112"/>
      <c r="E389" s="33"/>
      <c r="F389" s="105"/>
      <c r="H389" s="116"/>
      <c r="I389" s="26"/>
      <c r="J389" s="98"/>
      <c r="K389" s="36"/>
      <c r="L389" s="26"/>
      <c r="M389" s="26"/>
      <c r="N389" s="26"/>
      <c r="O389" s="93"/>
      <c r="P389" s="95"/>
      <c r="Q389" s="197"/>
    </row>
    <row r="390" spans="3:17" x14ac:dyDescent="0.25">
      <c r="C390" s="199"/>
      <c r="D390" s="112"/>
      <c r="E390" s="33"/>
      <c r="F390" s="105"/>
      <c r="H390" s="116"/>
      <c r="I390" s="26"/>
      <c r="J390" s="98"/>
      <c r="K390" s="36"/>
      <c r="L390" s="26"/>
      <c r="M390" s="26"/>
      <c r="N390" s="26"/>
      <c r="O390" s="93"/>
      <c r="P390" s="95"/>
      <c r="Q390" s="197"/>
    </row>
    <row r="391" spans="3:17" x14ac:dyDescent="0.25">
      <c r="C391" s="199"/>
      <c r="D391" s="112"/>
      <c r="E391" s="33"/>
      <c r="F391" s="105"/>
      <c r="H391" s="116"/>
      <c r="I391" s="26"/>
      <c r="J391" s="98"/>
      <c r="K391" s="36"/>
      <c r="L391" s="26"/>
      <c r="M391" s="26"/>
      <c r="N391" s="26"/>
      <c r="O391" s="93"/>
      <c r="P391" s="95"/>
      <c r="Q391" s="197"/>
    </row>
    <row r="392" spans="3:17" x14ac:dyDescent="0.25">
      <c r="C392" s="199"/>
      <c r="D392" s="112"/>
      <c r="E392" s="33"/>
      <c r="F392" s="105"/>
      <c r="H392" s="116"/>
      <c r="I392" s="26"/>
      <c r="J392" s="98"/>
      <c r="K392" s="36"/>
      <c r="L392" s="26"/>
      <c r="M392" s="26"/>
      <c r="N392" s="26"/>
      <c r="O392" s="93"/>
      <c r="P392" s="95"/>
      <c r="Q392" s="197"/>
    </row>
    <row r="393" spans="3:17" x14ac:dyDescent="0.25">
      <c r="C393" s="199"/>
      <c r="D393" s="112"/>
      <c r="E393" s="33"/>
      <c r="F393" s="105"/>
      <c r="H393" s="116"/>
      <c r="I393" s="26"/>
      <c r="J393" s="98"/>
      <c r="K393" s="36"/>
      <c r="L393" s="26"/>
      <c r="M393" s="26"/>
      <c r="N393" s="26"/>
      <c r="O393" s="93"/>
      <c r="P393" s="95"/>
      <c r="Q393" s="197"/>
    </row>
    <row r="394" spans="3:17" x14ac:dyDescent="0.25">
      <c r="C394" s="199"/>
      <c r="D394" s="112"/>
      <c r="E394" s="33"/>
      <c r="F394" s="105"/>
      <c r="H394" s="116"/>
      <c r="I394" s="26"/>
      <c r="J394" s="98"/>
      <c r="K394" s="36"/>
      <c r="L394" s="26"/>
      <c r="M394" s="26"/>
      <c r="N394" s="26"/>
      <c r="O394" s="93"/>
      <c r="P394" s="95"/>
      <c r="Q394" s="197"/>
    </row>
    <row r="395" spans="3:17" x14ac:dyDescent="0.25">
      <c r="C395" s="199"/>
      <c r="D395" s="112"/>
      <c r="E395" s="33"/>
      <c r="F395" s="105"/>
      <c r="H395" s="116"/>
      <c r="I395" s="26"/>
      <c r="J395" s="98"/>
      <c r="K395" s="36"/>
      <c r="L395" s="26"/>
      <c r="M395" s="26"/>
      <c r="N395" s="26"/>
      <c r="O395" s="93"/>
      <c r="P395" s="95"/>
      <c r="Q395" s="197"/>
    </row>
    <row r="396" spans="3:17" x14ac:dyDescent="0.25">
      <c r="C396" s="199"/>
      <c r="D396" s="112"/>
      <c r="E396" s="33"/>
      <c r="F396" s="105"/>
      <c r="H396" s="116"/>
      <c r="I396" s="26"/>
      <c r="J396" s="98"/>
      <c r="K396" s="36"/>
      <c r="L396" s="26"/>
      <c r="M396" s="26"/>
      <c r="N396" s="26"/>
      <c r="O396" s="93"/>
      <c r="P396" s="95"/>
      <c r="Q396" s="197"/>
    </row>
    <row r="397" spans="3:17" x14ac:dyDescent="0.25">
      <c r="C397" s="199"/>
      <c r="D397" s="112"/>
      <c r="E397" s="33"/>
      <c r="F397" s="105"/>
      <c r="H397" s="116"/>
      <c r="I397" s="26"/>
      <c r="J397" s="98"/>
      <c r="K397" s="36"/>
      <c r="L397" s="26"/>
      <c r="M397" s="26"/>
      <c r="N397" s="26"/>
      <c r="O397" s="93"/>
      <c r="P397" s="95"/>
      <c r="Q397" s="197"/>
    </row>
    <row r="398" spans="3:17" x14ac:dyDescent="0.25">
      <c r="C398" s="199"/>
      <c r="D398" s="112"/>
      <c r="E398" s="33"/>
      <c r="F398" s="105"/>
      <c r="H398" s="116"/>
      <c r="I398" s="26"/>
      <c r="J398" s="98"/>
      <c r="K398" s="36"/>
      <c r="L398" s="26"/>
      <c r="M398" s="26"/>
      <c r="N398" s="26"/>
      <c r="O398" s="93"/>
      <c r="P398" s="95"/>
      <c r="Q398" s="197"/>
    </row>
    <row r="399" spans="3:17" x14ac:dyDescent="0.25">
      <c r="C399" s="199"/>
      <c r="D399" s="112"/>
      <c r="E399" s="33"/>
      <c r="F399" s="105"/>
      <c r="H399" s="116"/>
      <c r="I399" s="26"/>
      <c r="J399" s="98"/>
      <c r="K399" s="36"/>
      <c r="L399" s="26"/>
      <c r="M399" s="26"/>
      <c r="N399" s="26"/>
      <c r="O399" s="93"/>
      <c r="P399" s="95"/>
      <c r="Q399" s="197"/>
    </row>
    <row r="400" spans="3:17" x14ac:dyDescent="0.25">
      <c r="C400" s="199"/>
      <c r="D400" s="112"/>
      <c r="E400" s="33"/>
      <c r="F400" s="105"/>
      <c r="H400" s="116"/>
      <c r="I400" s="26"/>
      <c r="J400" s="98"/>
      <c r="K400" s="36"/>
      <c r="L400" s="26"/>
      <c r="M400" s="26"/>
      <c r="N400" s="26"/>
      <c r="O400" s="93"/>
      <c r="P400" s="95"/>
      <c r="Q400" s="197"/>
    </row>
    <row r="401" spans="3:17" x14ac:dyDescent="0.25">
      <c r="C401" s="199"/>
      <c r="D401" s="112"/>
      <c r="E401" s="33"/>
      <c r="F401" s="105"/>
      <c r="H401" s="116"/>
      <c r="I401" s="26"/>
      <c r="J401" s="98"/>
      <c r="K401" s="36"/>
      <c r="L401" s="26"/>
      <c r="M401" s="26"/>
      <c r="N401" s="26"/>
      <c r="O401" s="93"/>
      <c r="P401" s="95"/>
      <c r="Q401" s="197"/>
    </row>
    <row r="402" spans="3:17" x14ac:dyDescent="0.25">
      <c r="C402" s="199"/>
      <c r="D402" s="112"/>
      <c r="E402" s="33"/>
      <c r="F402" s="105"/>
      <c r="H402" s="116"/>
      <c r="I402" s="26"/>
      <c r="J402" s="98"/>
      <c r="K402" s="36"/>
      <c r="L402" s="26"/>
      <c r="M402" s="26"/>
      <c r="N402" s="26"/>
      <c r="O402" s="93"/>
      <c r="P402" s="95"/>
      <c r="Q402" s="197"/>
    </row>
    <row r="403" spans="3:17" x14ac:dyDescent="0.25">
      <c r="C403" s="199"/>
      <c r="D403" s="112"/>
      <c r="E403" s="33"/>
      <c r="F403" s="105"/>
      <c r="H403" s="116"/>
      <c r="I403" s="26"/>
      <c r="J403" s="98"/>
      <c r="K403" s="36"/>
      <c r="L403" s="26"/>
      <c r="M403" s="26"/>
      <c r="N403" s="26"/>
      <c r="O403" s="93"/>
      <c r="P403" s="95"/>
      <c r="Q403" s="197"/>
    </row>
    <row r="404" spans="3:17" x14ac:dyDescent="0.25">
      <c r="C404" s="199"/>
      <c r="D404" s="112"/>
      <c r="E404" s="33"/>
      <c r="F404" s="105"/>
      <c r="H404" s="116"/>
      <c r="I404" s="26"/>
      <c r="J404" s="98"/>
      <c r="K404" s="36"/>
      <c r="L404" s="26"/>
      <c r="M404" s="26"/>
      <c r="N404" s="26"/>
      <c r="O404" s="93"/>
      <c r="P404" s="95"/>
      <c r="Q404" s="197"/>
    </row>
    <row r="405" spans="3:17" x14ac:dyDescent="0.25">
      <c r="C405" s="199"/>
      <c r="D405" s="112"/>
      <c r="E405" s="33"/>
      <c r="F405" s="105"/>
      <c r="H405" s="116"/>
      <c r="I405" s="26"/>
      <c r="J405" s="98"/>
      <c r="K405" s="36"/>
      <c r="L405" s="26"/>
      <c r="M405" s="26"/>
      <c r="N405" s="26"/>
      <c r="O405" s="93"/>
      <c r="P405" s="95"/>
      <c r="Q405" s="197"/>
    </row>
    <row r="406" spans="3:17" x14ac:dyDescent="0.25">
      <c r="C406" s="199"/>
      <c r="D406" s="112"/>
      <c r="E406" s="33"/>
      <c r="F406" s="105"/>
      <c r="H406" s="116"/>
      <c r="I406" s="26"/>
      <c r="J406" s="98"/>
      <c r="K406" s="36"/>
      <c r="L406" s="26"/>
      <c r="M406" s="26"/>
      <c r="N406" s="26"/>
      <c r="O406" s="93"/>
      <c r="P406" s="95"/>
      <c r="Q406" s="197"/>
    </row>
    <row r="407" spans="3:17" x14ac:dyDescent="0.25">
      <c r="C407" s="199"/>
      <c r="D407" s="112"/>
      <c r="E407" s="33"/>
      <c r="F407" s="105"/>
      <c r="H407" s="116"/>
      <c r="I407" s="26"/>
      <c r="J407" s="98"/>
      <c r="K407" s="36"/>
      <c r="L407" s="26"/>
      <c r="M407" s="26"/>
      <c r="N407" s="26"/>
      <c r="O407" s="93"/>
      <c r="P407" s="95"/>
      <c r="Q407" s="197"/>
    </row>
    <row r="408" spans="3:17" x14ac:dyDescent="0.25">
      <c r="C408" s="199"/>
      <c r="D408" s="112"/>
      <c r="E408" s="33"/>
      <c r="F408" s="105"/>
      <c r="H408" s="116"/>
      <c r="I408" s="26"/>
      <c r="J408" s="98"/>
      <c r="K408" s="36"/>
      <c r="L408" s="26"/>
      <c r="M408" s="26"/>
      <c r="N408" s="26"/>
      <c r="O408" s="93"/>
      <c r="P408" s="95"/>
      <c r="Q408" s="197"/>
    </row>
    <row r="409" spans="3:17" x14ac:dyDescent="0.25">
      <c r="C409" s="199"/>
      <c r="D409" s="112"/>
      <c r="E409" s="33"/>
      <c r="F409" s="105"/>
      <c r="H409" s="116"/>
      <c r="I409" s="26"/>
      <c r="J409" s="98"/>
      <c r="K409" s="36"/>
      <c r="L409" s="26"/>
      <c r="M409" s="26"/>
      <c r="N409" s="26"/>
      <c r="O409" s="93"/>
      <c r="P409" s="95"/>
      <c r="Q409" s="197"/>
    </row>
    <row r="410" spans="3:17" x14ac:dyDescent="0.25">
      <c r="C410" s="199"/>
      <c r="D410" s="112"/>
      <c r="E410" s="33"/>
      <c r="F410" s="105"/>
      <c r="H410" s="116"/>
      <c r="I410" s="26"/>
      <c r="J410" s="98"/>
      <c r="K410" s="36"/>
      <c r="L410" s="26"/>
      <c r="M410" s="26"/>
      <c r="N410" s="26"/>
      <c r="O410" s="93"/>
      <c r="P410" s="95"/>
      <c r="Q410" s="197"/>
    </row>
    <row r="411" spans="3:17" x14ac:dyDescent="0.25">
      <c r="C411" s="199"/>
      <c r="D411" s="112"/>
      <c r="E411" s="33"/>
      <c r="F411" s="105"/>
      <c r="H411" s="116"/>
      <c r="I411" s="26"/>
      <c r="J411" s="98"/>
      <c r="K411" s="36"/>
      <c r="L411" s="26"/>
      <c r="M411" s="26"/>
      <c r="N411" s="26"/>
      <c r="O411" s="93"/>
      <c r="P411" s="95"/>
      <c r="Q411" s="197"/>
    </row>
    <row r="412" spans="3:17" x14ac:dyDescent="0.25">
      <c r="C412" s="199"/>
      <c r="D412" s="112"/>
      <c r="E412" s="33"/>
      <c r="F412" s="105"/>
      <c r="H412" s="116"/>
      <c r="I412" s="26"/>
      <c r="J412" s="98"/>
      <c r="K412" s="36"/>
      <c r="L412" s="26"/>
      <c r="M412" s="26"/>
      <c r="N412" s="26"/>
      <c r="O412" s="93"/>
      <c r="P412" s="95"/>
      <c r="Q412" s="197"/>
    </row>
    <row r="413" spans="3:17" x14ac:dyDescent="0.25">
      <c r="C413" s="199"/>
      <c r="D413" s="112"/>
      <c r="E413" s="33"/>
      <c r="F413" s="105"/>
      <c r="H413" s="116"/>
      <c r="I413" s="26"/>
      <c r="J413" s="98"/>
      <c r="K413" s="36"/>
      <c r="L413" s="26"/>
      <c r="M413" s="26"/>
      <c r="N413" s="26"/>
      <c r="O413" s="93"/>
      <c r="P413" s="95"/>
      <c r="Q413" s="197"/>
    </row>
    <row r="414" spans="3:17" x14ac:dyDescent="0.25">
      <c r="C414" s="199"/>
      <c r="D414" s="112"/>
      <c r="E414" s="33"/>
      <c r="F414" s="105"/>
      <c r="H414" s="116"/>
      <c r="I414" s="26"/>
      <c r="J414" s="98"/>
      <c r="K414" s="36"/>
      <c r="L414" s="26"/>
      <c r="M414" s="26"/>
      <c r="N414" s="26"/>
      <c r="O414" s="93"/>
      <c r="P414" s="95"/>
      <c r="Q414" s="197"/>
    </row>
    <row r="415" spans="3:17" x14ac:dyDescent="0.25">
      <c r="C415" s="199"/>
      <c r="D415" s="112"/>
      <c r="E415" s="33"/>
      <c r="F415" s="105"/>
      <c r="H415" s="116"/>
      <c r="I415" s="26"/>
      <c r="J415" s="98"/>
      <c r="K415" s="36"/>
      <c r="L415" s="26"/>
      <c r="M415" s="26"/>
      <c r="N415" s="26"/>
      <c r="O415" s="93"/>
      <c r="P415" s="95"/>
      <c r="Q415" s="197"/>
    </row>
    <row r="416" spans="3:17" x14ac:dyDescent="0.25">
      <c r="C416" s="199"/>
      <c r="D416" s="112"/>
      <c r="E416" s="33"/>
      <c r="F416" s="105"/>
      <c r="H416" s="116"/>
      <c r="I416" s="26"/>
      <c r="J416" s="98"/>
      <c r="K416" s="36"/>
      <c r="L416" s="26"/>
      <c r="M416" s="26"/>
      <c r="N416" s="26"/>
      <c r="O416" s="93"/>
      <c r="P416" s="95"/>
      <c r="Q416" s="197"/>
    </row>
    <row r="417" spans="3:17" x14ac:dyDescent="0.25">
      <c r="C417" s="199"/>
      <c r="D417" s="112"/>
      <c r="E417" s="33"/>
      <c r="F417" s="105"/>
      <c r="H417" s="116"/>
      <c r="I417" s="26"/>
      <c r="J417" s="98"/>
      <c r="K417" s="36"/>
      <c r="L417" s="26"/>
      <c r="M417" s="26"/>
      <c r="N417" s="26"/>
      <c r="O417" s="93"/>
      <c r="P417" s="95"/>
      <c r="Q417" s="197"/>
    </row>
    <row r="418" spans="3:17" x14ac:dyDescent="0.25">
      <c r="C418" s="199"/>
      <c r="D418" s="112"/>
      <c r="E418" s="33"/>
      <c r="F418" s="105"/>
      <c r="H418" s="116"/>
      <c r="I418" s="26"/>
      <c r="J418" s="98"/>
      <c r="K418" s="36"/>
      <c r="L418" s="26"/>
      <c r="M418" s="26"/>
      <c r="N418" s="26"/>
      <c r="O418" s="93"/>
      <c r="P418" s="95"/>
      <c r="Q418" s="197"/>
    </row>
    <row r="419" spans="3:17" x14ac:dyDescent="0.25">
      <c r="C419" s="199"/>
      <c r="D419" s="112"/>
      <c r="E419" s="33"/>
      <c r="F419" s="105"/>
      <c r="H419" s="116"/>
      <c r="I419" s="26"/>
      <c r="J419" s="98"/>
      <c r="K419" s="36"/>
      <c r="L419" s="26"/>
      <c r="M419" s="26"/>
      <c r="N419" s="26"/>
      <c r="O419" s="93"/>
      <c r="P419" s="95"/>
      <c r="Q419" s="197"/>
    </row>
    <row r="420" spans="3:17" x14ac:dyDescent="0.25">
      <c r="C420" s="199"/>
      <c r="D420" s="112"/>
      <c r="E420" s="33"/>
      <c r="F420" s="105"/>
      <c r="H420" s="116"/>
      <c r="I420" s="26"/>
      <c r="J420" s="98"/>
      <c r="K420" s="36"/>
      <c r="L420" s="26"/>
      <c r="M420" s="26"/>
      <c r="N420" s="26"/>
      <c r="O420" s="93"/>
      <c r="P420" s="95"/>
      <c r="Q420" s="197"/>
    </row>
    <row r="421" spans="3:17" x14ac:dyDescent="0.25">
      <c r="C421" s="199"/>
      <c r="D421" s="112"/>
      <c r="E421" s="33"/>
      <c r="F421" s="105"/>
      <c r="H421" s="116"/>
      <c r="I421" s="26"/>
      <c r="J421" s="98"/>
      <c r="K421" s="36"/>
      <c r="L421" s="26"/>
      <c r="M421" s="26"/>
      <c r="N421" s="26"/>
      <c r="O421" s="93"/>
      <c r="P421" s="95"/>
      <c r="Q421" s="197"/>
    </row>
    <row r="422" spans="3:17" x14ac:dyDescent="0.25">
      <c r="C422" s="199"/>
      <c r="D422" s="112"/>
      <c r="E422" s="33"/>
      <c r="F422" s="105"/>
      <c r="H422" s="116"/>
      <c r="I422" s="26"/>
      <c r="J422" s="98"/>
      <c r="K422" s="36"/>
      <c r="L422" s="26"/>
      <c r="M422" s="26"/>
      <c r="N422" s="26"/>
      <c r="O422" s="93"/>
      <c r="P422" s="95"/>
      <c r="Q422" s="197"/>
    </row>
    <row r="423" spans="3:17" x14ac:dyDescent="0.25">
      <c r="C423" s="199"/>
      <c r="D423" s="112"/>
      <c r="E423" s="33"/>
      <c r="F423" s="105"/>
      <c r="H423" s="116"/>
      <c r="I423" s="26"/>
      <c r="J423" s="98"/>
      <c r="K423" s="36"/>
      <c r="L423" s="26"/>
      <c r="M423" s="26"/>
      <c r="N423" s="26"/>
      <c r="O423" s="93"/>
      <c r="P423" s="95"/>
      <c r="Q423" s="197"/>
    </row>
    <row r="424" spans="3:17" x14ac:dyDescent="0.25">
      <c r="C424" s="199"/>
      <c r="D424" s="112"/>
      <c r="E424" s="33"/>
      <c r="F424" s="105"/>
      <c r="H424" s="116"/>
      <c r="I424" s="26"/>
      <c r="J424" s="98"/>
      <c r="K424" s="36"/>
      <c r="L424" s="26"/>
      <c r="M424" s="26"/>
      <c r="N424" s="26"/>
      <c r="O424" s="93"/>
      <c r="P424" s="95"/>
      <c r="Q424" s="197"/>
    </row>
    <row r="425" spans="3:17" x14ac:dyDescent="0.25">
      <c r="C425" s="199"/>
      <c r="D425" s="112"/>
      <c r="E425" s="33"/>
      <c r="F425" s="105"/>
      <c r="H425" s="116"/>
      <c r="I425" s="26"/>
      <c r="J425" s="98"/>
      <c r="K425" s="36"/>
      <c r="L425" s="26"/>
      <c r="M425" s="26"/>
      <c r="N425" s="26"/>
      <c r="O425" s="93"/>
      <c r="P425" s="95"/>
      <c r="Q425" s="197"/>
    </row>
    <row r="426" spans="3:17" x14ac:dyDescent="0.25">
      <c r="C426" s="199"/>
      <c r="D426" s="112"/>
      <c r="E426" s="33"/>
      <c r="F426" s="105"/>
      <c r="H426" s="116"/>
      <c r="I426" s="26"/>
      <c r="J426" s="98"/>
      <c r="K426" s="36"/>
      <c r="L426" s="26"/>
      <c r="M426" s="26"/>
      <c r="N426" s="26"/>
      <c r="O426" s="93"/>
      <c r="P426" s="95"/>
      <c r="Q426" s="197"/>
    </row>
    <row r="427" spans="3:17" x14ac:dyDescent="0.25">
      <c r="C427" s="199"/>
      <c r="D427" s="112"/>
      <c r="E427" s="33"/>
      <c r="F427" s="105"/>
      <c r="H427" s="116"/>
      <c r="I427" s="26"/>
      <c r="J427" s="98"/>
      <c r="K427" s="36"/>
      <c r="L427" s="26"/>
      <c r="M427" s="26"/>
      <c r="N427" s="26"/>
      <c r="O427" s="93"/>
      <c r="P427" s="95"/>
      <c r="Q427" s="197"/>
    </row>
    <row r="428" spans="3:17" x14ac:dyDescent="0.25">
      <c r="C428" s="199"/>
      <c r="D428" s="112"/>
      <c r="E428" s="33"/>
      <c r="F428" s="105"/>
      <c r="H428" s="116"/>
      <c r="I428" s="26"/>
      <c r="J428" s="98"/>
      <c r="K428" s="36"/>
      <c r="L428" s="26"/>
      <c r="M428" s="26"/>
      <c r="N428" s="26"/>
      <c r="O428" s="93"/>
      <c r="P428" s="95"/>
      <c r="Q428" s="197"/>
    </row>
    <row r="429" spans="3:17" x14ac:dyDescent="0.25">
      <c r="C429" s="199"/>
      <c r="D429" s="112"/>
      <c r="E429" s="33"/>
      <c r="F429" s="105"/>
      <c r="H429" s="116"/>
      <c r="I429" s="26"/>
      <c r="J429" s="98"/>
      <c r="K429" s="36"/>
      <c r="L429" s="26"/>
      <c r="M429" s="26"/>
      <c r="N429" s="26"/>
      <c r="O429" s="93"/>
      <c r="P429" s="95"/>
      <c r="Q429" s="197"/>
    </row>
    <row r="430" spans="3:17" x14ac:dyDescent="0.25">
      <c r="C430" s="199"/>
      <c r="D430" s="112"/>
      <c r="E430" s="33"/>
      <c r="F430" s="105"/>
      <c r="H430" s="116"/>
      <c r="I430" s="26"/>
      <c r="J430" s="98"/>
      <c r="K430" s="36"/>
      <c r="L430" s="26"/>
      <c r="M430" s="26"/>
      <c r="N430" s="26"/>
      <c r="O430" s="93"/>
      <c r="P430" s="95"/>
      <c r="Q430" s="197"/>
    </row>
    <row r="431" spans="3:17" x14ac:dyDescent="0.25">
      <c r="C431" s="199"/>
      <c r="D431" s="112"/>
      <c r="E431" s="33"/>
      <c r="F431" s="105"/>
      <c r="H431" s="116"/>
      <c r="I431" s="26"/>
      <c r="J431" s="98"/>
      <c r="K431" s="36"/>
      <c r="L431" s="26"/>
      <c r="M431" s="26"/>
      <c r="N431" s="26"/>
      <c r="O431" s="93"/>
      <c r="P431" s="95"/>
      <c r="Q431" s="197"/>
    </row>
    <row r="432" spans="3:17" x14ac:dyDescent="0.25">
      <c r="C432" s="199"/>
      <c r="D432" s="112"/>
      <c r="E432" s="33"/>
      <c r="F432" s="105"/>
      <c r="H432" s="116"/>
      <c r="I432" s="26"/>
      <c r="J432" s="98"/>
      <c r="K432" s="36"/>
      <c r="L432" s="26"/>
      <c r="M432" s="26"/>
      <c r="N432" s="26"/>
      <c r="O432" s="93"/>
      <c r="P432" s="95"/>
      <c r="Q432" s="197"/>
    </row>
    <row r="433" spans="3:17" x14ac:dyDescent="0.25">
      <c r="C433" s="199"/>
      <c r="D433" s="112"/>
      <c r="E433" s="33"/>
      <c r="F433" s="105"/>
      <c r="H433" s="116"/>
      <c r="I433" s="26"/>
      <c r="J433" s="98"/>
      <c r="K433" s="36"/>
      <c r="L433" s="26"/>
      <c r="M433" s="26"/>
      <c r="N433" s="26"/>
      <c r="O433" s="93"/>
      <c r="P433" s="95"/>
      <c r="Q433" s="197"/>
    </row>
    <row r="434" spans="3:17" x14ac:dyDescent="0.25">
      <c r="C434" s="199"/>
      <c r="D434" s="112"/>
      <c r="E434" s="33"/>
      <c r="F434" s="105"/>
      <c r="H434" s="116"/>
      <c r="I434" s="26"/>
      <c r="J434" s="98"/>
      <c r="K434" s="36"/>
      <c r="L434" s="26"/>
      <c r="M434" s="26"/>
      <c r="N434" s="26"/>
      <c r="O434" s="93"/>
      <c r="P434" s="95"/>
      <c r="Q434" s="197"/>
    </row>
    <row r="435" spans="3:17" x14ac:dyDescent="0.25">
      <c r="C435" s="199"/>
      <c r="D435" s="112"/>
      <c r="E435" s="33"/>
      <c r="F435" s="105"/>
      <c r="H435" s="116"/>
      <c r="I435" s="26"/>
      <c r="J435" s="98"/>
      <c r="K435" s="36"/>
      <c r="L435" s="26"/>
      <c r="M435" s="26"/>
      <c r="N435" s="26"/>
      <c r="O435" s="93"/>
      <c r="P435" s="95"/>
      <c r="Q435" s="197"/>
    </row>
    <row r="436" spans="3:17" x14ac:dyDescent="0.25">
      <c r="C436" s="199"/>
      <c r="D436" s="112"/>
      <c r="E436" s="33"/>
      <c r="F436" s="105"/>
      <c r="H436" s="116"/>
      <c r="I436" s="26"/>
      <c r="J436" s="98"/>
      <c r="K436" s="36"/>
      <c r="L436" s="26"/>
      <c r="M436" s="26"/>
      <c r="N436" s="26"/>
      <c r="O436" s="93"/>
      <c r="P436" s="95"/>
      <c r="Q436" s="197"/>
    </row>
    <row r="437" spans="3:17" x14ac:dyDescent="0.25">
      <c r="C437" s="199"/>
      <c r="D437" s="112"/>
      <c r="E437" s="33"/>
      <c r="F437" s="105"/>
      <c r="H437" s="116"/>
      <c r="I437" s="26"/>
      <c r="J437" s="98"/>
      <c r="K437" s="36"/>
      <c r="L437" s="26"/>
      <c r="M437" s="26"/>
      <c r="N437" s="26"/>
      <c r="O437" s="93"/>
      <c r="P437" s="95"/>
      <c r="Q437" s="197"/>
    </row>
    <row r="438" spans="3:17" x14ac:dyDescent="0.25">
      <c r="C438" s="199"/>
      <c r="D438" s="112"/>
      <c r="E438" s="33"/>
      <c r="F438" s="105"/>
      <c r="H438" s="116"/>
      <c r="I438" s="26"/>
      <c r="J438" s="98"/>
      <c r="K438" s="36"/>
      <c r="L438" s="26"/>
      <c r="M438" s="26"/>
      <c r="N438" s="26"/>
      <c r="O438" s="93"/>
      <c r="P438" s="95"/>
      <c r="Q438" s="197"/>
    </row>
    <row r="439" spans="3:17" x14ac:dyDescent="0.25">
      <c r="C439" s="199"/>
      <c r="D439" s="112"/>
      <c r="E439" s="33"/>
      <c r="F439" s="105"/>
      <c r="H439" s="116"/>
      <c r="I439" s="26"/>
      <c r="J439" s="98"/>
      <c r="K439" s="36"/>
      <c r="L439" s="26"/>
      <c r="M439" s="26"/>
      <c r="N439" s="26"/>
      <c r="O439" s="93"/>
      <c r="P439" s="95"/>
      <c r="Q439" s="197"/>
    </row>
    <row r="440" spans="3:17" x14ac:dyDescent="0.25">
      <c r="C440" s="199"/>
      <c r="D440" s="112"/>
      <c r="E440" s="33"/>
      <c r="F440" s="105"/>
      <c r="H440" s="116"/>
      <c r="I440" s="26"/>
      <c r="J440" s="98"/>
      <c r="K440" s="36"/>
      <c r="L440" s="26"/>
      <c r="M440" s="26"/>
      <c r="N440" s="26"/>
      <c r="O440" s="93"/>
      <c r="P440" s="95"/>
      <c r="Q440" s="197"/>
    </row>
    <row r="441" spans="3:17" x14ac:dyDescent="0.25">
      <c r="C441" s="199"/>
      <c r="D441" s="112"/>
      <c r="E441" s="33"/>
      <c r="F441" s="105"/>
      <c r="H441" s="116"/>
      <c r="I441" s="26"/>
      <c r="J441" s="98"/>
      <c r="K441" s="36"/>
      <c r="L441" s="26"/>
      <c r="M441" s="26"/>
      <c r="N441" s="26"/>
      <c r="O441" s="93"/>
      <c r="P441" s="95"/>
      <c r="Q441" s="197"/>
    </row>
    <row r="442" spans="3:17" x14ac:dyDescent="0.25">
      <c r="C442" s="199"/>
      <c r="D442" s="112"/>
      <c r="E442" s="33"/>
      <c r="F442" s="105"/>
      <c r="H442" s="116"/>
      <c r="I442" s="26"/>
      <c r="J442" s="98"/>
      <c r="K442" s="36"/>
      <c r="L442" s="26"/>
      <c r="M442" s="26"/>
      <c r="N442" s="26"/>
      <c r="O442" s="93"/>
      <c r="P442" s="95"/>
      <c r="Q442" s="197"/>
    </row>
    <row r="443" spans="3:17" x14ac:dyDescent="0.25">
      <c r="C443" s="199"/>
      <c r="D443" s="112"/>
      <c r="E443" s="33"/>
      <c r="F443" s="105"/>
      <c r="H443" s="116"/>
      <c r="I443" s="26"/>
      <c r="J443" s="98"/>
      <c r="K443" s="36"/>
      <c r="L443" s="26"/>
      <c r="M443" s="26"/>
      <c r="N443" s="26"/>
      <c r="O443" s="93"/>
      <c r="P443" s="95"/>
      <c r="Q443" s="197"/>
    </row>
    <row r="444" spans="3:17" x14ac:dyDescent="0.25">
      <c r="C444" s="199"/>
      <c r="D444" s="112"/>
      <c r="E444" s="33"/>
      <c r="F444" s="105"/>
      <c r="H444" s="116"/>
      <c r="I444" s="26"/>
      <c r="J444" s="98"/>
      <c r="K444" s="36"/>
      <c r="L444" s="26"/>
      <c r="M444" s="26"/>
      <c r="N444" s="26"/>
      <c r="O444" s="93"/>
      <c r="P444" s="95"/>
      <c r="Q444" s="197"/>
    </row>
    <row r="445" spans="3:17" x14ac:dyDescent="0.25">
      <c r="C445" s="199"/>
      <c r="D445" s="112"/>
      <c r="E445" s="33"/>
      <c r="F445" s="105"/>
      <c r="H445" s="116"/>
      <c r="I445" s="26"/>
      <c r="J445" s="98"/>
      <c r="K445" s="36"/>
      <c r="L445" s="26"/>
      <c r="M445" s="26"/>
      <c r="N445" s="26"/>
      <c r="O445" s="93"/>
      <c r="P445" s="95"/>
      <c r="Q445" s="197"/>
    </row>
    <row r="446" spans="3:17" x14ac:dyDescent="0.25">
      <c r="C446" s="199"/>
      <c r="D446" s="112"/>
      <c r="E446" s="33"/>
      <c r="F446" s="105"/>
      <c r="H446" s="116"/>
      <c r="I446" s="26"/>
      <c r="J446" s="98"/>
      <c r="K446" s="36"/>
      <c r="L446" s="26"/>
      <c r="M446" s="26"/>
      <c r="N446" s="26"/>
      <c r="O446" s="93"/>
      <c r="P446" s="95"/>
      <c r="Q446" s="197"/>
    </row>
    <row r="447" spans="3:17" x14ac:dyDescent="0.25">
      <c r="C447" s="199"/>
      <c r="D447" s="112"/>
      <c r="E447" s="33"/>
      <c r="F447" s="105"/>
      <c r="H447" s="116"/>
      <c r="I447" s="26"/>
      <c r="J447" s="98"/>
      <c r="K447" s="36"/>
      <c r="L447" s="26"/>
      <c r="M447" s="26"/>
      <c r="N447" s="26"/>
      <c r="O447" s="93"/>
      <c r="P447" s="95"/>
      <c r="Q447" s="197"/>
    </row>
    <row r="448" spans="3:17" x14ac:dyDescent="0.25">
      <c r="C448" s="199"/>
      <c r="D448" s="112"/>
      <c r="E448" s="33"/>
      <c r="F448" s="105"/>
      <c r="H448" s="116"/>
      <c r="I448" s="26"/>
      <c r="J448" s="98"/>
      <c r="K448" s="36"/>
      <c r="L448" s="26"/>
      <c r="M448" s="26"/>
      <c r="N448" s="26"/>
      <c r="O448" s="93"/>
      <c r="P448" s="95"/>
      <c r="Q448" s="197"/>
    </row>
    <row r="449" spans="3:17" x14ac:dyDescent="0.25">
      <c r="C449" s="199"/>
      <c r="D449" s="112"/>
      <c r="E449" s="33"/>
      <c r="F449" s="105"/>
      <c r="H449" s="116"/>
      <c r="I449" s="26"/>
      <c r="J449" s="98"/>
      <c r="K449" s="36"/>
      <c r="L449" s="26"/>
      <c r="M449" s="26"/>
      <c r="N449" s="26"/>
      <c r="O449" s="93"/>
      <c r="P449" s="95"/>
      <c r="Q449" s="197"/>
    </row>
    <row r="450" spans="3:17" x14ac:dyDescent="0.25">
      <c r="C450" s="199"/>
      <c r="D450" s="112"/>
      <c r="E450" s="33"/>
      <c r="F450" s="105"/>
      <c r="H450" s="116"/>
      <c r="I450" s="26"/>
      <c r="J450" s="98"/>
      <c r="K450" s="36"/>
      <c r="L450" s="26"/>
      <c r="M450" s="26"/>
      <c r="N450" s="26"/>
      <c r="O450" s="93"/>
      <c r="P450" s="95"/>
      <c r="Q450" s="197"/>
    </row>
    <row r="451" spans="3:17" x14ac:dyDescent="0.25">
      <c r="C451" s="199"/>
      <c r="D451" s="112"/>
      <c r="E451" s="33"/>
      <c r="F451" s="105"/>
      <c r="H451" s="116"/>
      <c r="I451" s="26"/>
      <c r="J451" s="98"/>
      <c r="K451" s="36"/>
      <c r="L451" s="26"/>
      <c r="M451" s="26"/>
      <c r="N451" s="26"/>
      <c r="O451" s="93"/>
      <c r="P451" s="95"/>
      <c r="Q451" s="197"/>
    </row>
    <row r="452" spans="3:17" x14ac:dyDescent="0.25">
      <c r="C452" s="199"/>
      <c r="D452" s="112"/>
      <c r="E452" s="33"/>
      <c r="F452" s="105"/>
      <c r="H452" s="116"/>
      <c r="I452" s="26"/>
      <c r="J452" s="98"/>
      <c r="K452" s="36"/>
      <c r="L452" s="26"/>
      <c r="M452" s="26"/>
      <c r="N452" s="26"/>
      <c r="O452" s="93"/>
      <c r="P452" s="95"/>
      <c r="Q452" s="197"/>
    </row>
    <row r="453" spans="3:17" x14ac:dyDescent="0.25">
      <c r="C453" s="199"/>
      <c r="D453" s="112"/>
      <c r="E453" s="33"/>
      <c r="F453" s="105"/>
      <c r="H453" s="116"/>
      <c r="I453" s="26"/>
      <c r="J453" s="98"/>
      <c r="K453" s="36"/>
      <c r="L453" s="26"/>
      <c r="M453" s="26"/>
      <c r="N453" s="26"/>
      <c r="O453" s="93"/>
      <c r="P453" s="95"/>
      <c r="Q453" s="197"/>
    </row>
    <row r="454" spans="3:17" x14ac:dyDescent="0.25">
      <c r="C454" s="199"/>
      <c r="D454" s="112"/>
      <c r="E454" s="33"/>
      <c r="F454" s="105"/>
      <c r="H454" s="116"/>
      <c r="I454" s="26"/>
      <c r="J454" s="98"/>
      <c r="K454" s="36"/>
      <c r="L454" s="26"/>
      <c r="M454" s="26"/>
      <c r="N454" s="26"/>
      <c r="O454" s="93"/>
      <c r="P454" s="95"/>
      <c r="Q454" s="197"/>
    </row>
    <row r="455" spans="3:17" x14ac:dyDescent="0.25">
      <c r="C455" s="199"/>
      <c r="D455" s="112"/>
      <c r="E455" s="33"/>
      <c r="F455" s="105"/>
      <c r="H455" s="116"/>
      <c r="I455" s="26"/>
      <c r="J455" s="98"/>
      <c r="K455" s="36"/>
      <c r="L455" s="26"/>
      <c r="M455" s="26"/>
      <c r="N455" s="26"/>
      <c r="O455" s="93"/>
      <c r="P455" s="95"/>
      <c r="Q455" s="197"/>
    </row>
    <row r="456" spans="3:17" x14ac:dyDescent="0.25">
      <c r="C456" s="199"/>
      <c r="D456" s="112"/>
      <c r="E456" s="33"/>
      <c r="F456" s="105"/>
      <c r="H456" s="116"/>
      <c r="I456" s="26"/>
      <c r="J456" s="98"/>
      <c r="K456" s="36"/>
      <c r="L456" s="26"/>
      <c r="M456" s="26"/>
      <c r="N456" s="26"/>
      <c r="O456" s="93"/>
      <c r="P456" s="95"/>
      <c r="Q456" s="197"/>
    </row>
    <row r="457" spans="3:17" x14ac:dyDescent="0.25">
      <c r="C457" s="199"/>
      <c r="D457" s="112"/>
      <c r="E457" s="33"/>
      <c r="F457" s="105"/>
      <c r="H457" s="116"/>
      <c r="I457" s="26"/>
      <c r="J457" s="98"/>
      <c r="K457" s="36"/>
      <c r="L457" s="26"/>
      <c r="M457" s="26"/>
      <c r="N457" s="26"/>
      <c r="O457" s="93"/>
      <c r="P457" s="95"/>
      <c r="Q457" s="197"/>
    </row>
    <row r="458" spans="3:17" x14ac:dyDescent="0.25">
      <c r="C458" s="199"/>
      <c r="D458" s="112"/>
      <c r="E458" s="33"/>
      <c r="F458" s="105"/>
      <c r="H458" s="116"/>
      <c r="I458" s="26"/>
      <c r="J458" s="98"/>
      <c r="K458" s="36"/>
      <c r="L458" s="26"/>
      <c r="M458" s="26"/>
      <c r="N458" s="26"/>
      <c r="O458" s="93"/>
      <c r="P458" s="95"/>
      <c r="Q458" s="197"/>
    </row>
    <row r="459" spans="3:17" x14ac:dyDescent="0.25">
      <c r="C459" s="199"/>
      <c r="D459" s="112"/>
      <c r="E459" s="33"/>
      <c r="F459" s="105"/>
      <c r="H459" s="116"/>
      <c r="I459" s="26"/>
      <c r="J459" s="98"/>
      <c r="K459" s="36"/>
      <c r="L459" s="26"/>
      <c r="M459" s="26"/>
      <c r="N459" s="26"/>
      <c r="O459" s="93"/>
      <c r="P459" s="95"/>
      <c r="Q459" s="197"/>
    </row>
    <row r="460" spans="3:17" x14ac:dyDescent="0.25">
      <c r="C460" s="199"/>
      <c r="D460" s="112"/>
      <c r="E460" s="33"/>
      <c r="F460" s="105"/>
      <c r="H460" s="116"/>
      <c r="I460" s="26"/>
      <c r="J460" s="98"/>
      <c r="K460" s="36"/>
      <c r="L460" s="26"/>
      <c r="M460" s="26"/>
      <c r="N460" s="26"/>
      <c r="O460" s="93"/>
      <c r="P460" s="95"/>
      <c r="Q460" s="197"/>
    </row>
    <row r="461" spans="3:17" x14ac:dyDescent="0.25">
      <c r="C461" s="199"/>
      <c r="D461" s="112"/>
      <c r="E461" s="33"/>
      <c r="F461" s="105"/>
      <c r="H461" s="116"/>
      <c r="I461" s="26"/>
      <c r="J461" s="98"/>
      <c r="K461" s="36"/>
      <c r="L461" s="26"/>
      <c r="M461" s="26"/>
      <c r="N461" s="26"/>
      <c r="O461" s="93"/>
      <c r="P461" s="95"/>
      <c r="Q461" s="197"/>
    </row>
    <row r="462" spans="3:17" x14ac:dyDescent="0.25">
      <c r="C462" s="199"/>
      <c r="D462" s="112"/>
      <c r="E462" s="33"/>
      <c r="F462" s="105"/>
      <c r="H462" s="116"/>
      <c r="I462" s="26"/>
      <c r="J462" s="98"/>
      <c r="K462" s="36"/>
      <c r="L462" s="26"/>
      <c r="M462" s="26"/>
      <c r="N462" s="26"/>
      <c r="O462" s="93"/>
      <c r="P462" s="95"/>
      <c r="Q462" s="197"/>
    </row>
    <row r="463" spans="3:17" x14ac:dyDescent="0.25">
      <c r="C463" s="199"/>
      <c r="D463" s="112"/>
      <c r="E463" s="33"/>
      <c r="F463" s="105"/>
      <c r="H463" s="116"/>
      <c r="I463" s="26"/>
      <c r="J463" s="98"/>
      <c r="K463" s="36"/>
      <c r="L463" s="26"/>
      <c r="M463" s="26"/>
      <c r="N463" s="26"/>
      <c r="O463" s="93"/>
      <c r="P463" s="95"/>
      <c r="Q463" s="197"/>
    </row>
    <row r="464" spans="3:17" x14ac:dyDescent="0.25">
      <c r="C464" s="199"/>
      <c r="D464" s="112"/>
      <c r="E464" s="33"/>
      <c r="F464" s="105"/>
      <c r="H464" s="116"/>
      <c r="I464" s="26"/>
      <c r="J464" s="98"/>
      <c r="K464" s="36"/>
      <c r="L464" s="26"/>
      <c r="M464" s="26"/>
      <c r="N464" s="26"/>
      <c r="O464" s="93"/>
      <c r="P464" s="95"/>
      <c r="Q464" s="197"/>
    </row>
    <row r="465" spans="3:17" x14ac:dyDescent="0.25">
      <c r="C465" s="199"/>
      <c r="D465" s="112"/>
      <c r="E465" s="33"/>
      <c r="F465" s="105"/>
      <c r="H465" s="116"/>
      <c r="I465" s="26"/>
      <c r="J465" s="98"/>
      <c r="K465" s="36"/>
      <c r="L465" s="26"/>
      <c r="M465" s="26"/>
      <c r="N465" s="26"/>
      <c r="O465" s="93"/>
      <c r="P465" s="95"/>
      <c r="Q465" s="197"/>
    </row>
    <row r="466" spans="3:17" x14ac:dyDescent="0.25">
      <c r="C466" s="199"/>
      <c r="D466" s="112"/>
      <c r="E466" s="33"/>
      <c r="F466" s="105"/>
      <c r="H466" s="116"/>
      <c r="I466" s="26"/>
      <c r="J466" s="98"/>
      <c r="K466" s="36"/>
      <c r="L466" s="26"/>
      <c r="M466" s="26"/>
      <c r="N466" s="26"/>
      <c r="O466" s="93"/>
      <c r="P466" s="95"/>
      <c r="Q466" s="197"/>
    </row>
    <row r="467" spans="3:17" x14ac:dyDescent="0.25">
      <c r="C467" s="199"/>
      <c r="D467" s="112"/>
      <c r="E467" s="33"/>
      <c r="F467" s="105"/>
      <c r="H467" s="116"/>
      <c r="I467" s="26"/>
      <c r="J467" s="98"/>
      <c r="K467" s="36"/>
      <c r="L467" s="26"/>
      <c r="M467" s="26"/>
      <c r="N467" s="26"/>
      <c r="O467" s="93"/>
      <c r="P467" s="95"/>
      <c r="Q467" s="197"/>
    </row>
    <row r="468" spans="3:17" x14ac:dyDescent="0.25">
      <c r="C468" s="199"/>
      <c r="D468" s="112"/>
      <c r="E468" s="33"/>
      <c r="F468" s="105"/>
      <c r="H468" s="116"/>
      <c r="I468" s="26"/>
      <c r="J468" s="98"/>
      <c r="K468" s="36"/>
      <c r="L468" s="26"/>
      <c r="M468" s="26"/>
      <c r="N468" s="26"/>
      <c r="O468" s="93"/>
      <c r="P468" s="95"/>
      <c r="Q468" s="197"/>
    </row>
    <row r="469" spans="3:17" x14ac:dyDescent="0.25">
      <c r="C469" s="199"/>
      <c r="D469" s="112"/>
      <c r="E469" s="33"/>
      <c r="F469" s="105"/>
      <c r="H469" s="116"/>
      <c r="I469" s="26"/>
      <c r="J469" s="98"/>
      <c r="K469" s="36"/>
      <c r="L469" s="26"/>
      <c r="M469" s="26"/>
      <c r="N469" s="26"/>
      <c r="O469" s="93"/>
      <c r="P469" s="95"/>
      <c r="Q469" s="197"/>
    </row>
    <row r="470" spans="3:17" x14ac:dyDescent="0.25">
      <c r="C470" s="199"/>
      <c r="D470" s="112"/>
      <c r="E470" s="33"/>
      <c r="F470" s="105"/>
      <c r="H470" s="116"/>
      <c r="I470" s="26"/>
      <c r="J470" s="98"/>
      <c r="K470" s="36"/>
      <c r="L470" s="26"/>
      <c r="M470" s="26"/>
      <c r="N470" s="26"/>
      <c r="O470" s="93"/>
      <c r="P470" s="95"/>
      <c r="Q470" s="197"/>
    </row>
    <row r="471" spans="3:17" x14ac:dyDescent="0.25">
      <c r="C471" s="199"/>
      <c r="D471" s="112"/>
      <c r="E471" s="33"/>
      <c r="F471" s="105"/>
      <c r="H471" s="116"/>
      <c r="I471" s="26"/>
      <c r="J471" s="98"/>
      <c r="K471" s="36"/>
      <c r="L471" s="26"/>
      <c r="M471" s="26"/>
      <c r="N471" s="26"/>
      <c r="O471" s="93"/>
      <c r="P471" s="95"/>
      <c r="Q471" s="197"/>
    </row>
    <row r="472" spans="3:17" x14ac:dyDescent="0.25">
      <c r="C472" s="199"/>
      <c r="D472" s="112"/>
      <c r="E472" s="33"/>
      <c r="F472" s="105"/>
      <c r="H472" s="116"/>
      <c r="I472" s="26"/>
      <c r="J472" s="98"/>
      <c r="K472" s="36"/>
      <c r="L472" s="26"/>
      <c r="M472" s="26"/>
      <c r="N472" s="26"/>
      <c r="O472" s="93"/>
      <c r="P472" s="95"/>
      <c r="Q472" s="197"/>
    </row>
    <row r="473" spans="3:17" x14ac:dyDescent="0.25">
      <c r="C473" s="199"/>
      <c r="D473" s="112"/>
      <c r="E473" s="33"/>
      <c r="F473" s="105"/>
      <c r="H473" s="116"/>
      <c r="I473" s="26"/>
      <c r="J473" s="98"/>
      <c r="K473" s="36"/>
      <c r="L473" s="26"/>
      <c r="M473" s="26"/>
      <c r="N473" s="26"/>
      <c r="O473" s="93"/>
      <c r="P473" s="95"/>
      <c r="Q473" s="197"/>
    </row>
    <row r="474" spans="3:17" x14ac:dyDescent="0.25">
      <c r="C474" s="199"/>
      <c r="D474" s="112"/>
      <c r="E474" s="33"/>
      <c r="F474" s="105"/>
      <c r="H474" s="116"/>
      <c r="I474" s="26"/>
      <c r="J474" s="98"/>
      <c r="K474" s="36"/>
      <c r="L474" s="26"/>
      <c r="M474" s="26"/>
      <c r="N474" s="26"/>
      <c r="O474" s="93"/>
      <c r="P474" s="95"/>
      <c r="Q474" s="197"/>
    </row>
    <row r="475" spans="3:17" x14ac:dyDescent="0.25">
      <c r="C475" s="199"/>
      <c r="D475" s="112"/>
      <c r="E475" s="33"/>
      <c r="F475" s="105"/>
      <c r="H475" s="116"/>
      <c r="I475" s="26"/>
      <c r="J475" s="98"/>
      <c r="K475" s="36"/>
      <c r="L475" s="26"/>
      <c r="M475" s="26"/>
      <c r="N475" s="26"/>
      <c r="O475" s="93"/>
      <c r="P475" s="95"/>
      <c r="Q475" s="197"/>
    </row>
    <row r="476" spans="3:17" x14ac:dyDescent="0.25">
      <c r="C476" s="199"/>
      <c r="D476" s="112"/>
      <c r="E476" s="33"/>
      <c r="F476" s="105"/>
      <c r="H476" s="116"/>
      <c r="I476" s="26"/>
      <c r="J476" s="98"/>
      <c r="K476" s="36"/>
      <c r="L476" s="26"/>
      <c r="M476" s="26"/>
      <c r="N476" s="26"/>
      <c r="O476" s="93"/>
      <c r="P476" s="95"/>
      <c r="Q476" s="197"/>
    </row>
    <row r="477" spans="3:17" x14ac:dyDescent="0.25">
      <c r="C477" s="199"/>
      <c r="D477" s="112"/>
      <c r="E477" s="33"/>
      <c r="F477" s="105"/>
      <c r="H477" s="116"/>
      <c r="I477" s="26"/>
      <c r="J477" s="98"/>
      <c r="K477" s="36"/>
      <c r="L477" s="26"/>
      <c r="M477" s="26"/>
      <c r="N477" s="26"/>
      <c r="O477" s="93"/>
      <c r="P477" s="95"/>
      <c r="Q477" s="197"/>
    </row>
    <row r="478" spans="3:17" x14ac:dyDescent="0.25">
      <c r="C478" s="199"/>
      <c r="D478" s="112"/>
      <c r="E478" s="33"/>
      <c r="F478" s="105"/>
      <c r="H478" s="116"/>
      <c r="I478" s="26"/>
      <c r="J478" s="98"/>
      <c r="K478" s="36"/>
      <c r="L478" s="26"/>
      <c r="M478" s="26"/>
      <c r="N478" s="26"/>
      <c r="O478" s="93"/>
      <c r="P478" s="95"/>
      <c r="Q478" s="197"/>
    </row>
    <row r="479" spans="3:17" x14ac:dyDescent="0.25">
      <c r="C479" s="199"/>
      <c r="D479" s="112"/>
      <c r="E479" s="33"/>
      <c r="F479" s="105"/>
      <c r="H479" s="116"/>
      <c r="I479" s="26"/>
      <c r="J479" s="98"/>
      <c r="K479" s="36"/>
      <c r="L479" s="26"/>
      <c r="M479" s="26"/>
      <c r="N479" s="26"/>
      <c r="O479" s="93"/>
      <c r="P479" s="95"/>
      <c r="Q479" s="197"/>
    </row>
    <row r="480" spans="3:17" x14ac:dyDescent="0.25">
      <c r="C480" s="199"/>
      <c r="D480" s="112"/>
      <c r="E480" s="33"/>
      <c r="F480" s="105"/>
      <c r="H480" s="116"/>
      <c r="I480" s="26"/>
      <c r="J480" s="98"/>
      <c r="K480" s="36"/>
      <c r="L480" s="26"/>
      <c r="M480" s="26"/>
      <c r="N480" s="26"/>
      <c r="O480" s="93"/>
      <c r="P480" s="95"/>
      <c r="Q480" s="197"/>
    </row>
    <row r="481" spans="3:17" x14ac:dyDescent="0.25">
      <c r="C481" s="199"/>
      <c r="D481" s="112"/>
      <c r="E481" s="33"/>
      <c r="F481" s="105"/>
      <c r="H481" s="116"/>
      <c r="I481" s="26"/>
      <c r="J481" s="98"/>
      <c r="K481" s="36"/>
      <c r="L481" s="26"/>
      <c r="M481" s="26"/>
      <c r="N481" s="26"/>
      <c r="O481" s="93"/>
      <c r="P481" s="95"/>
      <c r="Q481" s="197"/>
    </row>
    <row r="482" spans="3:17" x14ac:dyDescent="0.25">
      <c r="C482" s="199"/>
      <c r="D482" s="112"/>
      <c r="E482" s="33"/>
      <c r="F482" s="105"/>
      <c r="H482" s="116"/>
      <c r="I482" s="26"/>
      <c r="J482" s="98"/>
      <c r="K482" s="36"/>
      <c r="L482" s="26"/>
      <c r="M482" s="26"/>
      <c r="N482" s="26"/>
      <c r="O482" s="93"/>
      <c r="P482" s="95"/>
      <c r="Q482" s="197"/>
    </row>
    <row r="483" spans="3:17" x14ac:dyDescent="0.25">
      <c r="C483" s="199"/>
      <c r="D483" s="112"/>
      <c r="E483" s="33"/>
      <c r="F483" s="105"/>
      <c r="H483" s="116"/>
      <c r="I483" s="26"/>
      <c r="J483" s="98"/>
      <c r="K483" s="36"/>
      <c r="L483" s="26"/>
      <c r="M483" s="26"/>
      <c r="N483" s="26"/>
      <c r="O483" s="93"/>
      <c r="P483" s="95"/>
      <c r="Q483" s="197"/>
    </row>
    <row r="484" spans="3:17" x14ac:dyDescent="0.25">
      <c r="C484" s="199"/>
      <c r="D484" s="112"/>
      <c r="E484" s="33"/>
      <c r="F484" s="105"/>
      <c r="H484" s="116"/>
      <c r="I484" s="26"/>
      <c r="J484" s="98"/>
      <c r="K484" s="36"/>
      <c r="L484" s="26"/>
      <c r="M484" s="26"/>
      <c r="N484" s="26"/>
      <c r="O484" s="93"/>
      <c r="P484" s="95"/>
      <c r="Q484" s="197"/>
    </row>
    <row r="485" spans="3:17" x14ac:dyDescent="0.25">
      <c r="C485" s="199"/>
      <c r="D485" s="112"/>
      <c r="E485" s="33"/>
      <c r="F485" s="105"/>
      <c r="H485" s="116"/>
      <c r="I485" s="26"/>
      <c r="J485" s="98"/>
      <c r="K485" s="36"/>
      <c r="L485" s="26"/>
      <c r="M485" s="26"/>
      <c r="N485" s="26"/>
      <c r="O485" s="93"/>
      <c r="P485" s="95"/>
      <c r="Q485" s="197"/>
    </row>
    <row r="486" spans="3:17" x14ac:dyDescent="0.25">
      <c r="C486" s="199"/>
      <c r="D486" s="112"/>
      <c r="E486" s="33"/>
      <c r="F486" s="105"/>
      <c r="H486" s="116"/>
      <c r="I486" s="26"/>
      <c r="J486" s="98"/>
      <c r="K486" s="36"/>
      <c r="L486" s="26"/>
      <c r="M486" s="26"/>
      <c r="N486" s="26"/>
      <c r="O486" s="93"/>
      <c r="P486" s="95"/>
      <c r="Q486" s="197"/>
    </row>
    <row r="487" spans="3:17" x14ac:dyDescent="0.25">
      <c r="C487" s="199"/>
      <c r="D487" s="112"/>
      <c r="E487" s="33"/>
      <c r="F487" s="105"/>
      <c r="H487" s="116"/>
      <c r="I487" s="26"/>
      <c r="J487" s="98"/>
      <c r="K487" s="36"/>
      <c r="L487" s="26"/>
      <c r="M487" s="26"/>
      <c r="N487" s="26"/>
      <c r="O487" s="93"/>
      <c r="P487" s="95"/>
      <c r="Q487" s="197"/>
    </row>
    <row r="488" spans="3:17" x14ac:dyDescent="0.25">
      <c r="C488" s="199"/>
      <c r="D488" s="112"/>
      <c r="E488" s="33"/>
      <c r="F488" s="105"/>
      <c r="H488" s="116"/>
      <c r="I488" s="26"/>
      <c r="J488" s="98"/>
      <c r="K488" s="36"/>
      <c r="L488" s="26"/>
      <c r="M488" s="26"/>
      <c r="N488" s="26"/>
      <c r="O488" s="93"/>
      <c r="P488" s="95"/>
      <c r="Q488" s="197"/>
    </row>
    <row r="489" spans="3:17" x14ac:dyDescent="0.25">
      <c r="C489" s="199"/>
      <c r="D489" s="112"/>
      <c r="E489" s="33"/>
      <c r="F489" s="105"/>
      <c r="H489" s="116"/>
      <c r="I489" s="26"/>
      <c r="J489" s="98"/>
      <c r="K489" s="36"/>
      <c r="L489" s="26"/>
      <c r="M489" s="26"/>
      <c r="N489" s="26"/>
      <c r="O489" s="93"/>
      <c r="P489" s="95"/>
      <c r="Q489" s="197"/>
    </row>
    <row r="490" spans="3:17" x14ac:dyDescent="0.25">
      <c r="C490" s="199"/>
      <c r="D490" s="112"/>
      <c r="E490" s="33"/>
      <c r="F490" s="105"/>
      <c r="H490" s="116"/>
      <c r="I490" s="26"/>
      <c r="J490" s="98"/>
      <c r="K490" s="36"/>
      <c r="L490" s="26"/>
      <c r="M490" s="26"/>
      <c r="N490" s="26"/>
      <c r="O490" s="93"/>
      <c r="P490" s="95"/>
      <c r="Q490" s="197"/>
    </row>
    <row r="491" spans="3:17" x14ac:dyDescent="0.25">
      <c r="C491" s="199"/>
      <c r="D491" s="112"/>
      <c r="E491" s="33"/>
      <c r="F491" s="105"/>
      <c r="H491" s="116"/>
      <c r="I491" s="26"/>
      <c r="J491" s="98"/>
      <c r="K491" s="36"/>
      <c r="L491" s="26"/>
      <c r="M491" s="26"/>
      <c r="N491" s="26"/>
      <c r="O491" s="93"/>
      <c r="P491" s="95"/>
      <c r="Q491" s="197"/>
    </row>
    <row r="492" spans="3:17" x14ac:dyDescent="0.25">
      <c r="C492" s="199"/>
      <c r="D492" s="112"/>
      <c r="E492" s="33"/>
      <c r="F492" s="105"/>
      <c r="H492" s="116"/>
      <c r="I492" s="26"/>
      <c r="J492" s="98"/>
      <c r="K492" s="36"/>
      <c r="L492" s="26"/>
      <c r="M492" s="26"/>
      <c r="N492" s="26"/>
      <c r="O492" s="93"/>
      <c r="P492" s="95"/>
      <c r="Q492" s="197"/>
    </row>
    <row r="493" spans="3:17" x14ac:dyDescent="0.25">
      <c r="C493" s="199"/>
      <c r="D493" s="112"/>
      <c r="E493" s="33"/>
      <c r="F493" s="105"/>
      <c r="H493" s="116"/>
      <c r="I493" s="26"/>
      <c r="J493" s="98"/>
      <c r="K493" s="36"/>
      <c r="L493" s="26"/>
      <c r="M493" s="26"/>
      <c r="N493" s="26"/>
      <c r="O493" s="93"/>
      <c r="P493" s="95"/>
      <c r="Q493" s="197"/>
    </row>
    <row r="494" spans="3:17" x14ac:dyDescent="0.25">
      <c r="C494" s="199"/>
      <c r="D494" s="112"/>
      <c r="E494" s="33"/>
      <c r="F494" s="105"/>
      <c r="H494" s="116"/>
      <c r="I494" s="26"/>
      <c r="J494" s="98"/>
      <c r="K494" s="36"/>
      <c r="L494" s="26"/>
      <c r="M494" s="26"/>
      <c r="N494" s="26"/>
      <c r="O494" s="93"/>
      <c r="P494" s="95"/>
      <c r="Q494" s="197"/>
    </row>
    <row r="495" spans="3:17" x14ac:dyDescent="0.25">
      <c r="C495" s="199"/>
      <c r="D495" s="112"/>
      <c r="E495" s="33"/>
      <c r="F495" s="105"/>
      <c r="H495" s="116"/>
      <c r="I495" s="26"/>
      <c r="J495" s="98"/>
      <c r="K495" s="36"/>
      <c r="L495" s="26"/>
      <c r="M495" s="26"/>
      <c r="N495" s="26"/>
      <c r="O495" s="93"/>
      <c r="P495" s="95"/>
      <c r="Q495" s="197"/>
    </row>
    <row r="496" spans="3:17" x14ac:dyDescent="0.25">
      <c r="C496" s="199"/>
      <c r="D496" s="112"/>
      <c r="E496" s="33"/>
      <c r="F496" s="105"/>
      <c r="H496" s="116"/>
      <c r="I496" s="26"/>
      <c r="J496" s="98"/>
      <c r="K496" s="36"/>
      <c r="L496" s="26"/>
      <c r="M496" s="26"/>
      <c r="N496" s="26"/>
      <c r="O496" s="93"/>
      <c r="P496" s="95"/>
      <c r="Q496" s="197"/>
    </row>
    <row r="497" spans="3:17" x14ac:dyDescent="0.25">
      <c r="C497" s="199"/>
      <c r="D497" s="112"/>
      <c r="E497" s="33"/>
      <c r="F497" s="105"/>
      <c r="H497" s="116"/>
      <c r="I497" s="26"/>
      <c r="J497" s="98"/>
      <c r="K497" s="36"/>
      <c r="L497" s="26"/>
      <c r="M497" s="26"/>
      <c r="N497" s="26"/>
      <c r="O497" s="93"/>
      <c r="P497" s="95"/>
      <c r="Q497" s="197"/>
    </row>
    <row r="498" spans="3:17" x14ac:dyDescent="0.25">
      <c r="C498" s="199"/>
      <c r="D498" s="112"/>
      <c r="E498" s="33"/>
      <c r="F498" s="105"/>
      <c r="H498" s="116"/>
      <c r="I498" s="26"/>
      <c r="J498" s="98"/>
      <c r="K498" s="36"/>
      <c r="L498" s="26"/>
      <c r="M498" s="26"/>
      <c r="N498" s="26"/>
      <c r="O498" s="93"/>
      <c r="P498" s="95"/>
      <c r="Q498" s="197"/>
    </row>
    <row r="499" spans="3:17" x14ac:dyDescent="0.25">
      <c r="C499" s="199"/>
      <c r="D499" s="112"/>
      <c r="E499" s="33"/>
      <c r="F499" s="105"/>
      <c r="H499" s="116"/>
      <c r="I499" s="26"/>
      <c r="J499" s="98"/>
      <c r="K499" s="36"/>
      <c r="L499" s="26"/>
      <c r="M499" s="26"/>
      <c r="N499" s="26"/>
      <c r="O499" s="93"/>
      <c r="P499" s="95"/>
      <c r="Q499" s="197"/>
    </row>
    <row r="500" spans="3:17" x14ac:dyDescent="0.25">
      <c r="C500" s="199"/>
      <c r="D500" s="112"/>
      <c r="E500" s="33"/>
      <c r="F500" s="105"/>
      <c r="H500" s="116"/>
      <c r="I500" s="26"/>
      <c r="J500" s="98"/>
      <c r="K500" s="36"/>
      <c r="L500" s="26"/>
      <c r="M500" s="26"/>
      <c r="N500" s="26"/>
      <c r="O500" s="93"/>
      <c r="P500" s="95"/>
      <c r="Q500" s="197"/>
    </row>
    <row r="501" spans="3:17" x14ac:dyDescent="0.25">
      <c r="C501" s="199"/>
      <c r="D501" s="112"/>
      <c r="E501" s="33"/>
      <c r="F501" s="105"/>
      <c r="H501" s="116"/>
      <c r="I501" s="26"/>
      <c r="J501" s="98"/>
      <c r="K501" s="36"/>
      <c r="L501" s="26"/>
      <c r="M501" s="26"/>
      <c r="N501" s="26"/>
      <c r="O501" s="93"/>
      <c r="P501" s="95"/>
      <c r="Q501" s="197"/>
    </row>
    <row r="502" spans="3:17" x14ac:dyDescent="0.25">
      <c r="C502" s="199"/>
      <c r="D502" s="112"/>
      <c r="E502" s="33"/>
      <c r="F502" s="105"/>
      <c r="H502" s="116"/>
      <c r="I502" s="26"/>
      <c r="J502" s="98"/>
      <c r="K502" s="36"/>
      <c r="L502" s="26"/>
      <c r="M502" s="26"/>
      <c r="N502" s="26"/>
      <c r="O502" s="93"/>
      <c r="P502" s="95"/>
      <c r="Q502" s="197"/>
    </row>
    <row r="503" spans="3:17" x14ac:dyDescent="0.25">
      <c r="C503" s="199"/>
      <c r="D503" s="112"/>
      <c r="E503" s="33"/>
      <c r="F503" s="105"/>
      <c r="H503" s="116"/>
      <c r="I503" s="26"/>
      <c r="J503" s="98"/>
      <c r="K503" s="36"/>
      <c r="L503" s="26"/>
      <c r="M503" s="26"/>
      <c r="N503" s="26"/>
      <c r="O503" s="93"/>
      <c r="P503" s="95"/>
      <c r="Q503" s="197"/>
    </row>
    <row r="504" spans="3:17" x14ac:dyDescent="0.25">
      <c r="C504" s="199"/>
      <c r="D504" s="112"/>
      <c r="E504" s="33"/>
      <c r="F504" s="105"/>
      <c r="H504" s="116"/>
      <c r="I504" s="26"/>
      <c r="J504" s="98"/>
      <c r="K504" s="36"/>
      <c r="L504" s="26"/>
      <c r="M504" s="26"/>
      <c r="N504" s="26"/>
      <c r="O504" s="93"/>
      <c r="P504" s="95"/>
      <c r="Q504" s="197"/>
    </row>
    <row r="505" spans="3:17" x14ac:dyDescent="0.25">
      <c r="C505" s="199"/>
      <c r="D505" s="112"/>
      <c r="E505" s="33"/>
      <c r="F505" s="105"/>
      <c r="H505" s="116"/>
      <c r="I505" s="26"/>
      <c r="J505" s="98"/>
      <c r="K505" s="36"/>
      <c r="L505" s="26"/>
      <c r="M505" s="26"/>
      <c r="N505" s="26"/>
      <c r="O505" s="93"/>
      <c r="P505" s="95"/>
      <c r="Q505" s="197"/>
    </row>
    <row r="506" spans="3:17" x14ac:dyDescent="0.25">
      <c r="C506" s="199"/>
      <c r="D506" s="112"/>
      <c r="E506" s="33"/>
      <c r="F506" s="105"/>
      <c r="H506" s="116"/>
      <c r="I506" s="26"/>
      <c r="J506" s="98"/>
      <c r="K506" s="36"/>
      <c r="L506" s="26"/>
      <c r="M506" s="26"/>
      <c r="N506" s="26"/>
      <c r="O506" s="93"/>
      <c r="P506" s="95"/>
      <c r="Q506" s="197"/>
    </row>
    <row r="507" spans="3:17" x14ac:dyDescent="0.25">
      <c r="C507" s="199"/>
      <c r="D507" s="112"/>
      <c r="E507" s="33"/>
      <c r="F507" s="105"/>
      <c r="H507" s="116"/>
      <c r="I507" s="26"/>
      <c r="J507" s="98"/>
      <c r="K507" s="36"/>
      <c r="L507" s="26"/>
      <c r="M507" s="26"/>
      <c r="N507" s="26"/>
      <c r="O507" s="93"/>
      <c r="P507" s="95"/>
      <c r="Q507" s="197"/>
    </row>
    <row r="508" spans="3:17" x14ac:dyDescent="0.25">
      <c r="C508" s="199"/>
      <c r="D508" s="112"/>
      <c r="E508" s="33"/>
      <c r="F508" s="105"/>
      <c r="H508" s="116"/>
      <c r="I508" s="26"/>
      <c r="J508" s="98"/>
      <c r="K508" s="36"/>
      <c r="L508" s="26"/>
      <c r="M508" s="26"/>
      <c r="N508" s="26"/>
      <c r="O508" s="93"/>
      <c r="P508" s="95"/>
      <c r="Q508" s="197"/>
    </row>
    <row r="509" spans="3:17" x14ac:dyDescent="0.25">
      <c r="C509" s="199"/>
      <c r="D509" s="112"/>
      <c r="E509" s="33"/>
      <c r="F509" s="105"/>
      <c r="H509" s="116"/>
      <c r="I509" s="26"/>
      <c r="J509" s="98"/>
      <c r="K509" s="36"/>
      <c r="L509" s="26"/>
      <c r="M509" s="26"/>
      <c r="N509" s="26"/>
      <c r="O509" s="93"/>
      <c r="P509" s="95"/>
      <c r="Q509" s="197"/>
    </row>
    <row r="510" spans="3:17" x14ac:dyDescent="0.25">
      <c r="C510" s="199"/>
      <c r="D510" s="112"/>
      <c r="E510" s="33"/>
      <c r="F510" s="105"/>
      <c r="H510" s="116"/>
      <c r="I510" s="26"/>
      <c r="J510" s="98"/>
      <c r="K510" s="36"/>
      <c r="L510" s="26"/>
      <c r="M510" s="26"/>
      <c r="N510" s="26"/>
      <c r="O510" s="93"/>
      <c r="P510" s="95"/>
      <c r="Q510" s="197"/>
    </row>
    <row r="511" spans="3:17" x14ac:dyDescent="0.25">
      <c r="C511" s="199"/>
      <c r="D511" s="112"/>
      <c r="E511" s="33"/>
      <c r="F511" s="105"/>
      <c r="H511" s="116"/>
      <c r="I511" s="26"/>
      <c r="J511" s="98"/>
      <c r="K511" s="36"/>
      <c r="L511" s="26"/>
      <c r="M511" s="26"/>
      <c r="N511" s="26"/>
      <c r="O511" s="93"/>
      <c r="P511" s="95"/>
      <c r="Q511" s="197"/>
    </row>
    <row r="512" spans="3:17" x14ac:dyDescent="0.25">
      <c r="C512" s="199"/>
      <c r="D512" s="112"/>
      <c r="E512" s="33"/>
      <c r="F512" s="105"/>
      <c r="H512" s="116"/>
      <c r="I512" s="26"/>
      <c r="J512" s="98"/>
      <c r="K512" s="36"/>
      <c r="L512" s="26"/>
      <c r="M512" s="26"/>
      <c r="N512" s="26"/>
      <c r="O512" s="93"/>
      <c r="P512" s="95"/>
      <c r="Q512" s="197"/>
    </row>
    <row r="513" spans="3:17" x14ac:dyDescent="0.25">
      <c r="C513" s="199"/>
      <c r="D513" s="112"/>
      <c r="E513" s="33"/>
      <c r="F513" s="105"/>
      <c r="H513" s="116"/>
      <c r="I513" s="26"/>
      <c r="J513" s="98"/>
      <c r="K513" s="36"/>
      <c r="L513" s="26"/>
      <c r="M513" s="26"/>
      <c r="N513" s="26"/>
      <c r="O513" s="93"/>
      <c r="P513" s="95"/>
      <c r="Q513" s="197"/>
    </row>
    <row r="514" spans="3:17" x14ac:dyDescent="0.25">
      <c r="C514" s="199"/>
      <c r="D514" s="112"/>
      <c r="E514" s="33"/>
      <c r="F514" s="105"/>
      <c r="H514" s="116"/>
      <c r="I514" s="26"/>
      <c r="J514" s="98"/>
      <c r="K514" s="36"/>
      <c r="L514" s="26"/>
      <c r="M514" s="26"/>
      <c r="N514" s="26"/>
      <c r="O514" s="93"/>
      <c r="P514" s="95"/>
      <c r="Q514" s="197"/>
    </row>
    <row r="515" spans="3:17" x14ac:dyDescent="0.25">
      <c r="C515" s="199"/>
      <c r="D515" s="112"/>
      <c r="E515" s="33"/>
      <c r="F515" s="105"/>
      <c r="H515" s="116"/>
      <c r="I515" s="26"/>
      <c r="J515" s="98"/>
      <c r="K515" s="36"/>
      <c r="L515" s="26"/>
      <c r="M515" s="26"/>
      <c r="N515" s="26"/>
      <c r="O515" s="93"/>
      <c r="P515" s="95"/>
      <c r="Q515" s="197"/>
    </row>
    <row r="516" spans="3:17" x14ac:dyDescent="0.25">
      <c r="C516" s="199"/>
      <c r="D516" s="112"/>
      <c r="E516" s="33"/>
      <c r="F516" s="105"/>
      <c r="H516" s="116"/>
      <c r="I516" s="26"/>
      <c r="J516" s="98"/>
      <c r="K516" s="36"/>
      <c r="L516" s="26"/>
      <c r="M516" s="26"/>
      <c r="N516" s="26"/>
      <c r="O516" s="93"/>
      <c r="P516" s="95"/>
      <c r="Q516" s="197"/>
    </row>
    <row r="517" spans="3:17" x14ac:dyDescent="0.25">
      <c r="C517" s="199"/>
      <c r="D517" s="112"/>
      <c r="E517" s="33"/>
      <c r="F517" s="105"/>
      <c r="H517" s="116"/>
      <c r="I517" s="26"/>
      <c r="J517" s="98"/>
      <c r="K517" s="36"/>
      <c r="L517" s="26"/>
      <c r="M517" s="26"/>
      <c r="N517" s="26"/>
      <c r="O517" s="93"/>
      <c r="P517" s="95"/>
      <c r="Q517" s="197"/>
    </row>
    <row r="518" spans="3:17" x14ac:dyDescent="0.25">
      <c r="C518" s="199"/>
      <c r="D518" s="112"/>
      <c r="E518" s="33"/>
      <c r="F518" s="105"/>
      <c r="H518" s="116"/>
      <c r="I518" s="26"/>
      <c r="J518" s="98"/>
      <c r="K518" s="36"/>
      <c r="L518" s="26"/>
      <c r="M518" s="26"/>
      <c r="N518" s="26"/>
      <c r="O518" s="93"/>
      <c r="P518" s="95"/>
      <c r="Q518" s="197"/>
    </row>
    <row r="519" spans="3:17" x14ac:dyDescent="0.25">
      <c r="C519" s="199"/>
      <c r="D519" s="112"/>
      <c r="E519" s="33"/>
      <c r="F519" s="105"/>
      <c r="H519" s="116"/>
      <c r="I519" s="26"/>
      <c r="J519" s="98"/>
      <c r="K519" s="36"/>
      <c r="L519" s="26"/>
      <c r="M519" s="26"/>
      <c r="N519" s="26"/>
      <c r="O519" s="93"/>
      <c r="P519" s="95"/>
      <c r="Q519" s="197"/>
    </row>
    <row r="520" spans="3:17" x14ac:dyDescent="0.25">
      <c r="C520" s="199"/>
      <c r="D520" s="112"/>
      <c r="E520" s="33"/>
      <c r="F520" s="105"/>
      <c r="H520" s="116"/>
      <c r="I520" s="26"/>
      <c r="J520" s="98"/>
      <c r="K520" s="36"/>
      <c r="L520" s="26"/>
      <c r="M520" s="26"/>
      <c r="N520" s="26"/>
      <c r="O520" s="93"/>
      <c r="P520" s="95"/>
      <c r="Q520" s="197"/>
    </row>
    <row r="521" spans="3:17" x14ac:dyDescent="0.25">
      <c r="C521" s="199"/>
      <c r="D521" s="112"/>
      <c r="E521" s="33"/>
      <c r="F521" s="105"/>
      <c r="H521" s="116"/>
      <c r="I521" s="26"/>
      <c r="J521" s="98"/>
      <c r="K521" s="36"/>
      <c r="L521" s="26"/>
      <c r="M521" s="26"/>
      <c r="N521" s="26"/>
      <c r="O521" s="93"/>
      <c r="P521" s="95"/>
      <c r="Q521" s="197"/>
    </row>
    <row r="522" spans="3:17" x14ac:dyDescent="0.25">
      <c r="C522" s="199"/>
      <c r="D522" s="112"/>
      <c r="E522" s="33"/>
      <c r="F522" s="105"/>
      <c r="H522" s="116"/>
      <c r="I522" s="26"/>
      <c r="J522" s="98"/>
      <c r="K522" s="36"/>
      <c r="L522" s="26"/>
      <c r="M522" s="26"/>
      <c r="N522" s="26"/>
      <c r="O522" s="93"/>
      <c r="P522" s="95"/>
      <c r="Q522" s="197"/>
    </row>
    <row r="523" spans="3:17" x14ac:dyDescent="0.25">
      <c r="C523" s="199"/>
      <c r="D523" s="112"/>
      <c r="E523" s="33"/>
      <c r="F523" s="105"/>
      <c r="H523" s="116"/>
      <c r="I523" s="26"/>
      <c r="J523" s="98"/>
      <c r="K523" s="36"/>
      <c r="L523" s="26"/>
      <c r="M523" s="26"/>
      <c r="N523" s="26"/>
      <c r="O523" s="93"/>
      <c r="P523" s="95"/>
      <c r="Q523" s="197"/>
    </row>
    <row r="524" spans="3:17" x14ac:dyDescent="0.25">
      <c r="C524" s="199"/>
      <c r="D524" s="112"/>
      <c r="E524" s="33"/>
      <c r="F524" s="105"/>
      <c r="H524" s="116"/>
      <c r="I524" s="26"/>
      <c r="J524" s="98"/>
      <c r="K524" s="36"/>
      <c r="L524" s="26"/>
      <c r="M524" s="26"/>
      <c r="N524" s="26"/>
      <c r="O524" s="93"/>
      <c r="P524" s="95"/>
      <c r="Q524" s="197"/>
    </row>
    <row r="525" spans="3:17" x14ac:dyDescent="0.25">
      <c r="C525" s="199"/>
      <c r="D525" s="112"/>
      <c r="E525" s="33"/>
      <c r="F525" s="105"/>
      <c r="H525" s="116"/>
      <c r="I525" s="26"/>
      <c r="J525" s="98"/>
      <c r="K525" s="36"/>
      <c r="L525" s="26"/>
      <c r="M525" s="26"/>
      <c r="N525" s="26"/>
      <c r="O525" s="93"/>
      <c r="P525" s="95"/>
      <c r="Q525" s="197"/>
    </row>
    <row r="526" spans="3:17" x14ac:dyDescent="0.25">
      <c r="C526" s="199"/>
      <c r="D526" s="112"/>
      <c r="E526" s="33"/>
      <c r="F526" s="105"/>
      <c r="H526" s="116"/>
      <c r="I526" s="26"/>
      <c r="J526" s="98"/>
      <c r="K526" s="36"/>
      <c r="L526" s="26"/>
      <c r="M526" s="26"/>
      <c r="N526" s="26"/>
      <c r="O526" s="93"/>
      <c r="P526" s="95"/>
      <c r="Q526" s="197"/>
    </row>
    <row r="527" spans="3:17" x14ac:dyDescent="0.25">
      <c r="C527" s="199"/>
      <c r="D527" s="112"/>
      <c r="E527" s="33"/>
      <c r="F527" s="105"/>
      <c r="H527" s="116"/>
      <c r="I527" s="26"/>
      <c r="J527" s="98"/>
      <c r="K527" s="36"/>
      <c r="L527" s="26"/>
      <c r="M527" s="26"/>
      <c r="N527" s="26"/>
      <c r="O527" s="93"/>
      <c r="P527" s="95"/>
      <c r="Q527" s="197"/>
    </row>
    <row r="528" spans="3:17" x14ac:dyDescent="0.25">
      <c r="C528" s="199"/>
      <c r="D528" s="112"/>
      <c r="E528" s="33"/>
      <c r="F528" s="105"/>
      <c r="H528" s="116"/>
      <c r="I528" s="26"/>
      <c r="J528" s="98"/>
      <c r="K528" s="36"/>
      <c r="L528" s="26"/>
      <c r="M528" s="26"/>
      <c r="N528" s="26"/>
      <c r="O528" s="93"/>
      <c r="P528" s="95"/>
      <c r="Q528" s="197"/>
    </row>
    <row r="529" spans="3:17" x14ac:dyDescent="0.25">
      <c r="C529" s="199"/>
      <c r="D529" s="112"/>
      <c r="E529" s="33"/>
      <c r="F529" s="105"/>
      <c r="H529" s="116"/>
      <c r="I529" s="26"/>
      <c r="J529" s="98"/>
      <c r="K529" s="36"/>
      <c r="L529" s="26"/>
      <c r="M529" s="26"/>
      <c r="N529" s="26"/>
      <c r="O529" s="93"/>
      <c r="P529" s="95"/>
      <c r="Q529" s="197"/>
    </row>
    <row r="530" spans="3:17" x14ac:dyDescent="0.25">
      <c r="C530" s="199"/>
      <c r="D530" s="112"/>
      <c r="E530" s="33"/>
      <c r="F530" s="105"/>
      <c r="H530" s="116"/>
      <c r="I530" s="26"/>
      <c r="J530" s="98"/>
      <c r="K530" s="36"/>
      <c r="L530" s="26"/>
      <c r="M530" s="26"/>
      <c r="N530" s="26"/>
      <c r="O530" s="93"/>
      <c r="P530" s="95"/>
      <c r="Q530" s="197"/>
    </row>
    <row r="531" spans="3:17" x14ac:dyDescent="0.25">
      <c r="C531" s="199"/>
      <c r="D531" s="112"/>
      <c r="E531" s="33"/>
      <c r="F531" s="105"/>
      <c r="H531" s="116"/>
      <c r="I531" s="26"/>
      <c r="J531" s="98"/>
      <c r="K531" s="36"/>
      <c r="L531" s="26"/>
      <c r="M531" s="26"/>
      <c r="N531" s="26"/>
      <c r="O531" s="93"/>
      <c r="P531" s="95"/>
      <c r="Q531" s="197"/>
    </row>
    <row r="532" spans="3:17" x14ac:dyDescent="0.25">
      <c r="C532" s="199"/>
      <c r="D532" s="112"/>
      <c r="E532" s="33"/>
      <c r="F532" s="105"/>
      <c r="H532" s="116"/>
      <c r="I532" s="26"/>
      <c r="J532" s="98"/>
      <c r="K532" s="36"/>
      <c r="L532" s="26"/>
      <c r="M532" s="26"/>
      <c r="N532" s="26"/>
      <c r="O532" s="93"/>
      <c r="P532" s="95"/>
      <c r="Q532" s="197"/>
    </row>
    <row r="533" spans="3:17" x14ac:dyDescent="0.25">
      <c r="C533" s="199"/>
      <c r="D533" s="112"/>
      <c r="E533" s="33"/>
      <c r="F533" s="105"/>
      <c r="H533" s="116"/>
      <c r="I533" s="26"/>
      <c r="J533" s="98"/>
      <c r="K533" s="36"/>
      <c r="L533" s="26"/>
      <c r="M533" s="26"/>
      <c r="N533" s="26"/>
      <c r="O533" s="93"/>
      <c r="P533" s="95"/>
      <c r="Q533" s="197"/>
    </row>
    <row r="534" spans="3:17" x14ac:dyDescent="0.25">
      <c r="C534" s="199"/>
      <c r="D534" s="112"/>
      <c r="E534" s="33"/>
      <c r="F534" s="105"/>
      <c r="H534" s="116"/>
      <c r="I534" s="26"/>
      <c r="J534" s="98"/>
      <c r="K534" s="36"/>
      <c r="L534" s="26"/>
      <c r="M534" s="26"/>
      <c r="N534" s="26"/>
      <c r="O534" s="93"/>
      <c r="P534" s="95"/>
      <c r="Q534" s="197"/>
    </row>
    <row r="535" spans="3:17" x14ac:dyDescent="0.25">
      <c r="C535" s="199"/>
      <c r="D535" s="112"/>
      <c r="E535" s="33"/>
      <c r="F535" s="105"/>
      <c r="H535" s="116"/>
      <c r="I535" s="26"/>
      <c r="J535" s="98"/>
      <c r="K535" s="36"/>
      <c r="L535" s="26"/>
      <c r="M535" s="26"/>
      <c r="N535" s="26"/>
      <c r="O535" s="93"/>
      <c r="P535" s="95"/>
      <c r="Q535" s="197"/>
    </row>
    <row r="536" spans="3:17" x14ac:dyDescent="0.25">
      <c r="C536" s="199"/>
      <c r="D536" s="112"/>
      <c r="E536" s="33"/>
      <c r="F536" s="105"/>
      <c r="H536" s="116"/>
      <c r="I536" s="26"/>
      <c r="J536" s="98"/>
      <c r="K536" s="36"/>
      <c r="L536" s="26"/>
      <c r="M536" s="26"/>
      <c r="N536" s="26"/>
      <c r="O536" s="93"/>
      <c r="P536" s="95"/>
      <c r="Q536" s="197"/>
    </row>
    <row r="537" spans="3:17" x14ac:dyDescent="0.25">
      <c r="C537" s="199"/>
      <c r="D537" s="112"/>
      <c r="E537" s="33"/>
      <c r="F537" s="105"/>
      <c r="H537" s="116"/>
      <c r="I537" s="26"/>
      <c r="J537" s="98"/>
      <c r="K537" s="36"/>
      <c r="L537" s="26"/>
      <c r="M537" s="26"/>
      <c r="N537" s="26"/>
      <c r="O537" s="93"/>
      <c r="P537" s="95"/>
      <c r="Q537" s="197"/>
    </row>
    <row r="538" spans="3:17" x14ac:dyDescent="0.25">
      <c r="C538" s="199"/>
      <c r="D538" s="112"/>
      <c r="E538" s="33"/>
      <c r="F538" s="105"/>
      <c r="H538" s="116"/>
      <c r="I538" s="26"/>
      <c r="J538" s="98"/>
      <c r="K538" s="36"/>
      <c r="L538" s="26"/>
      <c r="M538" s="26"/>
      <c r="N538" s="26"/>
      <c r="O538" s="93"/>
      <c r="P538" s="95"/>
      <c r="Q538" s="197"/>
    </row>
    <row r="539" spans="3:17" x14ac:dyDescent="0.25">
      <c r="C539" s="199"/>
      <c r="D539" s="112"/>
      <c r="E539" s="33"/>
      <c r="F539" s="105"/>
      <c r="H539" s="116"/>
      <c r="I539" s="26"/>
      <c r="J539" s="98"/>
      <c r="K539" s="36"/>
      <c r="L539" s="26"/>
      <c r="M539" s="26"/>
      <c r="N539" s="26"/>
      <c r="O539" s="93"/>
      <c r="P539" s="95"/>
      <c r="Q539" s="197"/>
    </row>
    <row r="540" spans="3:17" x14ac:dyDescent="0.25">
      <c r="C540" s="199"/>
      <c r="D540" s="112"/>
      <c r="E540" s="33"/>
      <c r="F540" s="105"/>
      <c r="H540" s="116"/>
      <c r="I540" s="26"/>
      <c r="J540" s="98"/>
      <c r="K540" s="36"/>
      <c r="L540" s="26"/>
      <c r="M540" s="26"/>
      <c r="N540" s="26"/>
      <c r="O540" s="93"/>
      <c r="P540" s="95"/>
      <c r="Q540" s="197"/>
    </row>
    <row r="541" spans="3:17" x14ac:dyDescent="0.25">
      <c r="C541" s="199"/>
      <c r="D541" s="112"/>
      <c r="E541" s="33"/>
      <c r="F541" s="105"/>
      <c r="H541" s="116"/>
      <c r="I541" s="26"/>
      <c r="J541" s="98"/>
      <c r="K541" s="36"/>
      <c r="L541" s="26"/>
      <c r="M541" s="26"/>
      <c r="N541" s="26"/>
      <c r="O541" s="93"/>
      <c r="P541" s="95"/>
      <c r="Q541" s="197"/>
    </row>
    <row r="542" spans="3:17" x14ac:dyDescent="0.25">
      <c r="C542" s="199"/>
      <c r="D542" s="112"/>
      <c r="E542" s="33"/>
      <c r="F542" s="105"/>
      <c r="H542" s="116"/>
      <c r="I542" s="26"/>
      <c r="J542" s="98"/>
      <c r="K542" s="36"/>
      <c r="L542" s="26"/>
      <c r="M542" s="26"/>
      <c r="N542" s="26"/>
      <c r="O542" s="93"/>
      <c r="P542" s="95"/>
      <c r="Q542" s="197"/>
    </row>
    <row r="543" spans="3:17" x14ac:dyDescent="0.25">
      <c r="C543" s="199"/>
      <c r="D543" s="112"/>
      <c r="E543" s="33"/>
      <c r="F543" s="105"/>
      <c r="H543" s="116"/>
      <c r="I543" s="26"/>
      <c r="J543" s="98"/>
      <c r="K543" s="36"/>
      <c r="L543" s="26"/>
      <c r="M543" s="26"/>
      <c r="N543" s="26"/>
      <c r="O543" s="93"/>
      <c r="P543" s="95"/>
      <c r="Q543" s="197"/>
    </row>
    <row r="544" spans="3:17" x14ac:dyDescent="0.25">
      <c r="C544" s="199"/>
      <c r="D544" s="112"/>
      <c r="E544" s="33"/>
      <c r="F544" s="105"/>
      <c r="H544" s="116"/>
      <c r="I544" s="26"/>
      <c r="J544" s="98"/>
      <c r="K544" s="36"/>
      <c r="L544" s="26"/>
      <c r="M544" s="26"/>
      <c r="N544" s="26"/>
      <c r="O544" s="93"/>
      <c r="P544" s="95"/>
      <c r="Q544" s="197"/>
    </row>
    <row r="545" spans="3:17" x14ac:dyDescent="0.25">
      <c r="C545" s="199"/>
      <c r="D545" s="112"/>
      <c r="E545" s="33"/>
      <c r="F545" s="105"/>
      <c r="H545" s="116"/>
      <c r="I545" s="26"/>
      <c r="J545" s="98"/>
      <c r="K545" s="36"/>
      <c r="L545" s="26"/>
      <c r="M545" s="26"/>
      <c r="N545" s="26"/>
      <c r="O545" s="93"/>
      <c r="P545" s="95"/>
      <c r="Q545" s="197"/>
    </row>
    <row r="546" spans="3:17" x14ac:dyDescent="0.25">
      <c r="C546" s="199"/>
      <c r="D546" s="112"/>
      <c r="E546" s="33"/>
      <c r="F546" s="105"/>
      <c r="H546" s="116"/>
      <c r="I546" s="26"/>
      <c r="J546" s="98"/>
      <c r="K546" s="36"/>
      <c r="L546" s="26"/>
      <c r="M546" s="26"/>
      <c r="N546" s="26"/>
      <c r="O546" s="93"/>
      <c r="P546" s="95"/>
      <c r="Q546" s="197"/>
    </row>
    <row r="547" spans="3:17" x14ac:dyDescent="0.25">
      <c r="C547" s="199"/>
      <c r="D547" s="112"/>
      <c r="E547" s="33"/>
      <c r="F547" s="105"/>
      <c r="H547" s="116"/>
      <c r="I547" s="26"/>
      <c r="J547" s="98"/>
      <c r="K547" s="36"/>
      <c r="L547" s="26"/>
      <c r="M547" s="26"/>
      <c r="N547" s="26"/>
      <c r="O547" s="93"/>
      <c r="P547" s="95"/>
      <c r="Q547" s="197"/>
    </row>
    <row r="548" spans="3:17" x14ac:dyDescent="0.25">
      <c r="C548" s="199"/>
      <c r="D548" s="112"/>
      <c r="E548" s="33"/>
      <c r="F548" s="105"/>
      <c r="H548" s="116"/>
      <c r="I548" s="26"/>
      <c r="J548" s="98"/>
      <c r="K548" s="36"/>
      <c r="L548" s="26"/>
      <c r="M548" s="26"/>
      <c r="N548" s="26"/>
      <c r="O548" s="93"/>
      <c r="P548" s="95"/>
      <c r="Q548" s="197"/>
    </row>
    <row r="549" spans="3:17" x14ac:dyDescent="0.25">
      <c r="C549" s="199"/>
      <c r="D549" s="112"/>
      <c r="E549" s="33"/>
      <c r="F549" s="105"/>
      <c r="H549" s="116"/>
      <c r="I549" s="26"/>
      <c r="J549" s="98"/>
      <c r="K549" s="36"/>
      <c r="L549" s="26"/>
      <c r="M549" s="26"/>
      <c r="N549" s="26"/>
      <c r="O549" s="93"/>
      <c r="P549" s="95"/>
      <c r="Q549" s="197"/>
    </row>
    <row r="550" spans="3:17" x14ac:dyDescent="0.25">
      <c r="C550" s="199"/>
      <c r="D550" s="112"/>
      <c r="E550" s="33"/>
      <c r="F550" s="105"/>
      <c r="H550" s="116"/>
      <c r="I550" s="26"/>
      <c r="J550" s="98"/>
      <c r="K550" s="36"/>
      <c r="L550" s="26"/>
      <c r="M550" s="26"/>
      <c r="N550" s="26"/>
      <c r="O550" s="93"/>
      <c r="P550" s="95"/>
      <c r="Q550" s="197"/>
    </row>
    <row r="551" spans="3:17" x14ac:dyDescent="0.25">
      <c r="C551" s="199"/>
      <c r="D551" s="112"/>
      <c r="E551" s="33"/>
      <c r="F551" s="105"/>
      <c r="H551" s="116"/>
      <c r="I551" s="26"/>
      <c r="J551" s="98"/>
      <c r="K551" s="36"/>
      <c r="L551" s="26"/>
      <c r="M551" s="26"/>
      <c r="N551" s="26"/>
      <c r="O551" s="93"/>
      <c r="P551" s="95"/>
      <c r="Q551" s="197"/>
    </row>
    <row r="552" spans="3:17" x14ac:dyDescent="0.25">
      <c r="C552" s="199"/>
      <c r="D552" s="112"/>
      <c r="E552" s="33"/>
      <c r="F552" s="105"/>
      <c r="H552" s="116"/>
      <c r="I552" s="26"/>
      <c r="J552" s="98"/>
      <c r="K552" s="36"/>
      <c r="L552" s="26"/>
      <c r="M552" s="26"/>
      <c r="N552" s="26"/>
      <c r="O552" s="93"/>
      <c r="P552" s="95"/>
      <c r="Q552" s="197"/>
    </row>
    <row r="553" spans="3:17" x14ac:dyDescent="0.25">
      <c r="C553" s="199"/>
      <c r="D553" s="112"/>
      <c r="E553" s="33"/>
      <c r="F553" s="105"/>
      <c r="H553" s="116"/>
      <c r="I553" s="26"/>
      <c r="J553" s="98"/>
      <c r="K553" s="36"/>
      <c r="L553" s="26"/>
      <c r="M553" s="26"/>
      <c r="N553" s="26"/>
      <c r="O553" s="93"/>
      <c r="P553" s="95"/>
      <c r="Q553" s="197"/>
    </row>
    <row r="554" spans="3:17" x14ac:dyDescent="0.25">
      <c r="C554" s="199"/>
      <c r="D554" s="112"/>
      <c r="E554" s="33"/>
      <c r="F554" s="105"/>
      <c r="H554" s="116"/>
      <c r="I554" s="26"/>
      <c r="J554" s="98"/>
      <c r="K554" s="36"/>
      <c r="L554" s="26"/>
      <c r="M554" s="26"/>
      <c r="N554" s="26"/>
      <c r="O554" s="93"/>
      <c r="P554" s="95"/>
      <c r="Q554" s="197"/>
    </row>
    <row r="555" spans="3:17" x14ac:dyDescent="0.25">
      <c r="C555" s="199"/>
      <c r="D555" s="112"/>
      <c r="E555" s="33"/>
      <c r="F555" s="105"/>
      <c r="H555" s="116"/>
      <c r="I555" s="26"/>
      <c r="J555" s="98"/>
      <c r="K555" s="36"/>
      <c r="L555" s="26"/>
      <c r="M555" s="26"/>
      <c r="N555" s="26"/>
      <c r="O555" s="93"/>
      <c r="P555" s="95"/>
      <c r="Q555" s="197"/>
    </row>
    <row r="556" spans="3:17" x14ac:dyDescent="0.25">
      <c r="C556" s="199"/>
      <c r="D556" s="112"/>
      <c r="E556" s="33"/>
      <c r="F556" s="105"/>
      <c r="H556" s="116"/>
      <c r="I556" s="26"/>
      <c r="J556" s="98"/>
      <c r="K556" s="36"/>
      <c r="L556" s="26"/>
      <c r="M556" s="26"/>
      <c r="N556" s="26"/>
      <c r="O556" s="93"/>
      <c r="P556" s="95"/>
      <c r="Q556" s="197"/>
    </row>
    <row r="557" spans="3:17" x14ac:dyDescent="0.25">
      <c r="C557" s="199"/>
      <c r="D557" s="112"/>
      <c r="E557" s="33"/>
      <c r="F557" s="105"/>
      <c r="H557" s="116"/>
      <c r="I557" s="26"/>
      <c r="J557" s="98"/>
      <c r="K557" s="36"/>
      <c r="L557" s="26"/>
      <c r="M557" s="26"/>
      <c r="N557" s="26"/>
      <c r="O557" s="93"/>
      <c r="P557" s="95"/>
      <c r="Q557" s="197"/>
    </row>
    <row r="558" spans="3:17" x14ac:dyDescent="0.25">
      <c r="C558" s="199"/>
      <c r="D558" s="112"/>
      <c r="E558" s="33"/>
      <c r="F558" s="105"/>
      <c r="H558" s="116"/>
      <c r="I558" s="26"/>
      <c r="J558" s="98"/>
      <c r="K558" s="36"/>
      <c r="L558" s="26"/>
      <c r="M558" s="26"/>
      <c r="N558" s="26"/>
      <c r="O558" s="93"/>
      <c r="P558" s="95"/>
      <c r="Q558" s="197"/>
    </row>
    <row r="559" spans="3:17" x14ac:dyDescent="0.25">
      <c r="C559" s="199"/>
      <c r="D559" s="112"/>
      <c r="E559" s="33"/>
      <c r="F559" s="105"/>
      <c r="H559" s="116"/>
      <c r="I559" s="26"/>
      <c r="J559" s="98"/>
      <c r="K559" s="36"/>
      <c r="L559" s="26"/>
      <c r="M559" s="26"/>
      <c r="N559" s="26"/>
      <c r="O559" s="93"/>
      <c r="P559" s="95"/>
      <c r="Q559" s="197"/>
    </row>
    <row r="560" spans="3:17" x14ac:dyDescent="0.25">
      <c r="C560" s="199"/>
      <c r="D560" s="112"/>
      <c r="E560" s="33"/>
      <c r="F560" s="105"/>
      <c r="H560" s="116"/>
      <c r="I560" s="26"/>
      <c r="J560" s="98"/>
      <c r="K560" s="36"/>
      <c r="L560" s="26"/>
      <c r="M560" s="26"/>
      <c r="N560" s="26"/>
      <c r="O560" s="93"/>
      <c r="P560" s="95"/>
      <c r="Q560" s="197"/>
    </row>
    <row r="561" spans="3:17" x14ac:dyDescent="0.25">
      <c r="C561" s="199"/>
      <c r="D561" s="112"/>
      <c r="E561" s="33"/>
      <c r="F561" s="105"/>
      <c r="H561" s="116"/>
      <c r="I561" s="26"/>
      <c r="J561" s="98"/>
      <c r="K561" s="36"/>
      <c r="L561" s="26"/>
      <c r="M561" s="26"/>
      <c r="N561" s="26"/>
      <c r="O561" s="93"/>
      <c r="P561" s="95"/>
      <c r="Q561" s="197"/>
    </row>
    <row r="562" spans="3:17" x14ac:dyDescent="0.25">
      <c r="C562" s="199"/>
      <c r="D562" s="112"/>
      <c r="E562" s="33"/>
      <c r="F562" s="105"/>
      <c r="H562" s="116"/>
      <c r="I562" s="26"/>
      <c r="J562" s="98"/>
      <c r="K562" s="36"/>
      <c r="L562" s="26"/>
      <c r="M562" s="26"/>
      <c r="N562" s="26"/>
      <c r="O562" s="93"/>
      <c r="P562" s="95"/>
      <c r="Q562" s="197"/>
    </row>
    <row r="563" spans="3:17" x14ac:dyDescent="0.25">
      <c r="C563" s="199"/>
      <c r="D563" s="112"/>
      <c r="E563" s="33"/>
      <c r="F563" s="105"/>
      <c r="H563" s="116"/>
      <c r="I563" s="26"/>
      <c r="J563" s="98"/>
      <c r="K563" s="36"/>
      <c r="L563" s="26"/>
      <c r="M563" s="26"/>
      <c r="N563" s="26"/>
      <c r="O563" s="93"/>
      <c r="P563" s="95"/>
      <c r="Q563" s="197"/>
    </row>
    <row r="564" spans="3:17" x14ac:dyDescent="0.25">
      <c r="C564" s="199"/>
      <c r="D564" s="112"/>
      <c r="E564" s="33"/>
      <c r="F564" s="105"/>
      <c r="H564" s="116"/>
      <c r="I564" s="26"/>
      <c r="J564" s="98"/>
      <c r="K564" s="36"/>
      <c r="L564" s="26"/>
      <c r="M564" s="26"/>
      <c r="N564" s="26"/>
      <c r="O564" s="93"/>
      <c r="P564" s="95"/>
      <c r="Q564" s="197"/>
    </row>
    <row r="565" spans="3:17" x14ac:dyDescent="0.25">
      <c r="C565" s="199"/>
      <c r="D565" s="112"/>
      <c r="E565" s="33"/>
      <c r="F565" s="105"/>
      <c r="H565" s="116"/>
      <c r="I565" s="26"/>
      <c r="J565" s="98"/>
      <c r="K565" s="36"/>
      <c r="L565" s="26"/>
      <c r="M565" s="26"/>
      <c r="N565" s="26"/>
      <c r="O565" s="93"/>
      <c r="P565" s="95"/>
      <c r="Q565" s="197"/>
    </row>
    <row r="566" spans="3:17" x14ac:dyDescent="0.25">
      <c r="C566" s="199"/>
      <c r="D566" s="112"/>
      <c r="E566" s="33"/>
      <c r="F566" s="105"/>
      <c r="H566" s="116"/>
      <c r="I566" s="26"/>
      <c r="J566" s="98"/>
      <c r="K566" s="36"/>
      <c r="L566" s="26"/>
      <c r="M566" s="26"/>
      <c r="N566" s="26"/>
      <c r="O566" s="93"/>
      <c r="P566" s="95"/>
      <c r="Q566" s="197"/>
    </row>
    <row r="567" spans="3:17" x14ac:dyDescent="0.25">
      <c r="C567" s="199"/>
      <c r="D567" s="112"/>
      <c r="E567" s="33"/>
      <c r="F567" s="105"/>
      <c r="H567" s="116"/>
      <c r="I567" s="26"/>
      <c r="J567" s="98"/>
      <c r="K567" s="36"/>
      <c r="L567" s="26"/>
      <c r="M567" s="26"/>
      <c r="N567" s="26"/>
      <c r="O567" s="93"/>
      <c r="P567" s="95"/>
      <c r="Q567" s="197"/>
    </row>
    <row r="568" spans="3:17" x14ac:dyDescent="0.25">
      <c r="C568" s="199"/>
      <c r="D568" s="112"/>
      <c r="E568" s="33"/>
      <c r="F568" s="105"/>
      <c r="H568" s="116"/>
      <c r="I568" s="26"/>
      <c r="J568" s="98"/>
      <c r="K568" s="36"/>
      <c r="L568" s="26"/>
      <c r="M568" s="26"/>
      <c r="N568" s="26"/>
      <c r="O568" s="93"/>
      <c r="P568" s="95"/>
      <c r="Q568" s="197"/>
    </row>
    <row r="569" spans="3:17" x14ac:dyDescent="0.25">
      <c r="C569" s="199"/>
      <c r="D569" s="112"/>
      <c r="E569" s="33"/>
      <c r="F569" s="105"/>
      <c r="H569" s="116"/>
      <c r="I569" s="26"/>
      <c r="J569" s="98"/>
      <c r="K569" s="36"/>
      <c r="L569" s="26"/>
      <c r="M569" s="26"/>
      <c r="N569" s="26"/>
      <c r="O569" s="93"/>
      <c r="P569" s="95"/>
      <c r="Q569" s="197"/>
    </row>
    <row r="570" spans="3:17" x14ac:dyDescent="0.25">
      <c r="C570" s="199"/>
      <c r="D570" s="112"/>
      <c r="E570" s="33"/>
      <c r="F570" s="105"/>
      <c r="H570" s="116"/>
      <c r="I570" s="26"/>
      <c r="J570" s="98"/>
      <c r="K570" s="36"/>
      <c r="L570" s="26"/>
      <c r="M570" s="26"/>
      <c r="N570" s="26"/>
      <c r="O570" s="93"/>
      <c r="P570" s="95"/>
      <c r="Q570" s="197"/>
    </row>
    <row r="571" spans="3:17" x14ac:dyDescent="0.25">
      <c r="C571" s="199"/>
      <c r="D571" s="112"/>
      <c r="E571" s="33"/>
      <c r="F571" s="105"/>
      <c r="H571" s="116"/>
      <c r="I571" s="26"/>
      <c r="J571" s="98"/>
      <c r="K571" s="36"/>
      <c r="L571" s="26"/>
      <c r="M571" s="26"/>
      <c r="N571" s="26"/>
      <c r="O571" s="93"/>
      <c r="P571" s="95"/>
      <c r="Q571" s="197"/>
    </row>
    <row r="572" spans="3:17" x14ac:dyDescent="0.25">
      <c r="C572" s="199"/>
      <c r="D572" s="112"/>
      <c r="E572" s="33"/>
      <c r="F572" s="105"/>
      <c r="H572" s="116"/>
      <c r="I572" s="26"/>
      <c r="J572" s="98"/>
      <c r="K572" s="36"/>
      <c r="L572" s="26"/>
      <c r="M572" s="26"/>
      <c r="N572" s="26"/>
      <c r="O572" s="93"/>
      <c r="P572" s="95"/>
      <c r="Q572" s="197"/>
    </row>
    <row r="573" spans="3:17" x14ac:dyDescent="0.25">
      <c r="C573" s="199"/>
      <c r="D573" s="112"/>
      <c r="E573" s="33"/>
      <c r="F573" s="105"/>
      <c r="H573" s="116"/>
      <c r="I573" s="26"/>
      <c r="J573" s="98"/>
      <c r="K573" s="36"/>
      <c r="L573" s="26"/>
      <c r="M573" s="26"/>
      <c r="N573" s="26"/>
      <c r="O573" s="93"/>
      <c r="P573" s="95"/>
      <c r="Q573" s="197"/>
    </row>
    <row r="574" spans="3:17" x14ac:dyDescent="0.25">
      <c r="C574" s="199"/>
      <c r="D574" s="112"/>
      <c r="E574" s="33"/>
      <c r="F574" s="105"/>
      <c r="H574" s="116"/>
      <c r="I574" s="26"/>
      <c r="J574" s="98"/>
      <c r="K574" s="36"/>
      <c r="L574" s="26"/>
      <c r="M574" s="26"/>
      <c r="N574" s="26"/>
      <c r="O574" s="93"/>
      <c r="P574" s="95"/>
      <c r="Q574" s="197"/>
    </row>
    <row r="575" spans="3:17" x14ac:dyDescent="0.25">
      <c r="C575" s="199"/>
      <c r="D575" s="112"/>
      <c r="E575" s="33"/>
      <c r="F575" s="105"/>
      <c r="H575" s="116"/>
      <c r="I575" s="26"/>
      <c r="J575" s="98"/>
      <c r="K575" s="36"/>
      <c r="L575" s="26"/>
      <c r="M575" s="26"/>
      <c r="N575" s="26"/>
      <c r="O575" s="93"/>
      <c r="P575" s="95"/>
      <c r="Q575" s="197"/>
    </row>
    <row r="576" spans="3:17" x14ac:dyDescent="0.25">
      <c r="C576" s="199"/>
      <c r="D576" s="112"/>
      <c r="E576" s="33"/>
      <c r="F576" s="105"/>
      <c r="H576" s="116"/>
      <c r="I576" s="26"/>
      <c r="J576" s="98"/>
      <c r="K576" s="36"/>
      <c r="L576" s="26"/>
      <c r="M576" s="26"/>
      <c r="N576" s="26"/>
      <c r="O576" s="93"/>
      <c r="P576" s="95"/>
      <c r="Q576" s="197"/>
    </row>
    <row r="577" spans="3:17" x14ac:dyDescent="0.25">
      <c r="C577" s="199"/>
      <c r="D577" s="112"/>
      <c r="E577" s="33"/>
      <c r="F577" s="105"/>
      <c r="H577" s="116"/>
      <c r="I577" s="26"/>
      <c r="J577" s="98"/>
      <c r="K577" s="36"/>
      <c r="L577" s="26"/>
      <c r="M577" s="26"/>
      <c r="N577" s="26"/>
      <c r="O577" s="93"/>
      <c r="P577" s="95"/>
      <c r="Q577" s="197"/>
    </row>
    <row r="578" spans="3:17" x14ac:dyDescent="0.25">
      <c r="C578" s="199"/>
      <c r="D578" s="112"/>
      <c r="E578" s="33"/>
      <c r="F578" s="105"/>
      <c r="H578" s="116"/>
      <c r="I578" s="26"/>
      <c r="J578" s="98"/>
      <c r="K578" s="36"/>
      <c r="L578" s="26"/>
      <c r="M578" s="26"/>
      <c r="N578" s="26"/>
      <c r="O578" s="93"/>
      <c r="P578" s="95"/>
      <c r="Q578" s="197"/>
    </row>
    <row r="579" spans="3:17" x14ac:dyDescent="0.25">
      <c r="C579" s="199"/>
      <c r="D579" s="112"/>
      <c r="E579" s="33"/>
      <c r="F579" s="105"/>
      <c r="H579" s="116"/>
      <c r="I579" s="26"/>
      <c r="J579" s="98"/>
      <c r="K579" s="36"/>
      <c r="L579" s="26"/>
      <c r="M579" s="26"/>
      <c r="N579" s="26"/>
      <c r="O579" s="93"/>
      <c r="P579" s="95"/>
      <c r="Q579" s="197"/>
    </row>
    <row r="580" spans="3:17" x14ac:dyDescent="0.25">
      <c r="C580" s="199"/>
      <c r="D580" s="112"/>
      <c r="E580" s="33"/>
      <c r="F580" s="105"/>
      <c r="H580" s="116"/>
      <c r="I580" s="26"/>
      <c r="J580" s="98"/>
      <c r="K580" s="36"/>
      <c r="L580" s="26"/>
      <c r="M580" s="26"/>
      <c r="N580" s="26"/>
      <c r="O580" s="93"/>
      <c r="P580" s="95"/>
      <c r="Q580" s="197"/>
    </row>
    <row r="581" spans="3:17" x14ac:dyDescent="0.25">
      <c r="C581" s="199"/>
      <c r="D581" s="112"/>
      <c r="E581" s="33"/>
      <c r="F581" s="105"/>
      <c r="H581" s="116"/>
      <c r="I581" s="26"/>
      <c r="J581" s="98"/>
      <c r="K581" s="36"/>
      <c r="L581" s="26"/>
      <c r="M581" s="26"/>
      <c r="N581" s="26"/>
      <c r="O581" s="93"/>
      <c r="P581" s="95"/>
      <c r="Q581" s="197"/>
    </row>
    <row r="582" spans="3:17" x14ac:dyDescent="0.25">
      <c r="C582" s="199"/>
      <c r="D582" s="112"/>
      <c r="E582" s="33"/>
      <c r="F582" s="105"/>
      <c r="H582" s="116"/>
      <c r="I582" s="26"/>
      <c r="J582" s="98"/>
      <c r="K582" s="36"/>
      <c r="L582" s="26"/>
      <c r="M582" s="26"/>
      <c r="N582" s="26"/>
      <c r="O582" s="93"/>
      <c r="P582" s="95"/>
      <c r="Q582" s="197"/>
    </row>
    <row r="583" spans="3:17" x14ac:dyDescent="0.25">
      <c r="C583" s="199"/>
      <c r="D583" s="112"/>
      <c r="E583" s="33"/>
      <c r="F583" s="105"/>
      <c r="H583" s="116"/>
      <c r="I583" s="26"/>
      <c r="J583" s="98"/>
      <c r="K583" s="36"/>
      <c r="L583" s="26"/>
      <c r="M583" s="26"/>
      <c r="N583" s="26"/>
      <c r="O583" s="93"/>
      <c r="P583" s="95"/>
      <c r="Q583" s="197"/>
    </row>
    <row r="584" spans="3:17" x14ac:dyDescent="0.25">
      <c r="C584" s="199"/>
      <c r="D584" s="112"/>
      <c r="E584" s="33"/>
      <c r="F584" s="105"/>
      <c r="H584" s="116"/>
      <c r="I584" s="26"/>
      <c r="J584" s="98"/>
      <c r="K584" s="36"/>
      <c r="L584" s="26"/>
      <c r="M584" s="26"/>
      <c r="N584" s="26"/>
      <c r="O584" s="93"/>
      <c r="P584" s="95"/>
      <c r="Q584" s="197"/>
    </row>
    <row r="585" spans="3:17" x14ac:dyDescent="0.25">
      <c r="C585" s="199"/>
      <c r="D585" s="112"/>
      <c r="E585" s="33"/>
      <c r="F585" s="105"/>
      <c r="H585" s="116"/>
      <c r="I585" s="26"/>
      <c r="J585" s="98"/>
      <c r="K585" s="36"/>
      <c r="L585" s="26"/>
      <c r="M585" s="26"/>
      <c r="N585" s="26"/>
      <c r="O585" s="93"/>
      <c r="P585" s="95"/>
      <c r="Q585" s="197"/>
    </row>
    <row r="586" spans="3:17" x14ac:dyDescent="0.25">
      <c r="C586" s="199"/>
      <c r="D586" s="112"/>
      <c r="E586" s="33"/>
      <c r="F586" s="105"/>
      <c r="H586" s="116"/>
      <c r="I586" s="26"/>
      <c r="J586" s="98"/>
      <c r="K586" s="36"/>
      <c r="L586" s="26"/>
      <c r="M586" s="26"/>
      <c r="N586" s="26"/>
      <c r="O586" s="93"/>
      <c r="P586" s="95"/>
      <c r="Q586" s="197"/>
    </row>
    <row r="587" spans="3:17" x14ac:dyDescent="0.25">
      <c r="C587" s="199"/>
      <c r="D587" s="112"/>
      <c r="E587" s="33"/>
      <c r="F587" s="105"/>
      <c r="H587" s="116"/>
      <c r="I587" s="26"/>
      <c r="J587" s="98"/>
      <c r="K587" s="36"/>
      <c r="L587" s="26"/>
      <c r="M587" s="26"/>
      <c r="N587" s="26"/>
      <c r="O587" s="93"/>
      <c r="P587" s="95"/>
      <c r="Q587" s="197"/>
    </row>
    <row r="588" spans="3:17" x14ac:dyDescent="0.25">
      <c r="C588" s="199"/>
      <c r="D588" s="112"/>
      <c r="E588" s="33"/>
      <c r="F588" s="105"/>
      <c r="H588" s="116"/>
      <c r="I588" s="26"/>
      <c r="J588" s="98"/>
      <c r="K588" s="36"/>
      <c r="L588" s="26"/>
      <c r="M588" s="26"/>
      <c r="N588" s="26"/>
      <c r="O588" s="93"/>
      <c r="P588" s="95"/>
      <c r="Q588" s="197"/>
    </row>
    <row r="589" spans="3:17" x14ac:dyDescent="0.25">
      <c r="C589" s="199"/>
      <c r="D589" s="112"/>
      <c r="E589" s="33"/>
      <c r="F589" s="105"/>
      <c r="H589" s="116"/>
      <c r="I589" s="26"/>
      <c r="J589" s="98"/>
      <c r="K589" s="36"/>
      <c r="L589" s="26"/>
      <c r="M589" s="26"/>
      <c r="N589" s="26"/>
      <c r="O589" s="93"/>
      <c r="P589" s="95"/>
      <c r="Q589" s="197"/>
    </row>
    <row r="590" spans="3:17" x14ac:dyDescent="0.25">
      <c r="C590" s="199"/>
      <c r="D590" s="112"/>
      <c r="E590" s="33"/>
      <c r="F590" s="105"/>
      <c r="H590" s="116"/>
      <c r="I590" s="26"/>
      <c r="J590" s="98"/>
      <c r="K590" s="36"/>
      <c r="L590" s="26"/>
      <c r="M590" s="26"/>
      <c r="N590" s="26"/>
      <c r="O590" s="93"/>
      <c r="P590" s="95"/>
      <c r="Q590" s="197"/>
    </row>
    <row r="591" spans="3:17" x14ac:dyDescent="0.25">
      <c r="C591" s="199"/>
      <c r="D591" s="112"/>
      <c r="E591" s="33"/>
      <c r="F591" s="105"/>
      <c r="H591" s="116"/>
      <c r="I591" s="26"/>
      <c r="J591" s="98"/>
      <c r="K591" s="36"/>
      <c r="L591" s="26"/>
      <c r="M591" s="26"/>
      <c r="N591" s="26"/>
      <c r="O591" s="93"/>
      <c r="P591" s="95"/>
      <c r="Q591" s="197"/>
    </row>
    <row r="592" spans="3:17" x14ac:dyDescent="0.25">
      <c r="C592" s="199"/>
      <c r="D592" s="112"/>
      <c r="E592" s="33"/>
      <c r="F592" s="105"/>
      <c r="H592" s="116"/>
      <c r="I592" s="26"/>
      <c r="J592" s="98"/>
      <c r="K592" s="36"/>
      <c r="L592" s="26"/>
      <c r="M592" s="26"/>
      <c r="N592" s="26"/>
      <c r="O592" s="93"/>
      <c r="P592" s="95"/>
      <c r="Q592" s="197"/>
    </row>
    <row r="593" spans="3:17" x14ac:dyDescent="0.25">
      <c r="C593" s="199"/>
      <c r="D593" s="112"/>
      <c r="E593" s="33"/>
      <c r="F593" s="105"/>
      <c r="H593" s="116"/>
      <c r="I593" s="26"/>
      <c r="J593" s="98"/>
      <c r="K593" s="36"/>
      <c r="L593" s="26"/>
      <c r="M593" s="26"/>
      <c r="N593" s="26"/>
      <c r="O593" s="93"/>
      <c r="P593" s="95"/>
      <c r="Q593" s="197"/>
    </row>
    <row r="594" spans="3:17" x14ac:dyDescent="0.25">
      <c r="C594" s="199"/>
      <c r="D594" s="112"/>
      <c r="E594" s="33"/>
      <c r="F594" s="105"/>
      <c r="H594" s="116"/>
      <c r="I594" s="26"/>
      <c r="J594" s="98"/>
      <c r="K594" s="36"/>
      <c r="L594" s="26"/>
      <c r="M594" s="26"/>
      <c r="N594" s="26"/>
      <c r="O594" s="93"/>
      <c r="P594" s="95"/>
      <c r="Q594" s="197"/>
    </row>
    <row r="595" spans="3:17" x14ac:dyDescent="0.25">
      <c r="C595" s="199"/>
      <c r="D595" s="112"/>
      <c r="E595" s="33"/>
      <c r="F595" s="105"/>
      <c r="H595" s="116"/>
      <c r="I595" s="26"/>
      <c r="J595" s="98"/>
      <c r="K595" s="36"/>
      <c r="L595" s="26"/>
      <c r="M595" s="26"/>
      <c r="N595" s="26"/>
      <c r="O595" s="93"/>
      <c r="P595" s="95"/>
      <c r="Q595" s="197"/>
    </row>
    <row r="596" spans="3:17" x14ac:dyDescent="0.25">
      <c r="C596" s="199"/>
      <c r="D596" s="112"/>
      <c r="E596" s="33"/>
      <c r="F596" s="105"/>
      <c r="H596" s="116"/>
      <c r="I596" s="26"/>
      <c r="J596" s="98"/>
      <c r="K596" s="36"/>
      <c r="L596" s="26"/>
      <c r="M596" s="26"/>
      <c r="N596" s="26"/>
      <c r="O596" s="93"/>
      <c r="P596" s="95"/>
      <c r="Q596" s="197"/>
    </row>
    <row r="597" spans="3:17" x14ac:dyDescent="0.25">
      <c r="C597" s="199"/>
      <c r="D597" s="112"/>
      <c r="E597" s="33"/>
      <c r="F597" s="105"/>
      <c r="H597" s="116"/>
      <c r="I597" s="26"/>
      <c r="J597" s="98"/>
      <c r="K597" s="36"/>
      <c r="L597" s="26"/>
      <c r="M597" s="26"/>
      <c r="N597" s="26"/>
      <c r="O597" s="93"/>
      <c r="P597" s="95"/>
      <c r="Q597" s="197"/>
    </row>
    <row r="598" spans="3:17" x14ac:dyDescent="0.25">
      <c r="C598" s="199"/>
      <c r="D598" s="112"/>
      <c r="E598" s="33"/>
      <c r="F598" s="105"/>
      <c r="H598" s="116"/>
      <c r="I598" s="26"/>
      <c r="J598" s="98"/>
      <c r="K598" s="36"/>
      <c r="L598" s="26"/>
      <c r="M598" s="26"/>
      <c r="N598" s="26"/>
      <c r="O598" s="93"/>
      <c r="P598" s="95"/>
      <c r="Q598" s="197"/>
    </row>
    <row r="599" spans="3:17" x14ac:dyDescent="0.25">
      <c r="C599" s="199"/>
      <c r="D599" s="112"/>
      <c r="E599" s="33"/>
      <c r="F599" s="105"/>
      <c r="H599" s="116"/>
      <c r="I599" s="26"/>
      <c r="J599" s="98"/>
      <c r="K599" s="36"/>
      <c r="L599" s="26"/>
      <c r="M599" s="26"/>
      <c r="N599" s="26"/>
      <c r="O599" s="93"/>
      <c r="P599" s="95"/>
      <c r="Q599" s="197"/>
    </row>
    <row r="600" spans="3:17" x14ac:dyDescent="0.25">
      <c r="C600" s="199"/>
      <c r="D600" s="112"/>
      <c r="E600" s="33"/>
      <c r="F600" s="105"/>
      <c r="H600" s="116"/>
      <c r="I600" s="26"/>
      <c r="J600" s="98"/>
      <c r="K600" s="36"/>
      <c r="L600" s="26"/>
      <c r="M600" s="26"/>
      <c r="N600" s="26"/>
      <c r="O600" s="93"/>
      <c r="P600" s="95"/>
      <c r="Q600" s="197"/>
    </row>
    <row r="601" spans="3:17" x14ac:dyDescent="0.25">
      <c r="C601" s="199"/>
      <c r="D601" s="112"/>
      <c r="E601" s="33"/>
      <c r="F601" s="105"/>
      <c r="H601" s="116"/>
      <c r="I601" s="26"/>
      <c r="J601" s="98"/>
      <c r="K601" s="36"/>
      <c r="L601" s="26"/>
      <c r="M601" s="26"/>
      <c r="N601" s="26"/>
      <c r="O601" s="93"/>
      <c r="P601" s="95"/>
      <c r="Q601" s="197"/>
    </row>
    <row r="602" spans="3:17" x14ac:dyDescent="0.25">
      <c r="C602" s="199"/>
      <c r="D602" s="112"/>
      <c r="E602" s="33"/>
      <c r="F602" s="105"/>
      <c r="H602" s="116"/>
      <c r="I602" s="26"/>
      <c r="J602" s="98"/>
      <c r="K602" s="36"/>
      <c r="L602" s="26"/>
      <c r="M602" s="26"/>
      <c r="N602" s="26"/>
      <c r="O602" s="93"/>
      <c r="P602" s="95"/>
      <c r="Q602" s="197"/>
    </row>
    <row r="603" spans="3:17" x14ac:dyDescent="0.25">
      <c r="C603" s="199"/>
      <c r="D603" s="112"/>
      <c r="E603" s="33"/>
      <c r="F603" s="105"/>
      <c r="H603" s="116"/>
      <c r="I603" s="26"/>
      <c r="J603" s="98"/>
      <c r="K603" s="36"/>
      <c r="L603" s="26"/>
      <c r="M603" s="26"/>
      <c r="N603" s="26"/>
      <c r="O603" s="93"/>
      <c r="P603" s="95"/>
      <c r="Q603" s="197"/>
    </row>
    <row r="604" spans="3:17" x14ac:dyDescent="0.25">
      <c r="C604" s="199"/>
      <c r="D604" s="112"/>
      <c r="E604" s="33"/>
      <c r="F604" s="105"/>
      <c r="H604" s="116"/>
      <c r="I604" s="26"/>
      <c r="J604" s="98"/>
      <c r="K604" s="36"/>
      <c r="L604" s="26"/>
      <c r="M604" s="26"/>
      <c r="N604" s="26"/>
      <c r="O604" s="93"/>
      <c r="P604" s="95"/>
      <c r="Q604" s="197"/>
    </row>
    <row r="605" spans="3:17" x14ac:dyDescent="0.25">
      <c r="C605" s="199"/>
      <c r="D605" s="112"/>
      <c r="E605" s="33"/>
      <c r="F605" s="105"/>
      <c r="H605" s="116"/>
      <c r="I605" s="26"/>
      <c r="J605" s="98"/>
      <c r="K605" s="36"/>
      <c r="L605" s="26"/>
      <c r="M605" s="26"/>
      <c r="N605" s="26"/>
      <c r="O605" s="93"/>
      <c r="P605" s="95"/>
      <c r="Q605" s="197"/>
    </row>
    <row r="606" spans="3:17" x14ac:dyDescent="0.25">
      <c r="C606" s="199"/>
      <c r="D606" s="112"/>
      <c r="E606" s="33"/>
      <c r="F606" s="105"/>
      <c r="H606" s="116"/>
      <c r="I606" s="26"/>
      <c r="J606" s="98"/>
      <c r="K606" s="36"/>
      <c r="L606" s="26"/>
      <c r="M606" s="26"/>
      <c r="N606" s="26"/>
      <c r="O606" s="93"/>
      <c r="P606" s="95"/>
      <c r="Q606" s="197"/>
    </row>
    <row r="607" spans="3:17" x14ac:dyDescent="0.25">
      <c r="C607" s="199"/>
      <c r="D607" s="112"/>
      <c r="E607" s="33"/>
      <c r="F607" s="105"/>
      <c r="H607" s="116"/>
      <c r="I607" s="26"/>
      <c r="J607" s="98"/>
      <c r="K607" s="36"/>
      <c r="L607" s="26"/>
      <c r="M607" s="26"/>
      <c r="N607" s="26"/>
      <c r="O607" s="93"/>
      <c r="P607" s="95"/>
      <c r="Q607" s="197"/>
    </row>
    <row r="608" spans="3:17" x14ac:dyDescent="0.25">
      <c r="C608" s="199"/>
      <c r="D608" s="112"/>
      <c r="E608" s="33"/>
      <c r="F608" s="105"/>
      <c r="H608" s="116"/>
      <c r="I608" s="26"/>
      <c r="J608" s="98"/>
      <c r="K608" s="36"/>
      <c r="L608" s="26"/>
      <c r="M608" s="26"/>
      <c r="N608" s="26"/>
      <c r="O608" s="93"/>
      <c r="P608" s="95"/>
      <c r="Q608" s="197"/>
    </row>
    <row r="609" spans="3:17" x14ac:dyDescent="0.25">
      <c r="C609" s="199"/>
      <c r="D609" s="112"/>
      <c r="E609" s="33"/>
      <c r="F609" s="105"/>
      <c r="H609" s="116"/>
      <c r="I609" s="26"/>
      <c r="J609" s="98"/>
      <c r="K609" s="36"/>
      <c r="L609" s="26"/>
      <c r="M609" s="26"/>
      <c r="N609" s="26"/>
      <c r="O609" s="93"/>
      <c r="P609" s="95"/>
      <c r="Q609" s="197"/>
    </row>
    <row r="610" spans="3:17" x14ac:dyDescent="0.25">
      <c r="C610" s="199"/>
      <c r="D610" s="112"/>
      <c r="E610" s="33"/>
      <c r="F610" s="105"/>
      <c r="H610" s="116"/>
      <c r="I610" s="26"/>
      <c r="J610" s="98"/>
      <c r="K610" s="36"/>
      <c r="L610" s="26"/>
      <c r="M610" s="26"/>
      <c r="N610" s="26"/>
      <c r="O610" s="93"/>
      <c r="P610" s="95"/>
      <c r="Q610" s="197"/>
    </row>
    <row r="611" spans="3:17" x14ac:dyDescent="0.25">
      <c r="C611" s="199"/>
      <c r="D611" s="112"/>
      <c r="E611" s="33"/>
      <c r="F611" s="105"/>
      <c r="H611" s="116"/>
      <c r="I611" s="26"/>
      <c r="J611" s="98"/>
      <c r="K611" s="36"/>
      <c r="L611" s="26"/>
      <c r="M611" s="26"/>
      <c r="N611" s="26"/>
      <c r="O611" s="93"/>
      <c r="P611" s="95"/>
      <c r="Q611" s="197"/>
    </row>
    <row r="612" spans="3:17" x14ac:dyDescent="0.25">
      <c r="C612" s="199"/>
      <c r="D612" s="112"/>
      <c r="E612" s="33"/>
      <c r="F612" s="105"/>
      <c r="H612" s="116"/>
      <c r="I612" s="26"/>
      <c r="J612" s="98"/>
      <c r="K612" s="36"/>
      <c r="L612" s="26"/>
      <c r="M612" s="26"/>
      <c r="N612" s="26"/>
      <c r="O612" s="93"/>
      <c r="P612" s="95"/>
      <c r="Q612" s="197"/>
    </row>
    <row r="613" spans="3:17" x14ac:dyDescent="0.25">
      <c r="C613" s="199"/>
      <c r="D613" s="112"/>
      <c r="E613" s="33"/>
      <c r="F613" s="105"/>
      <c r="H613" s="116"/>
      <c r="I613" s="26"/>
      <c r="J613" s="98"/>
      <c r="K613" s="36"/>
      <c r="L613" s="26"/>
      <c r="M613" s="26"/>
      <c r="N613" s="26"/>
      <c r="O613" s="93"/>
      <c r="P613" s="95"/>
      <c r="Q613" s="197"/>
    </row>
    <row r="614" spans="3:17" x14ac:dyDescent="0.25">
      <c r="C614" s="199"/>
      <c r="D614" s="112"/>
      <c r="E614" s="33"/>
      <c r="F614" s="105"/>
      <c r="H614" s="116"/>
      <c r="I614" s="26"/>
      <c r="J614" s="98"/>
      <c r="K614" s="36"/>
      <c r="L614" s="26"/>
      <c r="M614" s="26"/>
      <c r="N614" s="26"/>
      <c r="O614" s="93"/>
      <c r="P614" s="95"/>
      <c r="Q614" s="197"/>
    </row>
    <row r="615" spans="3:17" x14ac:dyDescent="0.25">
      <c r="C615" s="199"/>
      <c r="D615" s="112"/>
      <c r="E615" s="33"/>
      <c r="F615" s="105"/>
      <c r="H615" s="116"/>
      <c r="I615" s="26"/>
      <c r="J615" s="98"/>
      <c r="K615" s="36"/>
      <c r="L615" s="26"/>
      <c r="M615" s="26"/>
      <c r="N615" s="26"/>
      <c r="O615" s="93"/>
      <c r="P615" s="95"/>
      <c r="Q615" s="197"/>
    </row>
    <row r="616" spans="3:17" x14ac:dyDescent="0.25">
      <c r="C616" s="199"/>
      <c r="D616" s="112"/>
      <c r="E616" s="33"/>
      <c r="F616" s="105"/>
      <c r="H616" s="116"/>
      <c r="I616" s="26"/>
      <c r="J616" s="98"/>
      <c r="K616" s="36"/>
      <c r="L616" s="26"/>
      <c r="M616" s="26"/>
      <c r="N616" s="26"/>
      <c r="O616" s="93"/>
      <c r="P616" s="95"/>
      <c r="Q616" s="197"/>
    </row>
    <row r="617" spans="3:17" x14ac:dyDescent="0.25">
      <c r="C617" s="199"/>
      <c r="D617" s="112"/>
      <c r="E617" s="33"/>
      <c r="F617" s="105"/>
      <c r="H617" s="116"/>
      <c r="I617" s="26"/>
      <c r="J617" s="98"/>
      <c r="K617" s="36"/>
      <c r="L617" s="26"/>
      <c r="M617" s="26"/>
      <c r="N617" s="26"/>
      <c r="O617" s="93"/>
      <c r="P617" s="95"/>
      <c r="Q617" s="197"/>
    </row>
    <row r="618" spans="3:17" x14ac:dyDescent="0.25">
      <c r="C618" s="199"/>
      <c r="D618" s="112"/>
      <c r="E618" s="33"/>
      <c r="F618" s="105"/>
      <c r="H618" s="116"/>
      <c r="I618" s="26"/>
      <c r="J618" s="98"/>
      <c r="K618" s="36"/>
      <c r="L618" s="26"/>
      <c r="M618" s="26"/>
      <c r="N618" s="26"/>
      <c r="O618" s="93"/>
      <c r="P618" s="95"/>
      <c r="Q618" s="197"/>
    </row>
    <row r="619" spans="3:17" x14ac:dyDescent="0.25">
      <c r="C619" s="199"/>
      <c r="D619" s="112"/>
      <c r="E619" s="33"/>
      <c r="F619" s="105"/>
      <c r="H619" s="116"/>
      <c r="I619" s="26"/>
      <c r="J619" s="98"/>
      <c r="K619" s="36"/>
      <c r="L619" s="26"/>
      <c r="M619" s="26"/>
      <c r="N619" s="26"/>
      <c r="O619" s="93"/>
      <c r="P619" s="95"/>
      <c r="Q619" s="197"/>
    </row>
    <row r="620" spans="3:17" x14ac:dyDescent="0.25">
      <c r="C620" s="199"/>
      <c r="D620" s="112"/>
      <c r="E620" s="33"/>
      <c r="F620" s="105"/>
      <c r="H620" s="116"/>
      <c r="I620" s="26"/>
      <c r="J620" s="98"/>
      <c r="K620" s="36"/>
      <c r="L620" s="26"/>
      <c r="M620" s="26"/>
      <c r="N620" s="26"/>
      <c r="O620" s="93"/>
      <c r="P620" s="95"/>
      <c r="Q620" s="197"/>
    </row>
    <row r="621" spans="3:17" x14ac:dyDescent="0.25">
      <c r="C621" s="199"/>
      <c r="D621" s="112"/>
      <c r="E621" s="33"/>
      <c r="F621" s="105"/>
      <c r="H621" s="116"/>
      <c r="I621" s="26"/>
      <c r="J621" s="98"/>
      <c r="K621" s="36"/>
      <c r="L621" s="26"/>
      <c r="M621" s="26"/>
      <c r="N621" s="26"/>
      <c r="O621" s="93"/>
      <c r="P621" s="95"/>
      <c r="Q621" s="197"/>
    </row>
    <row r="622" spans="3:17" x14ac:dyDescent="0.25">
      <c r="C622" s="199"/>
      <c r="D622" s="112"/>
      <c r="E622" s="33"/>
      <c r="F622" s="105"/>
      <c r="H622" s="116"/>
      <c r="I622" s="26"/>
      <c r="J622" s="98"/>
      <c r="K622" s="36"/>
      <c r="L622" s="26"/>
      <c r="M622" s="26"/>
      <c r="N622" s="26"/>
      <c r="O622" s="93"/>
      <c r="P622" s="95"/>
      <c r="Q622" s="197"/>
    </row>
    <row r="623" spans="3:17" x14ac:dyDescent="0.25">
      <c r="C623" s="199"/>
      <c r="D623" s="112"/>
      <c r="E623" s="33"/>
      <c r="F623" s="105"/>
      <c r="H623" s="116"/>
      <c r="I623" s="26"/>
      <c r="J623" s="98"/>
      <c r="K623" s="36"/>
      <c r="L623" s="26"/>
      <c r="M623" s="26"/>
      <c r="N623" s="26"/>
      <c r="O623" s="93"/>
      <c r="P623" s="95"/>
      <c r="Q623" s="197"/>
    </row>
    <row r="624" spans="3:17" x14ac:dyDescent="0.25">
      <c r="C624" s="199"/>
      <c r="D624" s="112"/>
      <c r="E624" s="33"/>
      <c r="F624" s="105"/>
      <c r="H624" s="116"/>
      <c r="I624" s="26"/>
      <c r="J624" s="98"/>
      <c r="K624" s="36"/>
      <c r="L624" s="26"/>
      <c r="M624" s="26"/>
      <c r="N624" s="26"/>
      <c r="O624" s="93"/>
      <c r="P624" s="95"/>
      <c r="Q624" s="197"/>
    </row>
    <row r="625" spans="3:17" x14ac:dyDescent="0.25">
      <c r="C625" s="199"/>
      <c r="D625" s="112"/>
      <c r="E625" s="33"/>
      <c r="F625" s="105"/>
      <c r="H625" s="116"/>
      <c r="I625" s="26"/>
      <c r="J625" s="98"/>
      <c r="K625" s="36"/>
      <c r="L625" s="26"/>
      <c r="M625" s="26"/>
      <c r="N625" s="26"/>
      <c r="O625" s="93"/>
      <c r="P625" s="95"/>
      <c r="Q625" s="197"/>
    </row>
    <row r="626" spans="3:17" x14ac:dyDescent="0.25">
      <c r="C626" s="199"/>
      <c r="D626" s="112"/>
      <c r="E626" s="33"/>
      <c r="F626" s="105"/>
      <c r="H626" s="116"/>
      <c r="I626" s="26"/>
      <c r="J626" s="98"/>
      <c r="K626" s="36"/>
      <c r="L626" s="26"/>
      <c r="M626" s="26"/>
      <c r="N626" s="26"/>
      <c r="O626" s="93"/>
      <c r="P626" s="95"/>
      <c r="Q626" s="197"/>
    </row>
    <row r="627" spans="3:17" x14ac:dyDescent="0.25">
      <c r="C627" s="199"/>
      <c r="D627" s="112"/>
      <c r="E627" s="33"/>
      <c r="F627" s="105"/>
      <c r="H627" s="116"/>
      <c r="I627" s="26"/>
      <c r="J627" s="98"/>
      <c r="K627" s="36"/>
      <c r="L627" s="26"/>
      <c r="M627" s="26"/>
      <c r="N627" s="26"/>
      <c r="O627" s="93"/>
      <c r="P627" s="95"/>
      <c r="Q627" s="197"/>
    </row>
    <row r="628" spans="3:17" x14ac:dyDescent="0.25">
      <c r="C628" s="199"/>
      <c r="D628" s="112"/>
      <c r="E628" s="33"/>
      <c r="F628" s="105"/>
      <c r="H628" s="116"/>
      <c r="I628" s="26"/>
      <c r="J628" s="98"/>
      <c r="K628" s="36"/>
      <c r="L628" s="26"/>
      <c r="M628" s="26"/>
      <c r="N628" s="26"/>
      <c r="O628" s="93"/>
      <c r="P628" s="95"/>
      <c r="Q628" s="197"/>
    </row>
    <row r="629" spans="3:17" x14ac:dyDescent="0.25">
      <c r="C629" s="199"/>
      <c r="D629" s="112"/>
      <c r="E629" s="33"/>
      <c r="F629" s="105"/>
      <c r="H629" s="116"/>
      <c r="I629" s="26"/>
      <c r="J629" s="98"/>
      <c r="K629" s="36"/>
      <c r="L629" s="26"/>
      <c r="M629" s="26"/>
      <c r="N629" s="26"/>
      <c r="O629" s="93"/>
      <c r="P629" s="95"/>
      <c r="Q629" s="197"/>
    </row>
    <row r="630" spans="3:17" x14ac:dyDescent="0.25">
      <c r="C630" s="199"/>
      <c r="D630" s="112"/>
      <c r="E630" s="33"/>
      <c r="F630" s="105"/>
      <c r="H630" s="116"/>
      <c r="I630" s="26"/>
      <c r="J630" s="98"/>
      <c r="K630" s="36"/>
      <c r="L630" s="26"/>
      <c r="M630" s="26"/>
      <c r="N630" s="26"/>
      <c r="O630" s="93"/>
      <c r="P630" s="95"/>
      <c r="Q630" s="197"/>
    </row>
    <row r="631" spans="3:17" x14ac:dyDescent="0.25">
      <c r="C631" s="199"/>
      <c r="D631" s="112"/>
      <c r="E631" s="33"/>
      <c r="F631" s="105"/>
      <c r="H631" s="116"/>
      <c r="I631" s="26"/>
      <c r="J631" s="98"/>
      <c r="K631" s="36"/>
      <c r="L631" s="26"/>
      <c r="M631" s="26"/>
      <c r="N631" s="26"/>
      <c r="O631" s="93"/>
      <c r="P631" s="95"/>
      <c r="Q631" s="197"/>
    </row>
    <row r="632" spans="3:17" x14ac:dyDescent="0.25">
      <c r="C632" s="199"/>
      <c r="D632" s="112"/>
      <c r="E632" s="33"/>
      <c r="F632" s="105"/>
      <c r="H632" s="116"/>
      <c r="I632" s="26"/>
      <c r="J632" s="98"/>
      <c r="K632" s="36"/>
      <c r="L632" s="26"/>
      <c r="M632" s="26"/>
      <c r="N632" s="26"/>
      <c r="O632" s="93"/>
      <c r="P632" s="95"/>
      <c r="Q632" s="197"/>
    </row>
    <row r="633" spans="3:17" x14ac:dyDescent="0.25">
      <c r="C633" s="199"/>
      <c r="D633" s="112"/>
      <c r="E633" s="33"/>
      <c r="F633" s="105"/>
      <c r="H633" s="116"/>
      <c r="I633" s="26"/>
      <c r="J633" s="98"/>
      <c r="K633" s="36"/>
      <c r="L633" s="26"/>
      <c r="M633" s="26"/>
      <c r="N633" s="26"/>
      <c r="O633" s="93"/>
      <c r="P633" s="95"/>
      <c r="Q633" s="197"/>
    </row>
    <row r="634" spans="3:17" x14ac:dyDescent="0.25">
      <c r="C634" s="199"/>
      <c r="D634" s="112"/>
      <c r="E634" s="33"/>
      <c r="F634" s="105"/>
      <c r="H634" s="116"/>
      <c r="I634" s="26"/>
      <c r="J634" s="98"/>
      <c r="K634" s="36"/>
      <c r="L634" s="26"/>
      <c r="M634" s="26"/>
      <c r="N634" s="26"/>
      <c r="O634" s="93"/>
      <c r="P634" s="95"/>
      <c r="Q634" s="197"/>
    </row>
    <row r="635" spans="3:17" x14ac:dyDescent="0.25">
      <c r="C635" s="199"/>
      <c r="D635" s="112"/>
      <c r="E635" s="33"/>
      <c r="F635" s="105"/>
      <c r="H635" s="116"/>
      <c r="I635" s="26"/>
      <c r="J635" s="98"/>
      <c r="K635" s="36"/>
      <c r="L635" s="26"/>
      <c r="M635" s="26"/>
      <c r="N635" s="26"/>
      <c r="O635" s="93"/>
      <c r="P635" s="95"/>
      <c r="Q635" s="197"/>
    </row>
    <row r="636" spans="3:17" x14ac:dyDescent="0.25">
      <c r="C636" s="199"/>
      <c r="D636" s="112"/>
      <c r="E636" s="33"/>
      <c r="F636" s="105"/>
      <c r="H636" s="116"/>
      <c r="I636" s="26"/>
      <c r="J636" s="98"/>
      <c r="K636" s="36"/>
      <c r="L636" s="26"/>
      <c r="M636" s="26"/>
      <c r="N636" s="26"/>
      <c r="O636" s="93"/>
      <c r="P636" s="95"/>
      <c r="Q636" s="197"/>
    </row>
    <row r="637" spans="3:17" x14ac:dyDescent="0.25">
      <c r="C637" s="199"/>
      <c r="D637" s="112"/>
      <c r="E637" s="33"/>
      <c r="F637" s="105"/>
      <c r="H637" s="116"/>
      <c r="I637" s="26"/>
      <c r="J637" s="98"/>
      <c r="K637" s="36"/>
      <c r="L637" s="26"/>
      <c r="M637" s="26"/>
      <c r="N637" s="26"/>
      <c r="O637" s="93"/>
      <c r="P637" s="95"/>
      <c r="Q637" s="197"/>
    </row>
    <row r="638" spans="3:17" x14ac:dyDescent="0.25">
      <c r="C638" s="199"/>
      <c r="D638" s="112"/>
      <c r="E638" s="33"/>
      <c r="F638" s="105"/>
      <c r="H638" s="116"/>
      <c r="I638" s="26"/>
      <c r="J638" s="98"/>
      <c r="K638" s="36"/>
      <c r="L638" s="26"/>
      <c r="M638" s="26"/>
      <c r="N638" s="26"/>
      <c r="O638" s="93"/>
      <c r="P638" s="95"/>
      <c r="Q638" s="197"/>
    </row>
    <row r="639" spans="3:17" x14ac:dyDescent="0.25">
      <c r="C639" s="199"/>
      <c r="D639" s="112"/>
      <c r="E639" s="33"/>
      <c r="F639" s="105"/>
      <c r="H639" s="116"/>
      <c r="I639" s="26"/>
      <c r="J639" s="98"/>
      <c r="K639" s="36"/>
      <c r="L639" s="26"/>
      <c r="M639" s="26"/>
      <c r="N639" s="26"/>
      <c r="O639" s="93"/>
      <c r="P639" s="95"/>
      <c r="Q639" s="197"/>
    </row>
    <row r="640" spans="3:17" x14ac:dyDescent="0.25">
      <c r="C640" s="199"/>
      <c r="D640" s="112"/>
      <c r="E640" s="33"/>
      <c r="F640" s="105"/>
      <c r="H640" s="116"/>
      <c r="I640" s="26"/>
      <c r="J640" s="98"/>
      <c r="K640" s="36"/>
      <c r="L640" s="26"/>
      <c r="M640" s="26"/>
      <c r="N640" s="26"/>
      <c r="O640" s="93"/>
      <c r="P640" s="95"/>
      <c r="Q640" s="197"/>
    </row>
    <row r="641" spans="3:17" x14ac:dyDescent="0.25">
      <c r="C641" s="199"/>
      <c r="D641" s="112"/>
      <c r="E641" s="33"/>
      <c r="F641" s="105"/>
      <c r="H641" s="116"/>
      <c r="I641" s="26"/>
      <c r="J641" s="98"/>
      <c r="K641" s="36"/>
      <c r="L641" s="26"/>
      <c r="M641" s="26"/>
      <c r="N641" s="26"/>
      <c r="O641" s="93"/>
      <c r="P641" s="95"/>
      <c r="Q641" s="197"/>
    </row>
    <row r="642" spans="3:17" x14ac:dyDescent="0.25">
      <c r="C642" s="199"/>
      <c r="D642" s="112"/>
      <c r="E642" s="33"/>
      <c r="F642" s="105"/>
      <c r="H642" s="116"/>
      <c r="I642" s="26"/>
      <c r="J642" s="98"/>
      <c r="K642" s="36"/>
      <c r="L642" s="26"/>
      <c r="M642" s="26"/>
      <c r="N642" s="26"/>
      <c r="O642" s="93"/>
      <c r="P642" s="95"/>
      <c r="Q642" s="197"/>
    </row>
    <row r="643" spans="3:17" x14ac:dyDescent="0.25">
      <c r="C643" s="199"/>
      <c r="D643" s="112"/>
      <c r="E643" s="33"/>
      <c r="F643" s="105"/>
      <c r="H643" s="116"/>
      <c r="I643" s="26"/>
      <c r="J643" s="98"/>
      <c r="K643" s="36"/>
      <c r="L643" s="26"/>
      <c r="M643" s="26"/>
      <c r="N643" s="26"/>
      <c r="O643" s="93"/>
      <c r="P643" s="95"/>
      <c r="Q643" s="197"/>
    </row>
    <row r="644" spans="3:17" x14ac:dyDescent="0.25">
      <c r="C644" s="199"/>
      <c r="D644" s="112"/>
      <c r="E644" s="33"/>
      <c r="F644" s="105"/>
      <c r="H644" s="116"/>
      <c r="I644" s="26"/>
      <c r="J644" s="98"/>
      <c r="K644" s="36"/>
      <c r="L644" s="26"/>
      <c r="M644" s="26"/>
      <c r="N644" s="26"/>
      <c r="O644" s="93"/>
      <c r="P644" s="95"/>
      <c r="Q644" s="197"/>
    </row>
    <row r="645" spans="3:17" x14ac:dyDescent="0.25">
      <c r="C645" s="199"/>
      <c r="D645" s="112"/>
      <c r="E645" s="33"/>
      <c r="F645" s="105"/>
      <c r="H645" s="116"/>
      <c r="I645" s="26"/>
      <c r="J645" s="98"/>
      <c r="K645" s="36"/>
      <c r="L645" s="26"/>
      <c r="M645" s="26"/>
      <c r="N645" s="26"/>
      <c r="O645" s="93"/>
      <c r="P645" s="95"/>
      <c r="Q645" s="197"/>
    </row>
    <row r="646" spans="3:17" x14ac:dyDescent="0.25">
      <c r="C646" s="199"/>
      <c r="D646" s="112"/>
      <c r="E646" s="33"/>
      <c r="F646" s="105"/>
      <c r="H646" s="116"/>
      <c r="I646" s="26"/>
      <c r="J646" s="98"/>
      <c r="K646" s="36"/>
      <c r="L646" s="26"/>
      <c r="M646" s="26"/>
      <c r="N646" s="26"/>
      <c r="O646" s="93"/>
      <c r="P646" s="95"/>
      <c r="Q646" s="197"/>
    </row>
    <row r="647" spans="3:17" x14ac:dyDescent="0.25">
      <c r="C647" s="199"/>
      <c r="D647" s="112"/>
      <c r="E647" s="33"/>
      <c r="F647" s="105"/>
      <c r="H647" s="116"/>
      <c r="I647" s="26"/>
      <c r="J647" s="98"/>
      <c r="K647" s="36"/>
      <c r="L647" s="26"/>
      <c r="M647" s="26"/>
      <c r="N647" s="26"/>
      <c r="O647" s="93"/>
      <c r="P647" s="95"/>
      <c r="Q647" s="197"/>
    </row>
    <row r="648" spans="3:17" x14ac:dyDescent="0.25">
      <c r="C648" s="199"/>
      <c r="D648" s="112"/>
      <c r="E648" s="33"/>
      <c r="F648" s="105"/>
      <c r="H648" s="116"/>
      <c r="I648" s="26"/>
      <c r="J648" s="98"/>
      <c r="K648" s="36"/>
      <c r="L648" s="26"/>
      <c r="M648" s="26"/>
      <c r="N648" s="26"/>
      <c r="O648" s="93"/>
      <c r="P648" s="95"/>
      <c r="Q648" s="197"/>
    </row>
    <row r="649" spans="3:17" x14ac:dyDescent="0.25">
      <c r="C649" s="199"/>
      <c r="D649" s="112"/>
      <c r="E649" s="33"/>
      <c r="F649" s="105"/>
      <c r="H649" s="116"/>
      <c r="I649" s="26"/>
      <c r="J649" s="98"/>
      <c r="K649" s="36"/>
      <c r="L649" s="26"/>
      <c r="M649" s="26"/>
      <c r="N649" s="26"/>
      <c r="O649" s="93"/>
      <c r="P649" s="95"/>
      <c r="Q649" s="197"/>
    </row>
    <row r="650" spans="3:17" x14ac:dyDescent="0.25">
      <c r="C650" s="199"/>
      <c r="D650" s="112"/>
      <c r="E650" s="33"/>
      <c r="F650" s="105"/>
      <c r="H650" s="116"/>
      <c r="I650" s="26"/>
      <c r="J650" s="98"/>
      <c r="K650" s="36"/>
      <c r="L650" s="26"/>
      <c r="M650" s="26"/>
      <c r="N650" s="26"/>
      <c r="O650" s="93"/>
      <c r="P650" s="95"/>
      <c r="Q650" s="197"/>
    </row>
    <row r="651" spans="3:17" x14ac:dyDescent="0.25">
      <c r="C651" s="199"/>
      <c r="D651" s="112"/>
      <c r="E651" s="33"/>
      <c r="F651" s="105"/>
      <c r="H651" s="116"/>
      <c r="I651" s="26"/>
      <c r="J651" s="98"/>
      <c r="K651" s="36"/>
      <c r="L651" s="26"/>
      <c r="M651" s="26"/>
      <c r="N651" s="26"/>
      <c r="O651" s="93"/>
      <c r="P651" s="95"/>
      <c r="Q651" s="197"/>
    </row>
    <row r="652" spans="3:17" x14ac:dyDescent="0.25">
      <c r="C652" s="199"/>
      <c r="D652" s="112"/>
      <c r="E652" s="33"/>
      <c r="F652" s="105"/>
      <c r="H652" s="116"/>
      <c r="I652" s="26"/>
      <c r="J652" s="98"/>
      <c r="K652" s="36"/>
      <c r="L652" s="26"/>
      <c r="M652" s="26"/>
      <c r="N652" s="26"/>
      <c r="O652" s="93"/>
      <c r="P652" s="95"/>
      <c r="Q652" s="197"/>
    </row>
    <row r="653" spans="3:17" x14ac:dyDescent="0.25">
      <c r="C653" s="199"/>
      <c r="D653" s="112"/>
      <c r="E653" s="33"/>
      <c r="F653" s="105"/>
      <c r="H653" s="116"/>
      <c r="I653" s="26"/>
      <c r="J653" s="98"/>
      <c r="K653" s="36"/>
      <c r="L653" s="26"/>
      <c r="M653" s="26"/>
      <c r="N653" s="26"/>
      <c r="O653" s="93"/>
      <c r="P653" s="95"/>
      <c r="Q653" s="197"/>
    </row>
    <row r="654" spans="3:17" x14ac:dyDescent="0.25">
      <c r="C654" s="199"/>
      <c r="D654" s="112"/>
      <c r="E654" s="33"/>
      <c r="F654" s="105"/>
      <c r="H654" s="116"/>
      <c r="I654" s="26"/>
      <c r="J654" s="98"/>
      <c r="K654" s="36"/>
      <c r="L654" s="26"/>
      <c r="M654" s="26"/>
      <c r="N654" s="26"/>
      <c r="O654" s="93"/>
      <c r="P654" s="95"/>
      <c r="Q654" s="197"/>
    </row>
    <row r="655" spans="3:17" x14ac:dyDescent="0.25">
      <c r="C655" s="199"/>
      <c r="D655" s="112"/>
      <c r="E655" s="33"/>
      <c r="F655" s="105"/>
      <c r="H655" s="116"/>
      <c r="I655" s="26"/>
      <c r="J655" s="98"/>
      <c r="K655" s="36"/>
      <c r="L655" s="26"/>
      <c r="M655" s="26"/>
      <c r="N655" s="26"/>
      <c r="O655" s="93"/>
      <c r="P655" s="95"/>
      <c r="Q655" s="197"/>
    </row>
    <row r="656" spans="3:17" x14ac:dyDescent="0.25">
      <c r="C656" s="199"/>
      <c r="D656" s="112"/>
      <c r="E656" s="33"/>
      <c r="F656" s="105"/>
      <c r="H656" s="116"/>
      <c r="I656" s="26"/>
      <c r="J656" s="98"/>
      <c r="K656" s="36"/>
      <c r="L656" s="26"/>
      <c r="M656" s="26"/>
      <c r="N656" s="26"/>
      <c r="O656" s="93"/>
      <c r="P656" s="95"/>
      <c r="Q656" s="197"/>
    </row>
    <row r="657" spans="3:17" x14ac:dyDescent="0.25">
      <c r="C657" s="199"/>
      <c r="D657" s="112"/>
      <c r="E657" s="33"/>
      <c r="F657" s="105"/>
      <c r="H657" s="116"/>
      <c r="I657" s="26"/>
      <c r="J657" s="98"/>
      <c r="K657" s="36"/>
      <c r="L657" s="26"/>
      <c r="M657" s="26"/>
      <c r="N657" s="26"/>
      <c r="O657" s="93"/>
      <c r="P657" s="95"/>
      <c r="Q657" s="197"/>
    </row>
    <row r="658" spans="3:17" x14ac:dyDescent="0.25">
      <c r="C658" s="199"/>
      <c r="D658" s="112"/>
      <c r="E658" s="33"/>
      <c r="F658" s="105"/>
      <c r="H658" s="116"/>
      <c r="I658" s="26"/>
      <c r="J658" s="98"/>
      <c r="K658" s="36"/>
      <c r="L658" s="26"/>
      <c r="M658" s="26"/>
      <c r="N658" s="26"/>
      <c r="O658" s="93"/>
      <c r="P658" s="95"/>
      <c r="Q658" s="197"/>
    </row>
    <row r="659" spans="3:17" x14ac:dyDescent="0.25">
      <c r="C659" s="199"/>
      <c r="D659" s="112"/>
      <c r="E659" s="33"/>
      <c r="F659" s="105"/>
      <c r="H659" s="116"/>
      <c r="I659" s="26"/>
      <c r="J659" s="98"/>
      <c r="K659" s="36"/>
      <c r="L659" s="26"/>
      <c r="M659" s="26"/>
      <c r="N659" s="26"/>
      <c r="O659" s="93"/>
      <c r="P659" s="95"/>
      <c r="Q659" s="197"/>
    </row>
    <row r="660" spans="3:17" x14ac:dyDescent="0.25">
      <c r="C660" s="199"/>
      <c r="D660" s="112"/>
      <c r="E660" s="33"/>
      <c r="F660" s="105"/>
      <c r="H660" s="116"/>
      <c r="I660" s="26"/>
      <c r="J660" s="98"/>
      <c r="K660" s="36"/>
      <c r="L660" s="26"/>
      <c r="M660" s="26"/>
      <c r="N660" s="26"/>
      <c r="O660" s="93"/>
      <c r="P660" s="95"/>
      <c r="Q660" s="197"/>
    </row>
    <row r="661" spans="3:17" x14ac:dyDescent="0.25">
      <c r="C661" s="199"/>
      <c r="D661" s="112"/>
      <c r="E661" s="33"/>
      <c r="F661" s="105"/>
      <c r="H661" s="116"/>
      <c r="I661" s="26"/>
      <c r="J661" s="98"/>
      <c r="K661" s="36"/>
      <c r="L661" s="26"/>
      <c r="M661" s="26"/>
      <c r="N661" s="26"/>
      <c r="O661" s="93"/>
      <c r="P661" s="95"/>
      <c r="Q661" s="197"/>
    </row>
    <row r="662" spans="3:17" x14ac:dyDescent="0.25">
      <c r="C662" s="199"/>
      <c r="D662" s="112"/>
      <c r="E662" s="33"/>
      <c r="F662" s="105"/>
      <c r="H662" s="116"/>
      <c r="I662" s="26"/>
      <c r="J662" s="98"/>
      <c r="K662" s="36"/>
      <c r="L662" s="26"/>
      <c r="M662" s="26"/>
      <c r="N662" s="26"/>
      <c r="O662" s="93"/>
      <c r="P662" s="95"/>
      <c r="Q662" s="197"/>
    </row>
    <row r="663" spans="3:17" x14ac:dyDescent="0.25">
      <c r="C663" s="199"/>
      <c r="D663" s="112"/>
      <c r="E663" s="33"/>
      <c r="F663" s="105"/>
      <c r="H663" s="116"/>
      <c r="I663" s="26"/>
      <c r="J663" s="98"/>
      <c r="K663" s="36"/>
      <c r="L663" s="26"/>
      <c r="M663" s="26"/>
      <c r="N663" s="26"/>
      <c r="O663" s="93"/>
      <c r="P663" s="95"/>
      <c r="Q663" s="197"/>
    </row>
    <row r="664" spans="3:17" x14ac:dyDescent="0.25">
      <c r="C664" s="199"/>
      <c r="D664" s="112"/>
      <c r="E664" s="33"/>
      <c r="F664" s="105"/>
      <c r="H664" s="116"/>
      <c r="I664" s="26"/>
      <c r="J664" s="98"/>
      <c r="K664" s="36"/>
      <c r="L664" s="26"/>
      <c r="M664" s="26"/>
      <c r="N664" s="26"/>
      <c r="O664" s="93"/>
      <c r="P664" s="95"/>
      <c r="Q664" s="197"/>
    </row>
    <row r="665" spans="3:17" x14ac:dyDescent="0.25">
      <c r="C665" s="199"/>
      <c r="D665" s="112"/>
      <c r="E665" s="33"/>
      <c r="F665" s="105"/>
      <c r="H665" s="116"/>
      <c r="I665" s="26"/>
      <c r="J665" s="98"/>
      <c r="K665" s="36"/>
      <c r="L665" s="26"/>
      <c r="M665" s="26"/>
      <c r="N665" s="26"/>
      <c r="O665" s="93"/>
      <c r="P665" s="95"/>
      <c r="Q665" s="197"/>
    </row>
    <row r="666" spans="3:17" x14ac:dyDescent="0.25">
      <c r="C666" s="199"/>
      <c r="D666" s="112"/>
      <c r="E666" s="33"/>
      <c r="F666" s="105"/>
      <c r="H666" s="116"/>
      <c r="I666" s="26"/>
      <c r="J666" s="98"/>
      <c r="K666" s="36"/>
      <c r="L666" s="26"/>
      <c r="M666" s="26"/>
      <c r="N666" s="26"/>
      <c r="O666" s="93"/>
      <c r="P666" s="95"/>
      <c r="Q666" s="197"/>
    </row>
    <row r="667" spans="3:17" x14ac:dyDescent="0.25">
      <c r="C667" s="199"/>
      <c r="D667" s="112"/>
      <c r="E667" s="33"/>
      <c r="F667" s="105"/>
      <c r="H667" s="116"/>
      <c r="I667" s="26"/>
      <c r="J667" s="98"/>
      <c r="K667" s="36"/>
      <c r="L667" s="26"/>
      <c r="M667" s="26"/>
      <c r="N667" s="26"/>
      <c r="O667" s="93"/>
      <c r="P667" s="95"/>
      <c r="Q667" s="197"/>
    </row>
    <row r="668" spans="3:17" x14ac:dyDescent="0.25">
      <c r="C668" s="199"/>
      <c r="D668" s="112"/>
      <c r="E668" s="33"/>
      <c r="F668" s="105"/>
      <c r="H668" s="116"/>
      <c r="I668" s="26"/>
      <c r="J668" s="98"/>
      <c r="K668" s="36"/>
      <c r="L668" s="26"/>
      <c r="M668" s="26"/>
      <c r="N668" s="26"/>
      <c r="O668" s="93"/>
      <c r="P668" s="95"/>
      <c r="Q668" s="197"/>
    </row>
    <row r="669" spans="3:17" x14ac:dyDescent="0.25">
      <c r="C669" s="199"/>
      <c r="D669" s="112"/>
      <c r="E669" s="33"/>
      <c r="F669" s="105"/>
      <c r="H669" s="116"/>
      <c r="I669" s="26"/>
      <c r="J669" s="98"/>
      <c r="K669" s="36"/>
      <c r="L669" s="26"/>
      <c r="M669" s="26"/>
      <c r="N669" s="26"/>
      <c r="O669" s="93"/>
      <c r="P669" s="95"/>
      <c r="Q669" s="197"/>
    </row>
    <row r="670" spans="3:17" x14ac:dyDescent="0.25">
      <c r="C670" s="199"/>
      <c r="D670" s="112"/>
      <c r="E670" s="33"/>
      <c r="F670" s="105"/>
      <c r="H670" s="116"/>
      <c r="I670" s="26"/>
      <c r="J670" s="98"/>
      <c r="K670" s="36"/>
      <c r="L670" s="26"/>
      <c r="M670" s="26"/>
      <c r="N670" s="26"/>
      <c r="O670" s="93"/>
      <c r="P670" s="95"/>
      <c r="Q670" s="197"/>
    </row>
    <row r="671" spans="3:17" x14ac:dyDescent="0.25">
      <c r="C671" s="199"/>
      <c r="D671" s="112"/>
      <c r="E671" s="33"/>
      <c r="F671" s="105"/>
      <c r="H671" s="116"/>
      <c r="I671" s="26"/>
      <c r="J671" s="98"/>
      <c r="K671" s="36"/>
      <c r="L671" s="26"/>
      <c r="M671" s="26"/>
      <c r="N671" s="26"/>
      <c r="O671" s="93"/>
      <c r="P671" s="95"/>
      <c r="Q671" s="197"/>
    </row>
    <row r="672" spans="3:17" x14ac:dyDescent="0.25">
      <c r="C672" s="199"/>
      <c r="D672" s="112"/>
      <c r="E672" s="33"/>
      <c r="F672" s="105"/>
      <c r="H672" s="116"/>
      <c r="I672" s="26"/>
      <c r="J672" s="98"/>
      <c r="K672" s="36"/>
      <c r="L672" s="26"/>
      <c r="M672" s="26"/>
      <c r="N672" s="26"/>
      <c r="O672" s="93"/>
      <c r="P672" s="95"/>
      <c r="Q672" s="197"/>
    </row>
    <row r="673" spans="3:17" x14ac:dyDescent="0.25">
      <c r="C673" s="199"/>
      <c r="D673" s="112"/>
      <c r="E673" s="33"/>
      <c r="F673" s="105"/>
      <c r="H673" s="116"/>
      <c r="I673" s="26"/>
      <c r="J673" s="98"/>
      <c r="K673" s="36"/>
      <c r="L673" s="26"/>
      <c r="M673" s="26"/>
      <c r="N673" s="26"/>
      <c r="O673" s="93"/>
      <c r="P673" s="95"/>
      <c r="Q673" s="197"/>
    </row>
    <row r="674" spans="3:17" x14ac:dyDescent="0.25">
      <c r="C674" s="199"/>
      <c r="D674" s="112"/>
      <c r="E674" s="33"/>
      <c r="F674" s="105"/>
      <c r="H674" s="116"/>
      <c r="I674" s="26"/>
      <c r="J674" s="98"/>
      <c r="K674" s="36"/>
      <c r="L674" s="26"/>
      <c r="M674" s="26"/>
      <c r="N674" s="26"/>
      <c r="O674" s="93"/>
      <c r="P674" s="95"/>
      <c r="Q674" s="197"/>
    </row>
    <row r="675" spans="3:17" x14ac:dyDescent="0.25">
      <c r="C675" s="199"/>
      <c r="D675" s="112"/>
      <c r="E675" s="33"/>
      <c r="F675" s="105"/>
      <c r="H675" s="116"/>
      <c r="I675" s="26"/>
      <c r="J675" s="98"/>
      <c r="K675" s="36"/>
      <c r="L675" s="26"/>
      <c r="M675" s="26"/>
      <c r="N675" s="26"/>
      <c r="O675" s="93"/>
      <c r="P675" s="95"/>
      <c r="Q675" s="197"/>
    </row>
    <row r="676" spans="3:17" x14ac:dyDescent="0.25">
      <c r="C676" s="199"/>
      <c r="D676" s="112"/>
      <c r="E676" s="33"/>
      <c r="F676" s="105"/>
      <c r="H676" s="116"/>
      <c r="I676" s="26"/>
      <c r="J676" s="98"/>
      <c r="K676" s="36"/>
      <c r="L676" s="26"/>
      <c r="M676" s="26"/>
      <c r="N676" s="26"/>
      <c r="O676" s="93"/>
      <c r="P676" s="95"/>
      <c r="Q676" s="197"/>
    </row>
    <row r="677" spans="3:17" x14ac:dyDescent="0.25">
      <c r="C677" s="199"/>
      <c r="D677" s="112"/>
      <c r="E677" s="33"/>
      <c r="F677" s="105"/>
      <c r="H677" s="116"/>
      <c r="I677" s="26"/>
      <c r="J677" s="98"/>
      <c r="K677" s="36"/>
      <c r="L677" s="26"/>
      <c r="M677" s="26"/>
      <c r="N677" s="26"/>
      <c r="O677" s="93"/>
      <c r="P677" s="95"/>
      <c r="Q677" s="197"/>
    </row>
    <row r="678" spans="3:17" x14ac:dyDescent="0.25">
      <c r="C678" s="199"/>
      <c r="D678" s="112"/>
      <c r="E678" s="33"/>
      <c r="F678" s="105"/>
      <c r="H678" s="116"/>
      <c r="I678" s="26"/>
      <c r="J678" s="98"/>
      <c r="K678" s="36"/>
      <c r="L678" s="26"/>
      <c r="M678" s="26"/>
      <c r="N678" s="26"/>
      <c r="O678" s="93"/>
      <c r="P678" s="95"/>
      <c r="Q678" s="197"/>
    </row>
    <row r="679" spans="3:17" x14ac:dyDescent="0.25">
      <c r="C679" s="199"/>
      <c r="D679" s="112"/>
      <c r="E679" s="33"/>
      <c r="F679" s="105"/>
      <c r="H679" s="116"/>
      <c r="I679" s="26"/>
      <c r="J679" s="98"/>
      <c r="K679" s="36"/>
      <c r="L679" s="26"/>
      <c r="M679" s="26"/>
      <c r="N679" s="26"/>
      <c r="O679" s="93"/>
      <c r="P679" s="95"/>
      <c r="Q679" s="197"/>
    </row>
    <row r="680" spans="3:17" x14ac:dyDescent="0.25">
      <c r="C680" s="199"/>
      <c r="D680" s="112"/>
      <c r="E680" s="33"/>
      <c r="F680" s="105"/>
      <c r="H680" s="116"/>
      <c r="I680" s="26"/>
      <c r="J680" s="98"/>
      <c r="K680" s="36"/>
      <c r="L680" s="26"/>
      <c r="M680" s="26"/>
      <c r="N680" s="26"/>
      <c r="O680" s="93"/>
      <c r="P680" s="95"/>
      <c r="Q680" s="197"/>
    </row>
    <row r="681" spans="3:17" x14ac:dyDescent="0.25">
      <c r="C681" s="199"/>
      <c r="D681" s="112"/>
      <c r="E681" s="33"/>
      <c r="F681" s="105"/>
      <c r="H681" s="116"/>
      <c r="I681" s="26"/>
      <c r="J681" s="98"/>
      <c r="K681" s="36"/>
      <c r="L681" s="26"/>
      <c r="M681" s="26"/>
      <c r="N681" s="26"/>
      <c r="O681" s="93"/>
      <c r="P681" s="95"/>
      <c r="Q681" s="197"/>
    </row>
    <row r="682" spans="3:17" x14ac:dyDescent="0.25">
      <c r="C682" s="199"/>
      <c r="D682" s="112"/>
      <c r="E682" s="33"/>
      <c r="F682" s="105"/>
      <c r="H682" s="116"/>
      <c r="I682" s="26"/>
      <c r="J682" s="98"/>
      <c r="K682" s="36"/>
      <c r="L682" s="26"/>
      <c r="M682" s="26"/>
      <c r="N682" s="26"/>
      <c r="O682" s="93"/>
      <c r="P682" s="95"/>
      <c r="Q682" s="197"/>
    </row>
    <row r="683" spans="3:17" x14ac:dyDescent="0.25">
      <c r="C683" s="199"/>
      <c r="D683" s="112"/>
      <c r="E683" s="33"/>
      <c r="F683" s="105"/>
      <c r="H683" s="116"/>
      <c r="I683" s="26"/>
      <c r="J683" s="98"/>
      <c r="K683" s="36"/>
      <c r="L683" s="26"/>
      <c r="M683" s="26"/>
      <c r="N683" s="26"/>
      <c r="O683" s="93"/>
      <c r="P683" s="95"/>
      <c r="Q683" s="197"/>
    </row>
    <row r="684" spans="3:17" x14ac:dyDescent="0.25">
      <c r="C684" s="199"/>
      <c r="D684" s="112"/>
      <c r="E684" s="33"/>
      <c r="F684" s="105"/>
      <c r="H684" s="116"/>
      <c r="I684" s="26"/>
      <c r="J684" s="98"/>
      <c r="K684" s="36"/>
      <c r="L684" s="26"/>
      <c r="M684" s="26"/>
      <c r="N684" s="26"/>
      <c r="O684" s="93"/>
      <c r="P684" s="95"/>
      <c r="Q684" s="197"/>
    </row>
    <row r="685" spans="3:17" x14ac:dyDescent="0.25">
      <c r="C685" s="199"/>
      <c r="D685" s="112"/>
      <c r="E685" s="33"/>
      <c r="F685" s="105"/>
      <c r="H685" s="116"/>
      <c r="I685" s="26"/>
      <c r="J685" s="98"/>
      <c r="K685" s="36"/>
      <c r="L685" s="26"/>
      <c r="M685" s="26"/>
      <c r="N685" s="26"/>
      <c r="O685" s="93"/>
      <c r="P685" s="95"/>
      <c r="Q685" s="197"/>
    </row>
    <row r="686" spans="3:17" x14ac:dyDescent="0.25">
      <c r="C686" s="199"/>
      <c r="D686" s="112"/>
      <c r="E686" s="33"/>
      <c r="F686" s="105"/>
      <c r="H686" s="116"/>
      <c r="I686" s="26"/>
      <c r="J686" s="98"/>
      <c r="K686" s="36"/>
      <c r="L686" s="26"/>
      <c r="M686" s="26"/>
      <c r="N686" s="26"/>
      <c r="O686" s="93"/>
      <c r="P686" s="95"/>
      <c r="Q686" s="197"/>
    </row>
    <row r="687" spans="3:17" x14ac:dyDescent="0.25">
      <c r="C687" s="199"/>
      <c r="D687" s="112"/>
      <c r="E687" s="33"/>
      <c r="F687" s="105"/>
      <c r="H687" s="116"/>
      <c r="I687" s="26"/>
      <c r="J687" s="98"/>
      <c r="K687" s="36"/>
      <c r="L687" s="26"/>
      <c r="M687" s="26"/>
      <c r="N687" s="26"/>
      <c r="O687" s="93"/>
      <c r="P687" s="95"/>
      <c r="Q687" s="197"/>
    </row>
    <row r="688" spans="3:17" x14ac:dyDescent="0.25">
      <c r="C688" s="199"/>
      <c r="D688" s="112"/>
      <c r="E688" s="33"/>
      <c r="F688" s="105"/>
      <c r="H688" s="116"/>
      <c r="I688" s="26"/>
      <c r="J688" s="98"/>
      <c r="K688" s="36"/>
      <c r="L688" s="26"/>
      <c r="M688" s="26"/>
      <c r="N688" s="26"/>
      <c r="O688" s="93"/>
      <c r="P688" s="95"/>
      <c r="Q688" s="197"/>
    </row>
    <row r="689" spans="3:17" x14ac:dyDescent="0.25">
      <c r="C689" s="199"/>
      <c r="D689" s="112"/>
      <c r="E689" s="33"/>
      <c r="F689" s="105"/>
      <c r="H689" s="116"/>
      <c r="I689" s="26"/>
      <c r="J689" s="98"/>
      <c r="K689" s="36"/>
      <c r="L689" s="26"/>
      <c r="M689" s="26"/>
      <c r="N689" s="26"/>
      <c r="O689" s="93"/>
      <c r="P689" s="95"/>
      <c r="Q689" s="197"/>
    </row>
    <row r="690" spans="3:17" x14ac:dyDescent="0.25">
      <c r="C690" s="199"/>
      <c r="D690" s="112"/>
      <c r="E690" s="33"/>
      <c r="F690" s="105"/>
      <c r="H690" s="116"/>
      <c r="I690" s="26"/>
      <c r="J690" s="98"/>
      <c r="K690" s="36"/>
      <c r="L690" s="26"/>
      <c r="M690" s="26"/>
      <c r="N690" s="26"/>
      <c r="O690" s="93"/>
      <c r="P690" s="95"/>
      <c r="Q690" s="197"/>
    </row>
    <row r="691" spans="3:17" x14ac:dyDescent="0.25">
      <c r="C691" s="199"/>
      <c r="D691" s="112"/>
      <c r="E691" s="33"/>
      <c r="F691" s="105"/>
      <c r="H691" s="116"/>
      <c r="I691" s="26"/>
      <c r="J691" s="98"/>
      <c r="K691" s="36"/>
      <c r="L691" s="26"/>
      <c r="M691" s="26"/>
      <c r="N691" s="26"/>
      <c r="O691" s="93"/>
      <c r="P691" s="95"/>
      <c r="Q691" s="197"/>
    </row>
    <row r="692" spans="3:17" x14ac:dyDescent="0.25">
      <c r="C692" s="199"/>
      <c r="D692" s="112"/>
      <c r="E692" s="33"/>
      <c r="F692" s="105"/>
      <c r="H692" s="116"/>
      <c r="I692" s="26"/>
      <c r="J692" s="98"/>
      <c r="K692" s="36"/>
      <c r="L692" s="26"/>
      <c r="M692" s="26"/>
      <c r="N692" s="26"/>
      <c r="O692" s="93"/>
      <c r="P692" s="95"/>
      <c r="Q692" s="197"/>
    </row>
    <row r="693" spans="3:17" x14ac:dyDescent="0.25">
      <c r="C693" s="199"/>
      <c r="D693" s="112"/>
      <c r="E693" s="33"/>
      <c r="F693" s="105"/>
      <c r="H693" s="116"/>
      <c r="I693" s="26"/>
      <c r="J693" s="98"/>
      <c r="K693" s="36"/>
      <c r="L693" s="26"/>
      <c r="M693" s="26"/>
      <c r="N693" s="26"/>
      <c r="O693" s="93"/>
      <c r="P693" s="95"/>
      <c r="Q693" s="197"/>
    </row>
    <row r="694" spans="3:17" x14ac:dyDescent="0.25">
      <c r="C694" s="199"/>
      <c r="D694" s="112"/>
      <c r="E694" s="33"/>
      <c r="F694" s="105"/>
      <c r="H694" s="116"/>
      <c r="I694" s="26"/>
      <c r="J694" s="98"/>
      <c r="K694" s="36"/>
      <c r="L694" s="26"/>
      <c r="M694" s="26"/>
      <c r="N694" s="26"/>
      <c r="O694" s="93"/>
      <c r="P694" s="95"/>
      <c r="Q694" s="197"/>
    </row>
    <row r="695" spans="3:17" x14ac:dyDescent="0.25">
      <c r="C695" s="199"/>
      <c r="D695" s="112"/>
      <c r="E695" s="33"/>
      <c r="F695" s="105"/>
      <c r="H695" s="116"/>
      <c r="I695" s="26"/>
      <c r="J695" s="98"/>
      <c r="K695" s="36"/>
      <c r="L695" s="26"/>
      <c r="M695" s="26"/>
      <c r="N695" s="26"/>
      <c r="O695" s="93"/>
      <c r="P695" s="95"/>
      <c r="Q695" s="197"/>
    </row>
    <row r="696" spans="3:17" x14ac:dyDescent="0.25">
      <c r="C696" s="199"/>
      <c r="D696" s="112"/>
      <c r="E696" s="33"/>
      <c r="F696" s="105"/>
      <c r="H696" s="116"/>
      <c r="I696" s="26"/>
      <c r="J696" s="98"/>
      <c r="K696" s="36"/>
      <c r="L696" s="26"/>
      <c r="M696" s="26"/>
      <c r="N696" s="26"/>
      <c r="O696" s="93"/>
      <c r="P696" s="95"/>
      <c r="Q696" s="197"/>
    </row>
    <row r="697" spans="3:17" x14ac:dyDescent="0.25">
      <c r="C697" s="199"/>
      <c r="D697" s="112"/>
      <c r="E697" s="33"/>
      <c r="F697" s="105"/>
      <c r="H697" s="116"/>
      <c r="I697" s="26"/>
      <c r="J697" s="98"/>
      <c r="K697" s="36"/>
      <c r="L697" s="26"/>
      <c r="M697" s="26"/>
      <c r="N697" s="26"/>
      <c r="O697" s="93"/>
      <c r="P697" s="95"/>
      <c r="Q697" s="197"/>
    </row>
    <row r="698" spans="3:17" x14ac:dyDescent="0.25">
      <c r="C698" s="199"/>
      <c r="D698" s="112"/>
      <c r="E698" s="33"/>
      <c r="F698" s="105"/>
      <c r="H698" s="116"/>
      <c r="I698" s="26"/>
      <c r="J698" s="98"/>
      <c r="K698" s="36"/>
      <c r="L698" s="26"/>
      <c r="M698" s="26"/>
      <c r="N698" s="26"/>
      <c r="O698" s="93"/>
      <c r="P698" s="95"/>
      <c r="Q698" s="197"/>
    </row>
    <row r="699" spans="3:17" x14ac:dyDescent="0.25">
      <c r="C699" s="199"/>
      <c r="D699" s="112"/>
      <c r="E699" s="33"/>
      <c r="F699" s="105"/>
      <c r="H699" s="116"/>
      <c r="I699" s="26"/>
      <c r="J699" s="98"/>
      <c r="K699" s="36"/>
      <c r="L699" s="26"/>
      <c r="M699" s="26"/>
      <c r="N699" s="26"/>
      <c r="O699" s="93"/>
      <c r="P699" s="95"/>
      <c r="Q699" s="197"/>
    </row>
    <row r="700" spans="3:17" x14ac:dyDescent="0.25">
      <c r="C700" s="199"/>
      <c r="D700" s="112"/>
      <c r="E700" s="33"/>
      <c r="F700" s="105"/>
      <c r="H700" s="116"/>
      <c r="I700" s="26"/>
      <c r="J700" s="98"/>
      <c r="K700" s="36"/>
      <c r="L700" s="26"/>
      <c r="M700" s="26"/>
      <c r="N700" s="26"/>
      <c r="O700" s="93"/>
      <c r="P700" s="95"/>
      <c r="Q700" s="197"/>
    </row>
    <row r="701" spans="3:17" x14ac:dyDescent="0.25">
      <c r="C701" s="199"/>
      <c r="D701" s="112"/>
      <c r="E701" s="33"/>
      <c r="F701" s="105"/>
      <c r="H701" s="116"/>
      <c r="I701" s="26"/>
      <c r="J701" s="98"/>
      <c r="K701" s="36"/>
      <c r="L701" s="26"/>
      <c r="M701" s="26"/>
      <c r="N701" s="26"/>
      <c r="O701" s="93"/>
      <c r="P701" s="95"/>
      <c r="Q701" s="197"/>
    </row>
    <row r="702" spans="3:17" x14ac:dyDescent="0.25">
      <c r="C702" s="199"/>
      <c r="D702" s="112"/>
      <c r="E702" s="33"/>
      <c r="F702" s="105"/>
      <c r="H702" s="116"/>
      <c r="I702" s="26"/>
      <c r="J702" s="98"/>
      <c r="K702" s="36"/>
      <c r="L702" s="26"/>
      <c r="M702" s="26"/>
      <c r="N702" s="26"/>
      <c r="O702" s="93"/>
      <c r="P702" s="95"/>
      <c r="Q702" s="197"/>
    </row>
    <row r="703" spans="3:17" x14ac:dyDescent="0.25">
      <c r="C703" s="199"/>
      <c r="D703" s="112"/>
      <c r="E703" s="33"/>
      <c r="F703" s="105"/>
      <c r="H703" s="116"/>
      <c r="I703" s="26"/>
      <c r="J703" s="98"/>
      <c r="K703" s="36"/>
      <c r="L703" s="26"/>
      <c r="M703" s="26"/>
      <c r="N703" s="26"/>
      <c r="O703" s="93"/>
      <c r="P703" s="95"/>
      <c r="Q703" s="197"/>
    </row>
    <row r="704" spans="3:17" x14ac:dyDescent="0.25">
      <c r="C704" s="199"/>
      <c r="D704" s="112"/>
      <c r="E704" s="33"/>
      <c r="F704" s="105"/>
      <c r="H704" s="116"/>
      <c r="I704" s="26"/>
      <c r="J704" s="98"/>
      <c r="K704" s="36"/>
      <c r="L704" s="26"/>
      <c r="M704" s="26"/>
      <c r="N704" s="26"/>
      <c r="O704" s="93"/>
      <c r="P704" s="95"/>
      <c r="Q704" s="197"/>
    </row>
    <row r="705" spans="3:17" x14ac:dyDescent="0.25">
      <c r="C705" s="199"/>
      <c r="D705" s="112"/>
      <c r="E705" s="33"/>
      <c r="F705" s="105"/>
      <c r="H705" s="116"/>
      <c r="I705" s="26"/>
      <c r="J705" s="98"/>
      <c r="K705" s="36"/>
      <c r="L705" s="26"/>
      <c r="M705" s="26"/>
      <c r="N705" s="26"/>
      <c r="O705" s="93"/>
      <c r="P705" s="95"/>
      <c r="Q705" s="197"/>
    </row>
    <row r="706" spans="3:17" x14ac:dyDescent="0.25">
      <c r="C706" s="199"/>
      <c r="D706" s="112"/>
      <c r="E706" s="33"/>
      <c r="F706" s="105"/>
      <c r="H706" s="116"/>
      <c r="I706" s="26"/>
      <c r="J706" s="98"/>
      <c r="K706" s="36"/>
      <c r="L706" s="26"/>
      <c r="M706" s="26"/>
      <c r="N706" s="26"/>
      <c r="O706" s="93"/>
      <c r="P706" s="95"/>
      <c r="Q706" s="197"/>
    </row>
    <row r="707" spans="3:17" x14ac:dyDescent="0.25">
      <c r="C707" s="199"/>
      <c r="D707" s="112"/>
      <c r="E707" s="33"/>
      <c r="F707" s="105"/>
      <c r="H707" s="116"/>
      <c r="I707" s="26"/>
      <c r="J707" s="98"/>
      <c r="K707" s="36"/>
      <c r="L707" s="26"/>
      <c r="M707" s="26"/>
      <c r="N707" s="26"/>
      <c r="O707" s="93"/>
      <c r="P707" s="95"/>
      <c r="Q707" s="197"/>
    </row>
    <row r="708" spans="3:17" x14ac:dyDescent="0.25">
      <c r="C708" s="199"/>
      <c r="D708" s="112"/>
      <c r="E708" s="33"/>
      <c r="F708" s="105"/>
      <c r="H708" s="116"/>
      <c r="I708" s="26"/>
      <c r="J708" s="98"/>
      <c r="K708" s="36"/>
      <c r="L708" s="26"/>
      <c r="M708" s="26"/>
      <c r="N708" s="26"/>
      <c r="O708" s="93"/>
      <c r="P708" s="95"/>
      <c r="Q708" s="197"/>
    </row>
    <row r="709" spans="3:17" x14ac:dyDescent="0.25">
      <c r="C709" s="199"/>
      <c r="D709" s="112"/>
      <c r="E709" s="33"/>
      <c r="F709" s="105"/>
      <c r="H709" s="116"/>
      <c r="I709" s="26"/>
      <c r="J709" s="98"/>
      <c r="K709" s="36"/>
      <c r="L709" s="26"/>
      <c r="M709" s="26"/>
      <c r="N709" s="26"/>
      <c r="O709" s="93"/>
      <c r="P709" s="95"/>
      <c r="Q709" s="197"/>
    </row>
    <row r="710" spans="3:17" x14ac:dyDescent="0.25">
      <c r="C710" s="199"/>
      <c r="D710" s="112"/>
      <c r="E710" s="33"/>
      <c r="F710" s="105"/>
      <c r="H710" s="116"/>
      <c r="I710" s="26"/>
      <c r="J710" s="98"/>
      <c r="K710" s="36"/>
      <c r="L710" s="26"/>
      <c r="M710" s="26"/>
      <c r="N710" s="26"/>
      <c r="O710" s="93"/>
      <c r="P710" s="95"/>
      <c r="Q710" s="197"/>
    </row>
    <row r="711" spans="3:17" x14ac:dyDescent="0.25">
      <c r="C711" s="199"/>
      <c r="D711" s="112"/>
      <c r="E711" s="33"/>
      <c r="F711" s="105"/>
      <c r="H711" s="116"/>
      <c r="I711" s="26"/>
      <c r="J711" s="98"/>
      <c r="K711" s="36"/>
      <c r="L711" s="26"/>
      <c r="M711" s="26"/>
      <c r="N711" s="26"/>
      <c r="O711" s="93"/>
      <c r="P711" s="95"/>
      <c r="Q711" s="197"/>
    </row>
    <row r="712" spans="3:17" x14ac:dyDescent="0.25">
      <c r="C712" s="199"/>
      <c r="D712" s="112"/>
      <c r="E712" s="33"/>
      <c r="F712" s="105"/>
      <c r="H712" s="116"/>
      <c r="I712" s="26"/>
      <c r="J712" s="98"/>
      <c r="K712" s="36"/>
      <c r="L712" s="26"/>
      <c r="M712" s="26"/>
      <c r="N712" s="26"/>
      <c r="O712" s="93"/>
      <c r="P712" s="95"/>
      <c r="Q712" s="197"/>
    </row>
    <row r="713" spans="3:17" x14ac:dyDescent="0.25">
      <c r="C713" s="199"/>
      <c r="D713" s="112"/>
      <c r="E713" s="33"/>
      <c r="F713" s="105"/>
      <c r="H713" s="116"/>
      <c r="I713" s="26"/>
      <c r="J713" s="98"/>
      <c r="K713" s="36"/>
      <c r="L713" s="26"/>
      <c r="M713" s="26"/>
      <c r="N713" s="26"/>
      <c r="O713" s="93"/>
      <c r="P713" s="95"/>
      <c r="Q713" s="197"/>
    </row>
    <row r="714" spans="3:17" x14ac:dyDescent="0.25">
      <c r="C714" s="199"/>
      <c r="D714" s="112"/>
      <c r="E714" s="33"/>
      <c r="F714" s="105"/>
      <c r="H714" s="116"/>
      <c r="I714" s="26"/>
      <c r="J714" s="98"/>
      <c r="K714" s="36"/>
      <c r="L714" s="26"/>
      <c r="M714" s="26"/>
      <c r="N714" s="26"/>
      <c r="O714" s="93"/>
      <c r="P714" s="95"/>
      <c r="Q714" s="197"/>
    </row>
    <row r="715" spans="3:17" x14ac:dyDescent="0.25">
      <c r="C715" s="199"/>
      <c r="D715" s="112"/>
      <c r="E715" s="33"/>
      <c r="F715" s="105"/>
      <c r="H715" s="116"/>
      <c r="I715" s="26"/>
      <c r="J715" s="98"/>
      <c r="K715" s="36"/>
      <c r="L715" s="26"/>
      <c r="M715" s="26"/>
      <c r="N715" s="26"/>
      <c r="O715" s="93"/>
      <c r="P715" s="95"/>
      <c r="Q715" s="197"/>
    </row>
    <row r="716" spans="3:17" x14ac:dyDescent="0.25">
      <c r="C716" s="199"/>
      <c r="D716" s="112"/>
      <c r="E716" s="33"/>
      <c r="F716" s="105"/>
      <c r="H716" s="116"/>
      <c r="I716" s="26"/>
      <c r="J716" s="98"/>
      <c r="K716" s="36"/>
      <c r="L716" s="26"/>
      <c r="M716" s="26"/>
      <c r="N716" s="26"/>
      <c r="O716" s="93"/>
      <c r="P716" s="95"/>
      <c r="Q716" s="197"/>
    </row>
    <row r="717" spans="3:17" x14ac:dyDescent="0.25">
      <c r="C717" s="199"/>
      <c r="D717" s="112"/>
      <c r="E717" s="33"/>
      <c r="F717" s="105"/>
      <c r="H717" s="116"/>
      <c r="I717" s="26"/>
      <c r="J717" s="98"/>
      <c r="K717" s="36"/>
      <c r="L717" s="26"/>
      <c r="M717" s="26"/>
      <c r="N717" s="26"/>
      <c r="O717" s="93"/>
      <c r="P717" s="95"/>
      <c r="Q717" s="197"/>
    </row>
    <row r="718" spans="3:17" x14ac:dyDescent="0.25">
      <c r="C718" s="199"/>
      <c r="D718" s="112"/>
      <c r="E718" s="33"/>
      <c r="F718" s="105"/>
      <c r="H718" s="116"/>
      <c r="I718" s="26"/>
      <c r="J718" s="98"/>
      <c r="K718" s="36"/>
      <c r="L718" s="26"/>
      <c r="M718" s="26"/>
      <c r="N718" s="26"/>
      <c r="O718" s="93"/>
      <c r="P718" s="95"/>
      <c r="Q718" s="197"/>
    </row>
    <row r="719" spans="3:17" x14ac:dyDescent="0.25">
      <c r="C719" s="199"/>
      <c r="D719" s="112"/>
      <c r="E719" s="33"/>
      <c r="F719" s="105"/>
      <c r="H719" s="116"/>
      <c r="I719" s="26"/>
      <c r="J719" s="98"/>
      <c r="K719" s="36"/>
      <c r="L719" s="26"/>
      <c r="M719" s="26"/>
      <c r="N719" s="26"/>
      <c r="O719" s="93"/>
      <c r="P719" s="95"/>
      <c r="Q719" s="197"/>
    </row>
    <row r="720" spans="3:17" x14ac:dyDescent="0.25">
      <c r="C720" s="199"/>
      <c r="D720" s="112"/>
      <c r="E720" s="33"/>
      <c r="F720" s="105"/>
      <c r="H720" s="116"/>
      <c r="I720" s="26"/>
      <c r="J720" s="98"/>
      <c r="K720" s="36"/>
      <c r="L720" s="26"/>
      <c r="M720" s="26"/>
      <c r="N720" s="26"/>
      <c r="O720" s="93"/>
      <c r="P720" s="95"/>
      <c r="Q720" s="197"/>
    </row>
    <row r="721" spans="3:17" x14ac:dyDescent="0.25">
      <c r="C721" s="199"/>
      <c r="D721" s="112"/>
      <c r="E721" s="33"/>
      <c r="F721" s="105"/>
      <c r="H721" s="116"/>
      <c r="I721" s="26"/>
      <c r="J721" s="98"/>
      <c r="K721" s="36"/>
      <c r="L721" s="26"/>
      <c r="M721" s="26"/>
      <c r="N721" s="26"/>
      <c r="O721" s="93"/>
      <c r="P721" s="95"/>
      <c r="Q721" s="197"/>
    </row>
    <row r="722" spans="3:17" x14ac:dyDescent="0.25">
      <c r="C722" s="199"/>
      <c r="D722" s="112"/>
      <c r="E722" s="33"/>
      <c r="F722" s="105"/>
      <c r="H722" s="116"/>
      <c r="I722" s="26"/>
      <c r="J722" s="98"/>
      <c r="K722" s="36"/>
      <c r="L722" s="26"/>
      <c r="M722" s="26"/>
      <c r="N722" s="26"/>
      <c r="O722" s="93"/>
      <c r="P722" s="95"/>
      <c r="Q722" s="197"/>
    </row>
    <row r="723" spans="3:17" x14ac:dyDescent="0.25">
      <c r="C723" s="199"/>
      <c r="D723" s="112"/>
      <c r="E723" s="33"/>
      <c r="F723" s="105"/>
      <c r="H723" s="116"/>
      <c r="I723" s="26"/>
      <c r="J723" s="98"/>
      <c r="K723" s="36"/>
      <c r="L723" s="26"/>
      <c r="M723" s="26"/>
      <c r="N723" s="26"/>
      <c r="O723" s="93"/>
      <c r="P723" s="95"/>
      <c r="Q723" s="197"/>
    </row>
    <row r="724" spans="3:17" x14ac:dyDescent="0.25">
      <c r="C724" s="199"/>
      <c r="D724" s="112"/>
      <c r="E724" s="33"/>
      <c r="F724" s="105"/>
      <c r="H724" s="116"/>
      <c r="I724" s="26"/>
      <c r="J724" s="98"/>
      <c r="K724" s="36"/>
      <c r="L724" s="26"/>
      <c r="M724" s="26"/>
      <c r="N724" s="26"/>
      <c r="O724" s="93"/>
      <c r="P724" s="95"/>
      <c r="Q724" s="197"/>
    </row>
    <row r="725" spans="3:17" x14ac:dyDescent="0.25">
      <c r="C725" s="199"/>
      <c r="D725" s="112"/>
      <c r="E725" s="33"/>
      <c r="F725" s="105"/>
      <c r="H725" s="116"/>
      <c r="I725" s="26"/>
      <c r="J725" s="98"/>
      <c r="K725" s="36"/>
      <c r="L725" s="26"/>
      <c r="M725" s="26"/>
      <c r="N725" s="26"/>
      <c r="O725" s="93"/>
      <c r="P725" s="95"/>
      <c r="Q725" s="197"/>
    </row>
    <row r="726" spans="3:17" x14ac:dyDescent="0.25">
      <c r="C726" s="199"/>
      <c r="D726" s="112"/>
      <c r="E726" s="33"/>
      <c r="F726" s="105"/>
      <c r="H726" s="116"/>
      <c r="I726" s="26"/>
      <c r="J726" s="98"/>
      <c r="K726" s="36"/>
      <c r="L726" s="26"/>
      <c r="M726" s="26"/>
      <c r="N726" s="26"/>
      <c r="O726" s="93"/>
      <c r="P726" s="95"/>
      <c r="Q726" s="197"/>
    </row>
    <row r="727" spans="3:17" x14ac:dyDescent="0.25">
      <c r="C727" s="199"/>
      <c r="D727" s="112"/>
      <c r="E727" s="33"/>
      <c r="F727" s="105"/>
      <c r="H727" s="116"/>
      <c r="I727" s="26"/>
      <c r="J727" s="98"/>
      <c r="K727" s="36"/>
      <c r="L727" s="26"/>
      <c r="M727" s="26"/>
      <c r="N727" s="26"/>
      <c r="O727" s="93"/>
      <c r="P727" s="95"/>
      <c r="Q727" s="197"/>
    </row>
    <row r="728" spans="3:17" x14ac:dyDescent="0.25">
      <c r="C728" s="199"/>
      <c r="D728" s="112"/>
      <c r="E728" s="33"/>
      <c r="F728" s="105"/>
      <c r="H728" s="116"/>
      <c r="I728" s="26"/>
      <c r="J728" s="98"/>
      <c r="K728" s="36"/>
      <c r="L728" s="26"/>
      <c r="M728" s="26"/>
      <c r="N728" s="26"/>
      <c r="O728" s="93"/>
      <c r="P728" s="95"/>
      <c r="Q728" s="197"/>
    </row>
    <row r="729" spans="3:17" x14ac:dyDescent="0.25">
      <c r="C729" s="199"/>
      <c r="D729" s="112"/>
      <c r="E729" s="33"/>
      <c r="F729" s="105"/>
      <c r="H729" s="116"/>
      <c r="I729" s="26"/>
      <c r="J729" s="98"/>
      <c r="K729" s="36"/>
      <c r="L729" s="26"/>
      <c r="M729" s="26"/>
      <c r="N729" s="26"/>
      <c r="O729" s="93"/>
      <c r="P729" s="95"/>
      <c r="Q729" s="197"/>
    </row>
    <row r="730" spans="3:17" x14ac:dyDescent="0.25">
      <c r="C730" s="199"/>
      <c r="D730" s="112"/>
      <c r="E730" s="33"/>
      <c r="F730" s="105"/>
      <c r="H730" s="116"/>
      <c r="I730" s="26"/>
      <c r="J730" s="98"/>
      <c r="K730" s="36"/>
      <c r="L730" s="26"/>
      <c r="M730" s="26"/>
      <c r="N730" s="26"/>
      <c r="O730" s="93"/>
      <c r="P730" s="95"/>
      <c r="Q730" s="197"/>
    </row>
    <row r="731" spans="3:17" x14ac:dyDescent="0.25">
      <c r="C731" s="199"/>
      <c r="D731" s="112"/>
      <c r="E731" s="33"/>
      <c r="F731" s="105"/>
      <c r="H731" s="116"/>
      <c r="I731" s="26"/>
      <c r="J731" s="98"/>
      <c r="K731" s="36"/>
      <c r="L731" s="26"/>
      <c r="M731" s="26"/>
      <c r="N731" s="26"/>
      <c r="O731" s="93"/>
      <c r="P731" s="95"/>
      <c r="Q731" s="197"/>
    </row>
    <row r="732" spans="3:17" x14ac:dyDescent="0.25">
      <c r="C732" s="199"/>
      <c r="D732" s="112"/>
      <c r="E732" s="33"/>
      <c r="F732" s="105"/>
      <c r="H732" s="116"/>
      <c r="I732" s="26"/>
      <c r="J732" s="98"/>
      <c r="K732" s="36"/>
      <c r="L732" s="26"/>
      <c r="M732" s="26"/>
      <c r="N732" s="26"/>
      <c r="O732" s="93"/>
      <c r="P732" s="95"/>
      <c r="Q732" s="197"/>
    </row>
    <row r="733" spans="3:17" x14ac:dyDescent="0.25">
      <c r="C733" s="199"/>
      <c r="D733" s="112"/>
      <c r="E733" s="33"/>
      <c r="F733" s="105"/>
      <c r="H733" s="116"/>
      <c r="I733" s="26"/>
      <c r="J733" s="98"/>
      <c r="K733" s="36"/>
      <c r="L733" s="26"/>
      <c r="M733" s="26"/>
      <c r="N733" s="26"/>
      <c r="O733" s="93"/>
      <c r="P733" s="95"/>
      <c r="Q733" s="197"/>
    </row>
    <row r="734" spans="3:17" x14ac:dyDescent="0.25">
      <c r="C734" s="199"/>
      <c r="D734" s="112"/>
      <c r="E734" s="33"/>
      <c r="F734" s="105"/>
      <c r="H734" s="116"/>
      <c r="I734" s="26"/>
      <c r="J734" s="98"/>
      <c r="K734" s="36"/>
      <c r="L734" s="26"/>
      <c r="M734" s="26"/>
      <c r="N734" s="26"/>
      <c r="O734" s="93"/>
      <c r="P734" s="95"/>
      <c r="Q734" s="197"/>
    </row>
    <row r="735" spans="3:17" x14ac:dyDescent="0.25">
      <c r="C735" s="199"/>
      <c r="D735" s="112"/>
      <c r="E735" s="33"/>
      <c r="F735" s="105"/>
      <c r="H735" s="116"/>
      <c r="I735" s="26"/>
      <c r="J735" s="98"/>
      <c r="K735" s="36"/>
      <c r="L735" s="26"/>
      <c r="M735" s="26"/>
      <c r="N735" s="26"/>
      <c r="O735" s="93"/>
      <c r="P735" s="95"/>
      <c r="Q735" s="197"/>
    </row>
    <row r="736" spans="3:17" x14ac:dyDescent="0.25">
      <c r="C736" s="199"/>
      <c r="D736" s="112"/>
      <c r="E736" s="33"/>
      <c r="F736" s="105"/>
      <c r="H736" s="116"/>
      <c r="I736" s="26"/>
      <c r="J736" s="98"/>
      <c r="K736" s="36"/>
      <c r="L736" s="26"/>
      <c r="M736" s="26"/>
      <c r="N736" s="26"/>
      <c r="O736" s="93"/>
      <c r="P736" s="95"/>
      <c r="Q736" s="197"/>
    </row>
    <row r="737" spans="3:17" x14ac:dyDescent="0.25">
      <c r="C737" s="199"/>
      <c r="D737" s="112"/>
      <c r="E737" s="33"/>
      <c r="F737" s="105"/>
      <c r="H737" s="116"/>
      <c r="I737" s="26"/>
      <c r="J737" s="98"/>
      <c r="K737" s="36"/>
      <c r="L737" s="26"/>
      <c r="M737" s="26"/>
      <c r="N737" s="26"/>
      <c r="O737" s="93"/>
      <c r="P737" s="95"/>
      <c r="Q737" s="197"/>
    </row>
    <row r="738" spans="3:17" x14ac:dyDescent="0.25">
      <c r="C738" s="199"/>
      <c r="D738" s="112"/>
      <c r="E738" s="33"/>
      <c r="F738" s="105"/>
      <c r="H738" s="116"/>
      <c r="I738" s="26"/>
      <c r="J738" s="98"/>
      <c r="K738" s="36"/>
      <c r="L738" s="26"/>
      <c r="M738" s="26"/>
      <c r="N738" s="26"/>
      <c r="O738" s="93"/>
      <c r="P738" s="95"/>
      <c r="Q738" s="197"/>
    </row>
    <row r="739" spans="3:17" x14ac:dyDescent="0.25">
      <c r="C739" s="199"/>
      <c r="D739" s="112"/>
      <c r="E739" s="33"/>
      <c r="F739" s="105"/>
      <c r="H739" s="116"/>
      <c r="I739" s="26"/>
      <c r="J739" s="98"/>
      <c r="K739" s="36"/>
      <c r="L739" s="26"/>
      <c r="M739" s="26"/>
      <c r="N739" s="26"/>
      <c r="O739" s="93"/>
      <c r="P739" s="95"/>
      <c r="Q739" s="197"/>
    </row>
    <row r="740" spans="3:17" x14ac:dyDescent="0.25">
      <c r="C740" s="199"/>
      <c r="D740" s="112"/>
      <c r="E740" s="33"/>
      <c r="F740" s="105"/>
      <c r="H740" s="116"/>
      <c r="I740" s="26"/>
      <c r="J740" s="98"/>
      <c r="K740" s="36"/>
      <c r="L740" s="26"/>
      <c r="M740" s="26"/>
      <c r="N740" s="26"/>
      <c r="O740" s="93"/>
      <c r="P740" s="95"/>
      <c r="Q740" s="197"/>
    </row>
    <row r="741" spans="3:17" x14ac:dyDescent="0.25">
      <c r="C741" s="199"/>
      <c r="D741" s="112"/>
      <c r="E741" s="33"/>
      <c r="F741" s="105"/>
      <c r="H741" s="116"/>
      <c r="I741" s="26"/>
      <c r="J741" s="98"/>
      <c r="K741" s="36"/>
      <c r="L741" s="26"/>
      <c r="M741" s="26"/>
      <c r="N741" s="26"/>
      <c r="O741" s="93"/>
      <c r="P741" s="95"/>
      <c r="Q741" s="197"/>
    </row>
    <row r="742" spans="3:17" x14ac:dyDescent="0.25">
      <c r="C742" s="199"/>
      <c r="D742" s="112"/>
      <c r="E742" s="33"/>
      <c r="F742" s="105"/>
      <c r="H742" s="116"/>
      <c r="I742" s="26"/>
      <c r="J742" s="98"/>
      <c r="K742" s="36"/>
      <c r="L742" s="26"/>
      <c r="M742" s="26"/>
      <c r="N742" s="26"/>
      <c r="O742" s="93"/>
      <c r="P742" s="95"/>
      <c r="Q742" s="197"/>
    </row>
    <row r="743" spans="3:17" x14ac:dyDescent="0.25">
      <c r="C743" s="199"/>
      <c r="D743" s="112"/>
      <c r="E743" s="33"/>
      <c r="F743" s="105"/>
      <c r="H743" s="116"/>
      <c r="I743" s="26"/>
      <c r="J743" s="98"/>
      <c r="K743" s="36"/>
      <c r="L743" s="26"/>
      <c r="M743" s="26"/>
      <c r="N743" s="26"/>
      <c r="O743" s="93"/>
      <c r="P743" s="95"/>
      <c r="Q743" s="197"/>
    </row>
    <row r="744" spans="3:17" x14ac:dyDescent="0.25">
      <c r="C744" s="199"/>
      <c r="D744" s="112"/>
      <c r="E744" s="33"/>
      <c r="F744" s="105"/>
      <c r="H744" s="116"/>
      <c r="I744" s="26"/>
      <c r="J744" s="98"/>
      <c r="K744" s="36"/>
      <c r="L744" s="26"/>
      <c r="M744" s="26"/>
      <c r="N744" s="26"/>
      <c r="O744" s="93"/>
      <c r="P744" s="95"/>
      <c r="Q744" s="197"/>
    </row>
    <row r="745" spans="3:17" x14ac:dyDescent="0.25">
      <c r="C745" s="199"/>
      <c r="D745" s="112"/>
      <c r="E745" s="33"/>
      <c r="F745" s="105"/>
      <c r="H745" s="116"/>
      <c r="I745" s="26"/>
      <c r="J745" s="98"/>
      <c r="K745" s="36"/>
      <c r="L745" s="26"/>
      <c r="M745" s="26"/>
      <c r="N745" s="26"/>
      <c r="O745" s="93"/>
      <c r="P745" s="95"/>
      <c r="Q745" s="197"/>
    </row>
    <row r="746" spans="3:17" x14ac:dyDescent="0.25">
      <c r="C746" s="199"/>
      <c r="D746" s="112"/>
      <c r="E746" s="33"/>
      <c r="F746" s="105"/>
      <c r="H746" s="116"/>
      <c r="I746" s="26"/>
      <c r="J746" s="98"/>
      <c r="K746" s="36"/>
      <c r="L746" s="26"/>
      <c r="M746" s="26"/>
      <c r="N746" s="26"/>
      <c r="O746" s="93"/>
      <c r="P746" s="95"/>
      <c r="Q746" s="197"/>
    </row>
    <row r="747" spans="3:17" x14ac:dyDescent="0.25">
      <c r="C747" s="199"/>
      <c r="D747" s="112"/>
      <c r="E747" s="33"/>
      <c r="F747" s="105"/>
      <c r="H747" s="116"/>
      <c r="I747" s="26"/>
      <c r="J747" s="98"/>
      <c r="K747" s="36"/>
      <c r="L747" s="26"/>
      <c r="M747" s="26"/>
      <c r="N747" s="26"/>
      <c r="O747" s="93"/>
      <c r="P747" s="95"/>
      <c r="Q747" s="197"/>
    </row>
    <row r="748" spans="3:17" x14ac:dyDescent="0.25">
      <c r="C748" s="199"/>
      <c r="D748" s="112"/>
      <c r="E748" s="33"/>
      <c r="F748" s="105"/>
      <c r="H748" s="116"/>
      <c r="I748" s="26"/>
      <c r="J748" s="98"/>
      <c r="K748" s="36"/>
      <c r="L748" s="26"/>
      <c r="M748" s="26"/>
      <c r="N748" s="26"/>
      <c r="O748" s="93"/>
      <c r="P748" s="95"/>
      <c r="Q748" s="197"/>
    </row>
    <row r="749" spans="3:17" x14ac:dyDescent="0.25">
      <c r="C749" s="199"/>
      <c r="D749" s="112"/>
      <c r="E749" s="33"/>
      <c r="F749" s="105"/>
      <c r="H749" s="116"/>
      <c r="I749" s="26"/>
      <c r="J749" s="98"/>
      <c r="K749" s="36"/>
      <c r="L749" s="26"/>
      <c r="M749" s="26"/>
      <c r="N749" s="26"/>
      <c r="O749" s="93"/>
      <c r="P749" s="95"/>
      <c r="Q749" s="197"/>
    </row>
    <row r="750" spans="3:17" x14ac:dyDescent="0.25">
      <c r="C750" s="199"/>
      <c r="D750" s="112"/>
      <c r="E750" s="33"/>
      <c r="F750" s="105"/>
      <c r="H750" s="116"/>
      <c r="I750" s="26"/>
      <c r="J750" s="98"/>
      <c r="K750" s="36"/>
      <c r="L750" s="26"/>
      <c r="M750" s="26"/>
      <c r="N750" s="26"/>
      <c r="O750" s="93"/>
      <c r="P750" s="95"/>
      <c r="Q750" s="197"/>
    </row>
    <row r="751" spans="3:17" x14ac:dyDescent="0.25">
      <c r="C751" s="199"/>
      <c r="D751" s="112"/>
      <c r="E751" s="33"/>
      <c r="F751" s="105"/>
      <c r="H751" s="116"/>
      <c r="I751" s="26"/>
      <c r="J751" s="98"/>
      <c r="K751" s="36"/>
      <c r="L751" s="26"/>
      <c r="M751" s="26"/>
      <c r="N751" s="26"/>
      <c r="O751" s="93"/>
      <c r="P751" s="95"/>
      <c r="Q751" s="197"/>
    </row>
    <row r="752" spans="3:17" x14ac:dyDescent="0.25">
      <c r="C752" s="199"/>
      <c r="D752" s="112"/>
      <c r="E752" s="33"/>
      <c r="F752" s="105"/>
      <c r="H752" s="116"/>
      <c r="I752" s="26"/>
      <c r="J752" s="98"/>
      <c r="K752" s="36"/>
      <c r="L752" s="26"/>
      <c r="M752" s="26"/>
      <c r="N752" s="26"/>
      <c r="O752" s="93"/>
      <c r="P752" s="95"/>
      <c r="Q752" s="197"/>
    </row>
    <row r="753" spans="3:17" x14ac:dyDescent="0.25">
      <c r="C753" s="199"/>
      <c r="D753" s="112"/>
      <c r="E753" s="33"/>
      <c r="F753" s="105"/>
      <c r="H753" s="116"/>
      <c r="I753" s="26"/>
      <c r="J753" s="98"/>
      <c r="K753" s="36"/>
      <c r="L753" s="26"/>
      <c r="M753" s="26"/>
      <c r="N753" s="26"/>
      <c r="O753" s="93"/>
      <c r="P753" s="95"/>
      <c r="Q753" s="197"/>
    </row>
    <row r="754" spans="3:17" x14ac:dyDescent="0.25">
      <c r="C754" s="199"/>
      <c r="D754" s="112"/>
      <c r="E754" s="33"/>
      <c r="F754" s="105"/>
      <c r="H754" s="116"/>
      <c r="I754" s="26"/>
      <c r="J754" s="98"/>
      <c r="K754" s="36"/>
      <c r="L754" s="26"/>
      <c r="M754" s="26"/>
      <c r="N754" s="26"/>
      <c r="O754" s="93"/>
      <c r="P754" s="95"/>
      <c r="Q754" s="197"/>
    </row>
    <row r="755" spans="3:17" x14ac:dyDescent="0.25">
      <c r="C755" s="199"/>
      <c r="D755" s="112"/>
      <c r="E755" s="33"/>
      <c r="F755" s="105"/>
      <c r="H755" s="116"/>
      <c r="I755" s="26"/>
      <c r="J755" s="98"/>
      <c r="K755" s="36"/>
      <c r="L755" s="26"/>
      <c r="M755" s="26"/>
      <c r="N755" s="26"/>
      <c r="O755" s="93"/>
      <c r="P755" s="95"/>
      <c r="Q755" s="197"/>
    </row>
    <row r="756" spans="3:17" x14ac:dyDescent="0.25">
      <c r="C756" s="199"/>
      <c r="D756" s="112"/>
      <c r="E756" s="33"/>
      <c r="F756" s="105"/>
      <c r="H756" s="116"/>
      <c r="I756" s="26"/>
      <c r="J756" s="98"/>
      <c r="K756" s="36"/>
      <c r="L756" s="26"/>
      <c r="M756" s="26"/>
      <c r="N756" s="26"/>
      <c r="O756" s="93"/>
      <c r="P756" s="95"/>
      <c r="Q756" s="197"/>
    </row>
    <row r="757" spans="3:17" x14ac:dyDescent="0.25">
      <c r="C757" s="199"/>
      <c r="D757" s="112"/>
      <c r="E757" s="33"/>
      <c r="F757" s="105"/>
      <c r="H757" s="116"/>
      <c r="I757" s="26"/>
      <c r="J757" s="98"/>
      <c r="K757" s="36"/>
      <c r="L757" s="26"/>
      <c r="M757" s="26"/>
      <c r="N757" s="26"/>
      <c r="O757" s="93"/>
      <c r="P757" s="95"/>
      <c r="Q757" s="197"/>
    </row>
    <row r="758" spans="3:17" x14ac:dyDescent="0.25">
      <c r="C758" s="199"/>
      <c r="D758" s="112"/>
      <c r="E758" s="33"/>
      <c r="F758" s="105"/>
      <c r="H758" s="116"/>
      <c r="I758" s="26"/>
      <c r="J758" s="98"/>
      <c r="K758" s="36"/>
      <c r="L758" s="26"/>
      <c r="M758" s="26"/>
      <c r="N758" s="26"/>
      <c r="O758" s="93"/>
      <c r="P758" s="95"/>
      <c r="Q758" s="197"/>
    </row>
    <row r="759" spans="3:17" x14ac:dyDescent="0.25">
      <c r="C759" s="199"/>
      <c r="D759" s="112"/>
      <c r="E759" s="33"/>
      <c r="F759" s="105"/>
      <c r="H759" s="116"/>
      <c r="I759" s="26"/>
      <c r="J759" s="98"/>
      <c r="K759" s="36"/>
      <c r="L759" s="26"/>
      <c r="M759" s="26"/>
      <c r="N759" s="26"/>
      <c r="O759" s="93"/>
      <c r="P759" s="95"/>
      <c r="Q759" s="197"/>
    </row>
    <row r="760" spans="3:17" x14ac:dyDescent="0.25">
      <c r="C760" s="199"/>
      <c r="D760" s="112"/>
      <c r="E760" s="33"/>
      <c r="F760" s="105"/>
      <c r="H760" s="116"/>
      <c r="I760" s="26"/>
      <c r="J760" s="98"/>
      <c r="K760" s="36"/>
      <c r="L760" s="26"/>
      <c r="M760" s="26"/>
      <c r="N760" s="26"/>
      <c r="O760" s="93"/>
      <c r="P760" s="95"/>
      <c r="Q760" s="197"/>
    </row>
    <row r="761" spans="3:17" x14ac:dyDescent="0.25">
      <c r="C761" s="199"/>
      <c r="D761" s="112"/>
      <c r="E761" s="33"/>
      <c r="F761" s="105"/>
      <c r="H761" s="116"/>
      <c r="I761" s="26"/>
      <c r="J761" s="98"/>
      <c r="K761" s="36"/>
      <c r="L761" s="26"/>
      <c r="M761" s="26"/>
      <c r="N761" s="26"/>
      <c r="O761" s="93"/>
      <c r="P761" s="95"/>
      <c r="Q761" s="197"/>
    </row>
    <row r="762" spans="3:17" x14ac:dyDescent="0.25">
      <c r="C762" s="199"/>
      <c r="D762" s="112"/>
      <c r="E762" s="33"/>
      <c r="F762" s="105"/>
      <c r="H762" s="116"/>
      <c r="I762" s="26"/>
      <c r="J762" s="98"/>
      <c r="K762" s="36"/>
      <c r="L762" s="26"/>
      <c r="M762" s="26"/>
      <c r="N762" s="26"/>
      <c r="O762" s="93"/>
      <c r="P762" s="95"/>
      <c r="Q762" s="197"/>
    </row>
    <row r="763" spans="3:17" x14ac:dyDescent="0.25">
      <c r="C763" s="199"/>
      <c r="D763" s="112"/>
      <c r="E763" s="33"/>
      <c r="F763" s="105"/>
      <c r="H763" s="116"/>
      <c r="I763" s="26"/>
      <c r="J763" s="98"/>
      <c r="K763" s="36"/>
      <c r="L763" s="26"/>
      <c r="M763" s="26"/>
      <c r="N763" s="26"/>
      <c r="O763" s="93"/>
      <c r="P763" s="95"/>
      <c r="Q763" s="197"/>
    </row>
    <row r="764" spans="3:17" x14ac:dyDescent="0.25">
      <c r="C764" s="199"/>
      <c r="D764" s="112"/>
      <c r="E764" s="33"/>
      <c r="F764" s="105"/>
      <c r="H764" s="116"/>
      <c r="I764" s="26"/>
      <c r="J764" s="98"/>
      <c r="K764" s="36"/>
      <c r="L764" s="26"/>
      <c r="M764" s="26"/>
      <c r="N764" s="26"/>
      <c r="O764" s="93"/>
      <c r="P764" s="95"/>
      <c r="Q764" s="197"/>
    </row>
    <row r="765" spans="3:17" x14ac:dyDescent="0.25">
      <c r="C765" s="199"/>
      <c r="D765" s="112"/>
      <c r="E765" s="33"/>
      <c r="F765" s="105"/>
      <c r="H765" s="116"/>
      <c r="I765" s="26"/>
      <c r="J765" s="98"/>
      <c r="K765" s="36"/>
      <c r="L765" s="26"/>
      <c r="M765" s="26"/>
      <c r="N765" s="26"/>
      <c r="O765" s="93"/>
      <c r="P765" s="95"/>
      <c r="Q765" s="197"/>
    </row>
    <row r="766" spans="3:17" x14ac:dyDescent="0.25">
      <c r="C766" s="199"/>
      <c r="D766" s="112"/>
      <c r="E766" s="33"/>
      <c r="F766" s="105"/>
      <c r="H766" s="116"/>
      <c r="I766" s="26"/>
      <c r="J766" s="98"/>
      <c r="K766" s="36"/>
      <c r="L766" s="26"/>
      <c r="M766" s="26"/>
      <c r="N766" s="26"/>
      <c r="O766" s="93"/>
      <c r="P766" s="95"/>
      <c r="Q766" s="197"/>
    </row>
    <row r="767" spans="3:17" x14ac:dyDescent="0.25">
      <c r="C767" s="199"/>
      <c r="D767" s="112"/>
      <c r="E767" s="33"/>
      <c r="F767" s="105"/>
      <c r="H767" s="116"/>
      <c r="I767" s="26"/>
      <c r="J767" s="98"/>
      <c r="K767" s="36"/>
      <c r="L767" s="26"/>
      <c r="M767" s="26"/>
      <c r="N767" s="26"/>
      <c r="O767" s="93"/>
      <c r="P767" s="95"/>
      <c r="Q767" s="197"/>
    </row>
    <row r="768" spans="3:17" x14ac:dyDescent="0.25">
      <c r="C768" s="199"/>
      <c r="D768" s="112"/>
      <c r="E768" s="33"/>
      <c r="F768" s="105"/>
      <c r="H768" s="116"/>
      <c r="I768" s="26"/>
      <c r="J768" s="98"/>
      <c r="K768" s="36"/>
      <c r="L768" s="26"/>
      <c r="M768" s="26"/>
      <c r="N768" s="26"/>
      <c r="O768" s="93"/>
      <c r="P768" s="95"/>
      <c r="Q768" s="197"/>
    </row>
    <row r="769" spans="3:17" x14ac:dyDescent="0.25">
      <c r="C769" s="199"/>
      <c r="D769" s="112"/>
      <c r="E769" s="33"/>
      <c r="F769" s="105"/>
      <c r="H769" s="116"/>
      <c r="I769" s="26"/>
      <c r="J769" s="98"/>
      <c r="K769" s="36"/>
      <c r="L769" s="26"/>
      <c r="M769" s="26"/>
      <c r="N769" s="26"/>
      <c r="O769" s="93"/>
      <c r="P769" s="95"/>
      <c r="Q769" s="197"/>
    </row>
    <row r="770" spans="3:17" x14ac:dyDescent="0.25">
      <c r="C770" s="199"/>
      <c r="D770" s="112"/>
      <c r="E770" s="33"/>
      <c r="F770" s="105"/>
      <c r="H770" s="116"/>
      <c r="I770" s="26"/>
      <c r="J770" s="98"/>
      <c r="K770" s="36"/>
      <c r="L770" s="26"/>
      <c r="M770" s="26"/>
      <c r="N770" s="26"/>
      <c r="O770" s="93"/>
      <c r="P770" s="95"/>
      <c r="Q770" s="197"/>
    </row>
    <row r="771" spans="3:17" x14ac:dyDescent="0.25">
      <c r="C771" s="199"/>
      <c r="D771" s="112"/>
      <c r="E771" s="33"/>
      <c r="F771" s="105"/>
      <c r="H771" s="116"/>
      <c r="I771" s="26"/>
      <c r="J771" s="98"/>
      <c r="K771" s="36"/>
      <c r="L771" s="26"/>
      <c r="M771" s="26"/>
      <c r="N771" s="26"/>
      <c r="O771" s="93"/>
      <c r="P771" s="95"/>
      <c r="Q771" s="197"/>
    </row>
    <row r="772" spans="3:17" x14ac:dyDescent="0.25">
      <c r="C772" s="199"/>
      <c r="D772" s="112"/>
      <c r="E772" s="33"/>
      <c r="F772" s="105"/>
      <c r="H772" s="116"/>
      <c r="I772" s="26"/>
      <c r="J772" s="98"/>
      <c r="K772" s="36"/>
      <c r="L772" s="26"/>
      <c r="M772" s="26"/>
      <c r="N772" s="26"/>
      <c r="O772" s="93"/>
      <c r="P772" s="95"/>
      <c r="Q772" s="197"/>
    </row>
    <row r="773" spans="3:17" x14ac:dyDescent="0.25">
      <c r="C773" s="199"/>
      <c r="D773" s="112"/>
      <c r="E773" s="33"/>
      <c r="F773" s="105"/>
      <c r="H773" s="116"/>
      <c r="I773" s="26"/>
      <c r="J773" s="98"/>
      <c r="K773" s="36"/>
      <c r="L773" s="26"/>
      <c r="M773" s="26"/>
      <c r="N773" s="26"/>
      <c r="O773" s="93"/>
      <c r="P773" s="95"/>
      <c r="Q773" s="197"/>
    </row>
    <row r="774" spans="3:17" x14ac:dyDescent="0.25">
      <c r="C774" s="199"/>
      <c r="D774" s="112"/>
      <c r="E774" s="33"/>
      <c r="F774" s="105"/>
      <c r="H774" s="116"/>
      <c r="I774" s="26"/>
      <c r="J774" s="98"/>
      <c r="K774" s="36"/>
      <c r="L774" s="26"/>
      <c r="M774" s="26"/>
      <c r="N774" s="26"/>
      <c r="O774" s="93"/>
      <c r="P774" s="95"/>
      <c r="Q774" s="197"/>
    </row>
    <row r="775" spans="3:17" x14ac:dyDescent="0.25">
      <c r="C775" s="199"/>
      <c r="D775" s="112"/>
      <c r="E775" s="33"/>
      <c r="F775" s="105"/>
      <c r="H775" s="116"/>
      <c r="I775" s="26"/>
      <c r="J775" s="98"/>
      <c r="K775" s="36"/>
      <c r="L775" s="26"/>
      <c r="M775" s="26"/>
      <c r="N775" s="26"/>
      <c r="O775" s="93"/>
      <c r="P775" s="95"/>
      <c r="Q775" s="197"/>
    </row>
    <row r="776" spans="3:17" x14ac:dyDescent="0.25">
      <c r="C776" s="199"/>
      <c r="D776" s="112"/>
      <c r="E776" s="33"/>
      <c r="F776" s="105"/>
      <c r="H776" s="116"/>
      <c r="I776" s="26"/>
      <c r="J776" s="98"/>
      <c r="K776" s="36"/>
      <c r="L776" s="26"/>
      <c r="M776" s="26"/>
      <c r="N776" s="26"/>
      <c r="O776" s="93"/>
      <c r="P776" s="95"/>
      <c r="Q776" s="197"/>
    </row>
    <row r="777" spans="3:17" x14ac:dyDescent="0.25">
      <c r="C777" s="199"/>
      <c r="D777" s="112"/>
      <c r="E777" s="33"/>
      <c r="F777" s="105"/>
      <c r="H777" s="116"/>
      <c r="I777" s="26"/>
      <c r="J777" s="98"/>
      <c r="K777" s="36"/>
      <c r="L777" s="26"/>
      <c r="M777" s="26"/>
      <c r="N777" s="26"/>
      <c r="O777" s="93"/>
      <c r="P777" s="95"/>
      <c r="Q777" s="197"/>
    </row>
    <row r="778" spans="3:17" x14ac:dyDescent="0.25">
      <c r="C778" s="199"/>
      <c r="D778" s="112"/>
      <c r="E778" s="33"/>
      <c r="F778" s="105"/>
      <c r="H778" s="116"/>
      <c r="I778" s="26"/>
      <c r="J778" s="98"/>
      <c r="K778" s="36"/>
      <c r="L778" s="26"/>
      <c r="M778" s="26"/>
      <c r="N778" s="26"/>
      <c r="O778" s="93"/>
      <c r="P778" s="95"/>
      <c r="Q778" s="197"/>
    </row>
    <row r="779" spans="3:17" x14ac:dyDescent="0.25">
      <c r="C779" s="199"/>
      <c r="D779" s="112"/>
      <c r="E779" s="33"/>
      <c r="F779" s="105"/>
      <c r="H779" s="116"/>
      <c r="I779" s="26"/>
      <c r="J779" s="98"/>
      <c r="K779" s="36"/>
      <c r="L779" s="26"/>
      <c r="M779" s="26"/>
      <c r="N779" s="26"/>
      <c r="O779" s="93"/>
      <c r="P779" s="95"/>
      <c r="Q779" s="197"/>
    </row>
    <row r="780" spans="3:17" x14ac:dyDescent="0.25">
      <c r="C780" s="199"/>
      <c r="D780" s="112"/>
      <c r="E780" s="33"/>
      <c r="F780" s="105"/>
      <c r="H780" s="116"/>
      <c r="I780" s="26"/>
      <c r="J780" s="98"/>
      <c r="K780" s="36"/>
      <c r="L780" s="26"/>
      <c r="M780" s="26"/>
      <c r="N780" s="26"/>
      <c r="O780" s="93"/>
      <c r="P780" s="95"/>
      <c r="Q780" s="197"/>
    </row>
    <row r="781" spans="3:17" x14ac:dyDescent="0.25">
      <c r="C781" s="199"/>
      <c r="D781" s="112"/>
      <c r="E781" s="33"/>
      <c r="F781" s="105"/>
      <c r="H781" s="116"/>
      <c r="I781" s="26"/>
      <c r="J781" s="98"/>
      <c r="K781" s="36"/>
      <c r="L781" s="26"/>
      <c r="M781" s="26"/>
      <c r="N781" s="26"/>
      <c r="O781" s="93"/>
      <c r="P781" s="95"/>
      <c r="Q781" s="197"/>
    </row>
    <row r="782" spans="3:17" x14ac:dyDescent="0.25">
      <c r="C782" s="199"/>
      <c r="D782" s="112"/>
      <c r="E782" s="33"/>
      <c r="F782" s="105"/>
      <c r="H782" s="116"/>
      <c r="I782" s="26"/>
      <c r="J782" s="98"/>
      <c r="K782" s="36"/>
      <c r="L782" s="26"/>
      <c r="M782" s="26"/>
      <c r="N782" s="26"/>
      <c r="O782" s="93"/>
      <c r="P782" s="95"/>
      <c r="Q782" s="197"/>
    </row>
    <row r="783" spans="3:17" x14ac:dyDescent="0.25">
      <c r="C783" s="199"/>
      <c r="D783" s="112"/>
      <c r="E783" s="33"/>
      <c r="F783" s="105"/>
      <c r="H783" s="116"/>
      <c r="I783" s="26"/>
      <c r="J783" s="98"/>
      <c r="K783" s="36"/>
      <c r="L783" s="26"/>
      <c r="M783" s="26"/>
      <c r="N783" s="26"/>
      <c r="O783" s="93"/>
      <c r="P783" s="95"/>
      <c r="Q783" s="197"/>
    </row>
    <row r="784" spans="3:17" x14ac:dyDescent="0.25">
      <c r="C784" s="199"/>
      <c r="D784" s="112"/>
      <c r="E784" s="33"/>
      <c r="F784" s="105"/>
      <c r="H784" s="116"/>
      <c r="I784" s="26"/>
      <c r="J784" s="98"/>
      <c r="K784" s="36"/>
      <c r="L784" s="26"/>
      <c r="M784" s="26"/>
      <c r="N784" s="26"/>
      <c r="O784" s="93"/>
      <c r="P784" s="95"/>
      <c r="Q784" s="197"/>
    </row>
    <row r="785" spans="3:17" x14ac:dyDescent="0.25">
      <c r="C785" s="199"/>
      <c r="D785" s="112"/>
      <c r="E785" s="33"/>
      <c r="F785" s="105"/>
      <c r="H785" s="116"/>
      <c r="I785" s="26"/>
      <c r="J785" s="98"/>
      <c r="K785" s="36"/>
      <c r="L785" s="26"/>
      <c r="M785" s="26"/>
      <c r="N785" s="26"/>
      <c r="O785" s="93"/>
      <c r="P785" s="95"/>
      <c r="Q785" s="197"/>
    </row>
    <row r="786" spans="3:17" x14ac:dyDescent="0.25">
      <c r="C786" s="199"/>
      <c r="D786" s="112"/>
      <c r="E786" s="33"/>
      <c r="F786" s="105"/>
      <c r="H786" s="116"/>
      <c r="I786" s="26"/>
      <c r="J786" s="98"/>
      <c r="K786" s="36"/>
      <c r="L786" s="26"/>
      <c r="M786" s="26"/>
      <c r="N786" s="26"/>
      <c r="O786" s="93"/>
      <c r="P786" s="95"/>
      <c r="Q786" s="197"/>
    </row>
    <row r="787" spans="3:17" x14ac:dyDescent="0.25">
      <c r="C787" s="199"/>
      <c r="D787" s="112"/>
      <c r="E787" s="33"/>
      <c r="F787" s="105"/>
      <c r="H787" s="116"/>
      <c r="I787" s="26"/>
      <c r="J787" s="98"/>
      <c r="K787" s="36"/>
      <c r="L787" s="26"/>
      <c r="M787" s="26"/>
      <c r="N787" s="26"/>
      <c r="O787" s="93"/>
      <c r="P787" s="95"/>
      <c r="Q787" s="197"/>
    </row>
    <row r="788" spans="3:17" x14ac:dyDescent="0.25">
      <c r="C788" s="199"/>
      <c r="D788" s="112"/>
      <c r="E788" s="33"/>
      <c r="F788" s="105"/>
      <c r="H788" s="116"/>
      <c r="I788" s="26"/>
      <c r="J788" s="98"/>
      <c r="K788" s="36"/>
      <c r="L788" s="26"/>
      <c r="M788" s="26"/>
      <c r="N788" s="26"/>
      <c r="O788" s="93"/>
      <c r="P788" s="95"/>
      <c r="Q788" s="197"/>
    </row>
    <row r="789" spans="3:17" x14ac:dyDescent="0.25">
      <c r="C789" s="199"/>
      <c r="D789" s="112"/>
      <c r="E789" s="33"/>
      <c r="F789" s="105"/>
      <c r="H789" s="116"/>
      <c r="I789" s="26"/>
      <c r="J789" s="98"/>
      <c r="K789" s="36"/>
      <c r="L789" s="26"/>
      <c r="M789" s="26"/>
      <c r="N789" s="26"/>
      <c r="O789" s="93"/>
      <c r="P789" s="95"/>
      <c r="Q789" s="197"/>
    </row>
    <row r="790" spans="3:17" x14ac:dyDescent="0.25">
      <c r="C790" s="199"/>
      <c r="D790" s="112"/>
      <c r="E790" s="33"/>
      <c r="F790" s="105"/>
      <c r="H790" s="116"/>
      <c r="I790" s="26"/>
      <c r="J790" s="98"/>
      <c r="K790" s="36"/>
      <c r="L790" s="26"/>
      <c r="M790" s="26"/>
      <c r="N790" s="26"/>
      <c r="O790" s="93"/>
      <c r="P790" s="95"/>
      <c r="Q790" s="197"/>
    </row>
    <row r="791" spans="3:17" x14ac:dyDescent="0.25">
      <c r="C791" s="199"/>
      <c r="D791" s="112"/>
      <c r="E791" s="33"/>
      <c r="F791" s="105"/>
      <c r="H791" s="116"/>
      <c r="I791" s="26"/>
      <c r="J791" s="98"/>
      <c r="K791" s="36"/>
      <c r="L791" s="26"/>
      <c r="M791" s="26"/>
      <c r="N791" s="26"/>
      <c r="O791" s="93"/>
      <c r="P791" s="95"/>
      <c r="Q791" s="197"/>
    </row>
    <row r="792" spans="3:17" x14ac:dyDescent="0.25">
      <c r="C792" s="199"/>
      <c r="D792" s="112"/>
      <c r="E792" s="33"/>
      <c r="F792" s="105"/>
      <c r="H792" s="116"/>
      <c r="I792" s="26"/>
      <c r="J792" s="98"/>
      <c r="K792" s="36"/>
      <c r="L792" s="26"/>
      <c r="M792" s="26"/>
      <c r="N792" s="26"/>
      <c r="O792" s="93"/>
      <c r="P792" s="95"/>
      <c r="Q792" s="197"/>
    </row>
    <row r="793" spans="3:17" x14ac:dyDescent="0.25">
      <c r="C793" s="199"/>
      <c r="D793" s="112"/>
      <c r="E793" s="33"/>
      <c r="F793" s="105"/>
      <c r="H793" s="116"/>
      <c r="I793" s="26"/>
      <c r="J793" s="98"/>
      <c r="K793" s="36"/>
      <c r="L793" s="26"/>
      <c r="M793" s="26"/>
      <c r="N793" s="26"/>
      <c r="O793" s="93"/>
      <c r="P793" s="95"/>
      <c r="Q793" s="197"/>
    </row>
    <row r="794" spans="3:17" x14ac:dyDescent="0.25">
      <c r="C794" s="199"/>
      <c r="D794" s="112"/>
      <c r="E794" s="33"/>
      <c r="F794" s="105"/>
      <c r="H794" s="116"/>
      <c r="I794" s="26"/>
      <c r="J794" s="98"/>
      <c r="K794" s="36"/>
      <c r="L794" s="26"/>
      <c r="M794" s="26"/>
      <c r="N794" s="26"/>
      <c r="O794" s="93"/>
      <c r="P794" s="95"/>
      <c r="Q794" s="197"/>
    </row>
    <row r="795" spans="3:17" x14ac:dyDescent="0.25">
      <c r="C795" s="199"/>
      <c r="D795" s="112"/>
      <c r="E795" s="33"/>
      <c r="F795" s="105"/>
      <c r="H795" s="116"/>
      <c r="I795" s="26"/>
      <c r="J795" s="98"/>
      <c r="K795" s="36"/>
      <c r="L795" s="26"/>
      <c r="M795" s="26"/>
      <c r="N795" s="26"/>
      <c r="O795" s="93"/>
      <c r="P795" s="95"/>
      <c r="Q795" s="197"/>
    </row>
    <row r="796" spans="3:17" x14ac:dyDescent="0.25">
      <c r="C796" s="199"/>
      <c r="D796" s="112"/>
      <c r="E796" s="33"/>
      <c r="F796" s="105"/>
      <c r="H796" s="116"/>
      <c r="I796" s="26"/>
      <c r="J796" s="98"/>
      <c r="K796" s="36"/>
      <c r="L796" s="26"/>
      <c r="M796" s="26"/>
      <c r="N796" s="26"/>
      <c r="O796" s="93"/>
      <c r="P796" s="95"/>
      <c r="Q796" s="197"/>
    </row>
    <row r="797" spans="3:17" x14ac:dyDescent="0.25">
      <c r="C797" s="199"/>
      <c r="D797" s="112"/>
      <c r="E797" s="33"/>
      <c r="F797" s="105"/>
      <c r="H797" s="116"/>
      <c r="I797" s="26"/>
      <c r="J797" s="98"/>
      <c r="K797" s="36"/>
      <c r="L797" s="26"/>
      <c r="M797" s="26"/>
      <c r="N797" s="26"/>
      <c r="O797" s="93"/>
      <c r="P797" s="95"/>
      <c r="Q797" s="197"/>
    </row>
    <row r="798" spans="3:17" x14ac:dyDescent="0.25">
      <c r="C798" s="199"/>
      <c r="D798" s="112"/>
      <c r="E798" s="33"/>
      <c r="F798" s="105"/>
      <c r="H798" s="116"/>
      <c r="I798" s="26"/>
      <c r="J798" s="98"/>
      <c r="K798" s="36"/>
      <c r="L798" s="26"/>
      <c r="M798" s="26"/>
      <c r="N798" s="26"/>
      <c r="O798" s="93"/>
      <c r="P798" s="95"/>
      <c r="Q798" s="197"/>
    </row>
    <row r="799" spans="3:17" x14ac:dyDescent="0.25">
      <c r="C799" s="199"/>
      <c r="D799" s="112"/>
      <c r="E799" s="33"/>
      <c r="F799" s="105"/>
      <c r="H799" s="116"/>
      <c r="I799" s="26"/>
      <c r="J799" s="98"/>
      <c r="K799" s="36"/>
      <c r="L799" s="26"/>
      <c r="M799" s="26"/>
      <c r="N799" s="26"/>
      <c r="O799" s="93"/>
      <c r="P799" s="95"/>
      <c r="Q799" s="197"/>
    </row>
    <row r="800" spans="3:17" x14ac:dyDescent="0.25">
      <c r="C800" s="199"/>
      <c r="D800" s="112"/>
      <c r="E800" s="33"/>
      <c r="F800" s="105"/>
      <c r="H800" s="116"/>
      <c r="I800" s="26"/>
      <c r="J800" s="98"/>
      <c r="K800" s="36"/>
      <c r="L800" s="26"/>
      <c r="M800" s="26"/>
      <c r="N800" s="26"/>
      <c r="O800" s="93"/>
      <c r="P800" s="95"/>
      <c r="Q800" s="197"/>
    </row>
    <row r="801" spans="3:17" x14ac:dyDescent="0.25">
      <c r="C801" s="199"/>
      <c r="D801" s="112"/>
      <c r="E801" s="33"/>
      <c r="F801" s="105"/>
      <c r="H801" s="116"/>
      <c r="I801" s="26"/>
      <c r="J801" s="98"/>
      <c r="K801" s="36"/>
      <c r="L801" s="26"/>
      <c r="M801" s="26"/>
      <c r="N801" s="26"/>
      <c r="O801" s="93"/>
      <c r="P801" s="95"/>
      <c r="Q801" s="197"/>
    </row>
    <row r="802" spans="3:17" x14ac:dyDescent="0.25">
      <c r="C802" s="199"/>
      <c r="D802" s="112"/>
      <c r="E802" s="33"/>
      <c r="F802" s="105"/>
      <c r="H802" s="116"/>
      <c r="I802" s="26"/>
      <c r="J802" s="98"/>
      <c r="K802" s="36"/>
      <c r="L802" s="26"/>
      <c r="M802" s="26"/>
      <c r="N802" s="26"/>
      <c r="O802" s="93"/>
      <c r="P802" s="95"/>
      <c r="Q802" s="197"/>
    </row>
    <row r="803" spans="3:17" x14ac:dyDescent="0.25">
      <c r="C803" s="199"/>
      <c r="D803" s="112"/>
      <c r="E803" s="33"/>
      <c r="F803" s="105"/>
      <c r="H803" s="116"/>
      <c r="I803" s="26"/>
      <c r="J803" s="98"/>
      <c r="K803" s="36"/>
      <c r="L803" s="26"/>
      <c r="M803" s="26"/>
      <c r="N803" s="26"/>
      <c r="O803" s="93"/>
      <c r="P803" s="95"/>
      <c r="Q803" s="197"/>
    </row>
    <row r="804" spans="3:17" x14ac:dyDescent="0.25">
      <c r="C804" s="199"/>
      <c r="D804" s="112"/>
      <c r="E804" s="33"/>
      <c r="F804" s="105"/>
      <c r="H804" s="116"/>
      <c r="I804" s="26"/>
      <c r="J804" s="98"/>
      <c r="K804" s="36"/>
      <c r="L804" s="26"/>
      <c r="M804" s="26"/>
      <c r="N804" s="26"/>
      <c r="O804" s="93"/>
      <c r="P804" s="95"/>
      <c r="Q804" s="197"/>
    </row>
    <row r="805" spans="3:17" x14ac:dyDescent="0.25">
      <c r="C805" s="199"/>
      <c r="D805" s="112"/>
      <c r="E805" s="33"/>
      <c r="F805" s="105"/>
      <c r="H805" s="116"/>
      <c r="I805" s="26"/>
      <c r="J805" s="98"/>
      <c r="K805" s="36"/>
      <c r="L805" s="26"/>
      <c r="M805" s="26"/>
      <c r="N805" s="26"/>
      <c r="O805" s="93"/>
      <c r="P805" s="95"/>
      <c r="Q805" s="197"/>
    </row>
    <row r="806" spans="3:17" x14ac:dyDescent="0.25">
      <c r="C806" s="199"/>
      <c r="D806" s="112"/>
      <c r="E806" s="33"/>
      <c r="F806" s="105"/>
      <c r="H806" s="116"/>
      <c r="I806" s="26"/>
      <c r="J806" s="98"/>
      <c r="K806" s="36"/>
      <c r="L806" s="26"/>
      <c r="M806" s="26"/>
      <c r="N806" s="26"/>
      <c r="O806" s="93"/>
      <c r="P806" s="95"/>
      <c r="Q806" s="197"/>
    </row>
    <row r="807" spans="3:17" x14ac:dyDescent="0.25">
      <c r="C807" s="199"/>
      <c r="D807" s="112"/>
      <c r="E807" s="33"/>
      <c r="F807" s="105"/>
      <c r="H807" s="116"/>
      <c r="I807" s="26"/>
      <c r="J807" s="98"/>
      <c r="K807" s="36"/>
      <c r="L807" s="26"/>
      <c r="M807" s="26"/>
      <c r="N807" s="26"/>
      <c r="O807" s="93"/>
      <c r="P807" s="95"/>
      <c r="Q807" s="197"/>
    </row>
    <row r="808" spans="3:17" x14ac:dyDescent="0.25">
      <c r="C808" s="199"/>
      <c r="D808" s="112"/>
      <c r="E808" s="33"/>
      <c r="F808" s="105"/>
      <c r="H808" s="116"/>
      <c r="I808" s="26"/>
      <c r="J808" s="98"/>
      <c r="K808" s="36"/>
      <c r="L808" s="26"/>
      <c r="M808" s="26"/>
      <c r="N808" s="26"/>
      <c r="O808" s="93"/>
      <c r="P808" s="95"/>
      <c r="Q808" s="197"/>
    </row>
    <row r="809" spans="3:17" x14ac:dyDescent="0.25">
      <c r="C809" s="199"/>
      <c r="D809" s="112"/>
      <c r="E809" s="33"/>
      <c r="F809" s="105"/>
      <c r="H809" s="116"/>
      <c r="I809" s="26"/>
      <c r="J809" s="98"/>
      <c r="K809" s="36"/>
      <c r="L809" s="26"/>
      <c r="M809" s="26"/>
      <c r="N809" s="26"/>
      <c r="O809" s="93"/>
      <c r="P809" s="95"/>
      <c r="Q809" s="197"/>
    </row>
    <row r="810" spans="3:17" x14ac:dyDescent="0.25">
      <c r="C810" s="199"/>
      <c r="D810" s="112"/>
      <c r="E810" s="33"/>
      <c r="F810" s="105"/>
      <c r="H810" s="116"/>
      <c r="I810" s="26"/>
      <c r="J810" s="98"/>
      <c r="K810" s="36"/>
      <c r="L810" s="26"/>
      <c r="M810" s="26"/>
      <c r="N810" s="26"/>
      <c r="O810" s="93"/>
      <c r="P810" s="95"/>
      <c r="Q810" s="197"/>
    </row>
    <row r="811" spans="3:17" x14ac:dyDescent="0.25">
      <c r="C811" s="199"/>
      <c r="D811" s="112"/>
      <c r="E811" s="33"/>
      <c r="F811" s="105"/>
      <c r="H811" s="116"/>
      <c r="I811" s="26"/>
      <c r="J811" s="98"/>
      <c r="K811" s="36"/>
      <c r="L811" s="26"/>
      <c r="M811" s="26"/>
      <c r="N811" s="26"/>
      <c r="O811" s="93"/>
      <c r="P811" s="95"/>
      <c r="Q811" s="197"/>
    </row>
    <row r="812" spans="3:17" x14ac:dyDescent="0.25">
      <c r="C812" s="199"/>
      <c r="D812" s="112"/>
      <c r="E812" s="33"/>
      <c r="F812" s="105"/>
      <c r="H812" s="116"/>
      <c r="I812" s="26"/>
      <c r="J812" s="98"/>
      <c r="K812" s="36"/>
      <c r="L812" s="26"/>
      <c r="M812" s="26"/>
      <c r="N812" s="26"/>
      <c r="O812" s="93"/>
      <c r="P812" s="95"/>
      <c r="Q812" s="197"/>
    </row>
    <row r="813" spans="3:17" x14ac:dyDescent="0.25">
      <c r="C813" s="199"/>
      <c r="D813" s="112"/>
      <c r="E813" s="33"/>
      <c r="F813" s="105"/>
      <c r="H813" s="116"/>
      <c r="I813" s="26"/>
      <c r="J813" s="98"/>
      <c r="K813" s="36"/>
      <c r="L813" s="26"/>
      <c r="M813" s="26"/>
      <c r="N813" s="26"/>
      <c r="O813" s="93"/>
      <c r="P813" s="95"/>
      <c r="Q813" s="197"/>
    </row>
    <row r="814" spans="3:17" x14ac:dyDescent="0.25">
      <c r="C814" s="199"/>
      <c r="D814" s="112"/>
      <c r="E814" s="33"/>
      <c r="F814" s="105"/>
      <c r="H814" s="116"/>
      <c r="I814" s="26"/>
      <c r="J814" s="98"/>
      <c r="K814" s="36"/>
      <c r="L814" s="26"/>
      <c r="M814" s="26"/>
      <c r="N814" s="26"/>
      <c r="O814" s="93"/>
      <c r="P814" s="95"/>
      <c r="Q814" s="197"/>
    </row>
    <row r="815" spans="3:17" x14ac:dyDescent="0.25">
      <c r="C815" s="199"/>
      <c r="D815" s="112"/>
      <c r="E815" s="33"/>
      <c r="F815" s="105"/>
      <c r="H815" s="116"/>
      <c r="I815" s="26"/>
      <c r="J815" s="98"/>
      <c r="K815" s="36"/>
      <c r="L815" s="26"/>
      <c r="M815" s="26"/>
      <c r="N815" s="26"/>
      <c r="O815" s="93"/>
      <c r="P815" s="95"/>
      <c r="Q815" s="197"/>
    </row>
    <row r="816" spans="3:17" x14ac:dyDescent="0.25">
      <c r="C816" s="199"/>
      <c r="D816" s="112"/>
      <c r="E816" s="33"/>
      <c r="F816" s="105"/>
      <c r="H816" s="116"/>
      <c r="I816" s="26"/>
      <c r="J816" s="98"/>
      <c r="K816" s="36"/>
      <c r="L816" s="26"/>
      <c r="M816" s="26"/>
      <c r="N816" s="26"/>
      <c r="O816" s="93"/>
      <c r="P816" s="95"/>
      <c r="Q816" s="197"/>
    </row>
    <row r="817" spans="3:17" x14ac:dyDescent="0.25">
      <c r="C817" s="199"/>
      <c r="D817" s="112"/>
      <c r="E817" s="33"/>
      <c r="F817" s="105"/>
      <c r="H817" s="116"/>
      <c r="I817" s="26"/>
      <c r="J817" s="98"/>
      <c r="K817" s="36"/>
      <c r="L817" s="26"/>
      <c r="M817" s="26"/>
      <c r="N817" s="26"/>
      <c r="O817" s="93"/>
      <c r="P817" s="95"/>
      <c r="Q817" s="197"/>
    </row>
    <row r="818" spans="3:17" x14ac:dyDescent="0.25">
      <c r="C818" s="199"/>
      <c r="D818" s="112"/>
      <c r="E818" s="33"/>
      <c r="F818" s="105"/>
      <c r="H818" s="116"/>
      <c r="I818" s="26"/>
      <c r="J818" s="98"/>
      <c r="K818" s="36"/>
      <c r="L818" s="26"/>
      <c r="M818" s="26"/>
      <c r="N818" s="26"/>
      <c r="O818" s="93"/>
      <c r="P818" s="95"/>
      <c r="Q818" s="197"/>
    </row>
    <row r="819" spans="3:17" x14ac:dyDescent="0.25">
      <c r="C819" s="199"/>
      <c r="D819" s="112"/>
      <c r="E819" s="33"/>
      <c r="F819" s="105"/>
      <c r="H819" s="116"/>
      <c r="I819" s="26"/>
      <c r="J819" s="98"/>
      <c r="K819" s="36"/>
      <c r="L819" s="26"/>
      <c r="M819" s="26"/>
      <c r="N819" s="26"/>
      <c r="O819" s="93"/>
      <c r="P819" s="95"/>
      <c r="Q819" s="197"/>
    </row>
    <row r="820" spans="3:17" x14ac:dyDescent="0.25">
      <c r="C820" s="199"/>
      <c r="D820" s="112"/>
      <c r="E820" s="33"/>
      <c r="F820" s="105"/>
      <c r="H820" s="116"/>
      <c r="I820" s="26"/>
      <c r="J820" s="98"/>
      <c r="K820" s="36"/>
      <c r="L820" s="26"/>
      <c r="M820" s="26"/>
      <c r="N820" s="26"/>
      <c r="O820" s="93"/>
      <c r="P820" s="95"/>
      <c r="Q820" s="197"/>
    </row>
    <row r="821" spans="3:17" x14ac:dyDescent="0.25">
      <c r="C821" s="199"/>
      <c r="D821" s="112"/>
      <c r="E821" s="33"/>
      <c r="F821" s="105"/>
      <c r="H821" s="116"/>
      <c r="I821" s="26"/>
      <c r="J821" s="98"/>
      <c r="K821" s="36"/>
      <c r="L821" s="26"/>
      <c r="M821" s="26"/>
      <c r="N821" s="26"/>
      <c r="O821" s="93"/>
      <c r="P821" s="95"/>
      <c r="Q821" s="197"/>
    </row>
    <row r="822" spans="3:17" x14ac:dyDescent="0.25">
      <c r="C822" s="199"/>
      <c r="D822" s="112"/>
      <c r="E822" s="33"/>
      <c r="F822" s="105"/>
      <c r="H822" s="116"/>
      <c r="I822" s="26"/>
      <c r="J822" s="98"/>
      <c r="K822" s="36"/>
      <c r="L822" s="26"/>
      <c r="M822" s="26"/>
      <c r="N822" s="26"/>
      <c r="O822" s="93"/>
      <c r="P822" s="95"/>
      <c r="Q822" s="197"/>
    </row>
    <row r="823" spans="3:17" x14ac:dyDescent="0.25">
      <c r="C823" s="199"/>
      <c r="D823" s="112"/>
      <c r="E823" s="33"/>
      <c r="F823" s="105"/>
      <c r="H823" s="116"/>
      <c r="I823" s="26"/>
      <c r="J823" s="98"/>
      <c r="K823" s="36"/>
      <c r="L823" s="26"/>
      <c r="M823" s="26"/>
      <c r="N823" s="26"/>
      <c r="O823" s="93"/>
      <c r="P823" s="95"/>
      <c r="Q823" s="197"/>
    </row>
    <row r="824" spans="3:17" x14ac:dyDescent="0.25">
      <c r="C824" s="199"/>
      <c r="D824" s="112"/>
      <c r="E824" s="33"/>
      <c r="F824" s="105"/>
      <c r="H824" s="116"/>
      <c r="I824" s="26"/>
      <c r="J824" s="98"/>
      <c r="K824" s="36"/>
      <c r="L824" s="26"/>
      <c r="M824" s="26"/>
      <c r="N824" s="26"/>
      <c r="O824" s="93"/>
      <c r="P824" s="95"/>
      <c r="Q824" s="197"/>
    </row>
    <row r="825" spans="3:17" x14ac:dyDescent="0.25">
      <c r="C825" s="199"/>
      <c r="D825" s="112"/>
      <c r="E825" s="33"/>
      <c r="F825" s="105"/>
      <c r="H825" s="116"/>
      <c r="I825" s="26"/>
      <c r="J825" s="98"/>
      <c r="K825" s="36"/>
      <c r="L825" s="26"/>
      <c r="M825" s="26"/>
      <c r="N825" s="26"/>
      <c r="O825" s="93"/>
      <c r="P825" s="95"/>
      <c r="Q825" s="197"/>
    </row>
    <row r="826" spans="3:17" x14ac:dyDescent="0.25">
      <c r="C826" s="199"/>
      <c r="D826" s="112"/>
      <c r="E826" s="33"/>
      <c r="F826" s="105"/>
      <c r="H826" s="116"/>
      <c r="I826" s="26"/>
      <c r="J826" s="98"/>
      <c r="K826" s="36"/>
      <c r="L826" s="26"/>
      <c r="M826" s="26"/>
      <c r="N826" s="26"/>
      <c r="O826" s="93"/>
      <c r="P826" s="95"/>
      <c r="Q826" s="197"/>
    </row>
    <row r="827" spans="3:17" x14ac:dyDescent="0.25">
      <c r="C827" s="199"/>
      <c r="D827" s="112"/>
      <c r="E827" s="33"/>
      <c r="F827" s="105"/>
      <c r="H827" s="116"/>
      <c r="I827" s="26"/>
      <c r="J827" s="98"/>
      <c r="K827" s="36"/>
      <c r="L827" s="26"/>
      <c r="M827" s="26"/>
      <c r="N827" s="26"/>
      <c r="O827" s="93"/>
      <c r="P827" s="95"/>
      <c r="Q827" s="197"/>
    </row>
    <row r="828" spans="3:17" x14ac:dyDescent="0.25">
      <c r="C828" s="199"/>
      <c r="D828" s="112"/>
      <c r="E828" s="33"/>
      <c r="F828" s="105"/>
      <c r="H828" s="116"/>
      <c r="I828" s="26"/>
      <c r="J828" s="98"/>
      <c r="K828" s="36"/>
      <c r="L828" s="26"/>
      <c r="M828" s="26"/>
      <c r="N828" s="26"/>
      <c r="O828" s="93"/>
      <c r="P828" s="95"/>
      <c r="Q828" s="197"/>
    </row>
    <row r="829" spans="3:17" x14ac:dyDescent="0.25">
      <c r="C829" s="199"/>
      <c r="D829" s="112"/>
      <c r="E829" s="33"/>
      <c r="F829" s="105"/>
      <c r="H829" s="116"/>
      <c r="I829" s="26"/>
      <c r="J829" s="98"/>
      <c r="K829" s="36"/>
      <c r="L829" s="26"/>
      <c r="M829" s="26"/>
      <c r="N829" s="26"/>
      <c r="O829" s="93"/>
      <c r="P829" s="95"/>
      <c r="Q829" s="197"/>
    </row>
    <row r="830" spans="3:17" x14ac:dyDescent="0.25">
      <c r="C830" s="199"/>
      <c r="D830" s="112"/>
      <c r="E830" s="33"/>
      <c r="F830" s="105"/>
      <c r="H830" s="116"/>
      <c r="I830" s="26"/>
      <c r="J830" s="98"/>
      <c r="K830" s="36"/>
      <c r="L830" s="26"/>
      <c r="M830" s="26"/>
      <c r="N830" s="26"/>
      <c r="O830" s="93"/>
      <c r="P830" s="95"/>
      <c r="Q830" s="197"/>
    </row>
    <row r="831" spans="3:17" x14ac:dyDescent="0.25">
      <c r="C831" s="199"/>
      <c r="D831" s="112"/>
      <c r="E831" s="33"/>
      <c r="F831" s="105"/>
      <c r="H831" s="116"/>
      <c r="I831" s="26"/>
      <c r="J831" s="98"/>
      <c r="K831" s="36"/>
      <c r="L831" s="26"/>
      <c r="M831" s="26"/>
      <c r="N831" s="26"/>
      <c r="O831" s="93"/>
      <c r="P831" s="95"/>
      <c r="Q831" s="197"/>
    </row>
    <row r="832" spans="3:17" x14ac:dyDescent="0.25">
      <c r="C832" s="199"/>
      <c r="D832" s="112"/>
      <c r="E832" s="33"/>
      <c r="F832" s="105"/>
      <c r="H832" s="116"/>
      <c r="I832" s="26"/>
      <c r="J832" s="98"/>
      <c r="K832" s="36"/>
      <c r="L832" s="26"/>
      <c r="M832" s="26"/>
      <c r="N832" s="26"/>
      <c r="O832" s="93"/>
      <c r="P832" s="95"/>
      <c r="Q832" s="197"/>
    </row>
    <row r="833" spans="3:17" x14ac:dyDescent="0.25">
      <c r="C833" s="199"/>
      <c r="D833" s="112"/>
      <c r="E833" s="33"/>
      <c r="F833" s="105"/>
      <c r="H833" s="116"/>
      <c r="I833" s="26"/>
      <c r="J833" s="98"/>
      <c r="K833" s="36"/>
      <c r="L833" s="26"/>
      <c r="M833" s="26"/>
      <c r="N833" s="26"/>
      <c r="O833" s="93"/>
      <c r="P833" s="95"/>
      <c r="Q833" s="197"/>
    </row>
    <row r="834" spans="3:17" x14ac:dyDescent="0.25">
      <c r="C834" s="199"/>
      <c r="D834" s="112"/>
      <c r="E834" s="33"/>
      <c r="F834" s="105"/>
      <c r="H834" s="116"/>
      <c r="I834" s="26"/>
      <c r="J834" s="98"/>
      <c r="K834" s="36"/>
      <c r="L834" s="26"/>
      <c r="M834" s="26"/>
      <c r="N834" s="26"/>
      <c r="O834" s="93"/>
      <c r="P834" s="95"/>
      <c r="Q834" s="197"/>
    </row>
    <row r="835" spans="3:17" x14ac:dyDescent="0.25">
      <c r="C835" s="199"/>
      <c r="D835" s="112"/>
      <c r="E835" s="33"/>
      <c r="F835" s="105"/>
      <c r="H835" s="116"/>
      <c r="I835" s="26"/>
      <c r="J835" s="98"/>
      <c r="K835" s="36"/>
      <c r="L835" s="26"/>
      <c r="M835" s="26"/>
      <c r="N835" s="26"/>
      <c r="O835" s="93"/>
      <c r="P835" s="95"/>
      <c r="Q835" s="197"/>
    </row>
    <row r="836" spans="3:17" x14ac:dyDescent="0.25">
      <c r="C836" s="199"/>
      <c r="D836" s="112"/>
      <c r="E836" s="33"/>
      <c r="F836" s="105"/>
      <c r="H836" s="116"/>
      <c r="I836" s="26"/>
      <c r="J836" s="98"/>
      <c r="K836" s="36"/>
      <c r="L836" s="26"/>
      <c r="M836" s="26"/>
      <c r="N836" s="26"/>
      <c r="O836" s="93"/>
      <c r="P836" s="95"/>
      <c r="Q836" s="197"/>
    </row>
    <row r="837" spans="3:17" x14ac:dyDescent="0.25">
      <c r="C837" s="199"/>
      <c r="D837" s="112"/>
      <c r="E837" s="33"/>
      <c r="F837" s="105"/>
      <c r="H837" s="116"/>
      <c r="I837" s="26"/>
      <c r="J837" s="98"/>
      <c r="K837" s="36"/>
      <c r="L837" s="26"/>
      <c r="M837" s="26"/>
      <c r="N837" s="26"/>
      <c r="O837" s="93"/>
      <c r="P837" s="95"/>
      <c r="Q837" s="197"/>
    </row>
    <row r="838" spans="3:17" x14ac:dyDescent="0.25">
      <c r="C838" s="199"/>
      <c r="D838" s="112"/>
      <c r="E838" s="33"/>
      <c r="F838" s="105"/>
      <c r="H838" s="116"/>
      <c r="I838" s="26"/>
      <c r="J838" s="98"/>
      <c r="K838" s="36"/>
      <c r="L838" s="26"/>
      <c r="M838" s="26"/>
      <c r="N838" s="26"/>
      <c r="O838" s="93"/>
      <c r="P838" s="95"/>
      <c r="Q838" s="197"/>
    </row>
    <row r="839" spans="3:17" x14ac:dyDescent="0.25">
      <c r="C839" s="199"/>
      <c r="D839" s="112"/>
      <c r="E839" s="33"/>
      <c r="F839" s="105"/>
      <c r="H839" s="116"/>
      <c r="I839" s="26"/>
      <c r="J839" s="98"/>
      <c r="K839" s="36"/>
      <c r="L839" s="26"/>
      <c r="M839" s="26"/>
      <c r="N839" s="26"/>
      <c r="O839" s="93"/>
      <c r="P839" s="95"/>
      <c r="Q839" s="197"/>
    </row>
    <row r="840" spans="3:17" x14ac:dyDescent="0.25">
      <c r="C840" s="199"/>
      <c r="D840" s="112"/>
      <c r="E840" s="33"/>
      <c r="F840" s="105"/>
      <c r="H840" s="116"/>
      <c r="I840" s="26"/>
      <c r="J840" s="98"/>
      <c r="K840" s="36"/>
      <c r="L840" s="26"/>
      <c r="M840" s="26"/>
      <c r="N840" s="26"/>
      <c r="O840" s="93"/>
      <c r="P840" s="95"/>
      <c r="Q840" s="197"/>
    </row>
    <row r="841" spans="3:17" x14ac:dyDescent="0.25">
      <c r="C841" s="199"/>
      <c r="D841" s="112"/>
      <c r="E841" s="33"/>
      <c r="F841" s="105"/>
      <c r="H841" s="116"/>
      <c r="I841" s="26"/>
      <c r="J841" s="98"/>
      <c r="K841" s="36"/>
      <c r="L841" s="26"/>
      <c r="M841" s="26"/>
      <c r="N841" s="26"/>
      <c r="O841" s="93"/>
      <c r="P841" s="95"/>
      <c r="Q841" s="197"/>
    </row>
    <row r="842" spans="3:17" x14ac:dyDescent="0.25">
      <c r="C842" s="199"/>
      <c r="D842" s="112"/>
      <c r="E842" s="33"/>
      <c r="F842" s="105"/>
      <c r="H842" s="116"/>
      <c r="I842" s="26"/>
      <c r="J842" s="98"/>
      <c r="K842" s="36"/>
      <c r="L842" s="26"/>
      <c r="M842" s="26"/>
      <c r="N842" s="26"/>
      <c r="O842" s="93"/>
      <c r="P842" s="95"/>
      <c r="Q842" s="197"/>
    </row>
    <row r="843" spans="3:17" x14ac:dyDescent="0.25">
      <c r="C843" s="199"/>
      <c r="D843" s="112"/>
      <c r="E843" s="33"/>
      <c r="F843" s="105"/>
      <c r="H843" s="116"/>
      <c r="I843" s="26"/>
      <c r="J843" s="98"/>
      <c r="K843" s="36"/>
      <c r="L843" s="26"/>
      <c r="M843" s="26"/>
      <c r="N843" s="26"/>
      <c r="O843" s="93"/>
      <c r="P843" s="95"/>
      <c r="Q843" s="197"/>
    </row>
    <row r="844" spans="3:17" x14ac:dyDescent="0.25">
      <c r="C844" s="199"/>
      <c r="D844" s="112"/>
      <c r="E844" s="33"/>
      <c r="F844" s="105"/>
      <c r="H844" s="116"/>
      <c r="I844" s="26"/>
      <c r="J844" s="98"/>
      <c r="K844" s="36"/>
      <c r="L844" s="26"/>
      <c r="M844" s="26"/>
      <c r="N844" s="26"/>
      <c r="O844" s="93"/>
      <c r="P844" s="95"/>
      <c r="Q844" s="197"/>
    </row>
    <row r="845" spans="3:17" x14ac:dyDescent="0.25">
      <c r="C845" s="199"/>
      <c r="D845" s="112"/>
      <c r="E845" s="33"/>
      <c r="F845" s="105"/>
      <c r="H845" s="116"/>
      <c r="I845" s="26"/>
      <c r="J845" s="98"/>
      <c r="K845" s="36"/>
      <c r="L845" s="26"/>
      <c r="M845" s="26"/>
      <c r="N845" s="26"/>
      <c r="O845" s="93"/>
      <c r="P845" s="95"/>
      <c r="Q845" s="197"/>
    </row>
    <row r="846" spans="3:17" x14ac:dyDescent="0.25">
      <c r="C846" s="199"/>
      <c r="D846" s="112"/>
      <c r="E846" s="33"/>
      <c r="F846" s="105"/>
      <c r="H846" s="116"/>
      <c r="I846" s="26"/>
      <c r="J846" s="98"/>
      <c r="K846" s="36"/>
      <c r="L846" s="26"/>
      <c r="M846" s="26"/>
      <c r="N846" s="26"/>
      <c r="O846" s="93"/>
      <c r="P846" s="95"/>
      <c r="Q846" s="197"/>
    </row>
    <row r="847" spans="3:17" x14ac:dyDescent="0.25">
      <c r="C847" s="199"/>
      <c r="D847" s="112"/>
      <c r="E847" s="33"/>
      <c r="F847" s="105"/>
      <c r="H847" s="116"/>
      <c r="I847" s="26"/>
      <c r="J847" s="98"/>
      <c r="K847" s="36"/>
      <c r="L847" s="26"/>
      <c r="M847" s="26"/>
      <c r="N847" s="26"/>
      <c r="O847" s="93"/>
      <c r="P847" s="95"/>
      <c r="Q847" s="197"/>
    </row>
    <row r="848" spans="3:17" x14ac:dyDescent="0.25">
      <c r="C848" s="199"/>
      <c r="D848" s="112"/>
      <c r="E848" s="33"/>
      <c r="F848" s="105"/>
      <c r="H848" s="116"/>
      <c r="I848" s="26"/>
      <c r="J848" s="98"/>
      <c r="K848" s="36"/>
      <c r="L848" s="26"/>
      <c r="M848" s="26"/>
      <c r="N848" s="26"/>
      <c r="O848" s="93"/>
      <c r="P848" s="95"/>
      <c r="Q848" s="197"/>
    </row>
    <row r="849" spans="3:17" x14ac:dyDescent="0.25">
      <c r="C849" s="199"/>
      <c r="D849" s="112"/>
      <c r="E849" s="33"/>
      <c r="F849" s="105"/>
      <c r="H849" s="116"/>
      <c r="I849" s="26"/>
      <c r="J849" s="98"/>
      <c r="K849" s="36"/>
      <c r="L849" s="26"/>
      <c r="M849" s="26"/>
      <c r="N849" s="26"/>
      <c r="O849" s="93"/>
      <c r="P849" s="95"/>
      <c r="Q849" s="197"/>
    </row>
    <row r="850" spans="3:17" x14ac:dyDescent="0.25">
      <c r="C850" s="199"/>
      <c r="D850" s="112"/>
      <c r="E850" s="33"/>
      <c r="F850" s="105"/>
      <c r="H850" s="116"/>
      <c r="I850" s="26"/>
      <c r="J850" s="98"/>
      <c r="K850" s="36"/>
      <c r="L850" s="26"/>
      <c r="M850" s="26"/>
      <c r="N850" s="26"/>
      <c r="O850" s="93"/>
      <c r="P850" s="95"/>
      <c r="Q850" s="197"/>
    </row>
    <row r="851" spans="3:17" x14ac:dyDescent="0.25">
      <c r="C851" s="199"/>
      <c r="D851" s="112"/>
      <c r="E851" s="33"/>
      <c r="F851" s="105"/>
      <c r="H851" s="116"/>
      <c r="I851" s="26"/>
      <c r="J851" s="98"/>
      <c r="K851" s="36"/>
      <c r="L851" s="26"/>
      <c r="M851" s="26"/>
      <c r="N851" s="26"/>
      <c r="O851" s="93"/>
      <c r="P851" s="95"/>
      <c r="Q851" s="197"/>
    </row>
    <row r="852" spans="3:17" x14ac:dyDescent="0.25">
      <c r="C852" s="199"/>
      <c r="D852" s="112"/>
      <c r="E852" s="33"/>
      <c r="F852" s="105"/>
      <c r="H852" s="116"/>
      <c r="I852" s="26"/>
      <c r="J852" s="98"/>
      <c r="K852" s="36"/>
      <c r="L852" s="26"/>
      <c r="M852" s="26"/>
      <c r="N852" s="26"/>
      <c r="O852" s="93"/>
      <c r="P852" s="95"/>
      <c r="Q852" s="197"/>
    </row>
    <row r="853" spans="3:17" x14ac:dyDescent="0.25">
      <c r="C853" s="199"/>
      <c r="D853" s="112"/>
      <c r="E853" s="33"/>
      <c r="F853" s="105"/>
      <c r="H853" s="116"/>
      <c r="I853" s="26"/>
      <c r="J853" s="98"/>
      <c r="K853" s="36"/>
      <c r="L853" s="26"/>
      <c r="M853" s="26"/>
      <c r="N853" s="26"/>
      <c r="O853" s="93"/>
      <c r="P853" s="95"/>
      <c r="Q853" s="197"/>
    </row>
    <row r="854" spans="3:17" x14ac:dyDescent="0.25">
      <c r="C854" s="199"/>
      <c r="D854" s="112"/>
      <c r="E854" s="33"/>
      <c r="F854" s="105"/>
      <c r="H854" s="116"/>
      <c r="I854" s="26"/>
      <c r="J854" s="98"/>
      <c r="K854" s="36"/>
      <c r="L854" s="26"/>
      <c r="M854" s="26"/>
      <c r="N854" s="26"/>
      <c r="O854" s="93"/>
      <c r="P854" s="95"/>
      <c r="Q854" s="197"/>
    </row>
    <row r="855" spans="3:17" x14ac:dyDescent="0.25">
      <c r="C855" s="199"/>
      <c r="D855" s="112"/>
      <c r="E855" s="33"/>
      <c r="F855" s="105"/>
      <c r="H855" s="116"/>
      <c r="I855" s="26"/>
      <c r="J855" s="98"/>
      <c r="K855" s="36"/>
      <c r="L855" s="26"/>
      <c r="M855" s="26"/>
      <c r="N855" s="26"/>
      <c r="O855" s="93"/>
      <c r="P855" s="95"/>
      <c r="Q855" s="197"/>
    </row>
    <row r="856" spans="3:17" x14ac:dyDescent="0.25">
      <c r="C856" s="199"/>
      <c r="D856" s="112"/>
      <c r="E856" s="33"/>
      <c r="F856" s="105"/>
      <c r="H856" s="116"/>
      <c r="I856" s="26"/>
      <c r="J856" s="98"/>
      <c r="K856" s="36"/>
      <c r="L856" s="26"/>
      <c r="M856" s="26"/>
      <c r="N856" s="26"/>
      <c r="O856" s="93"/>
      <c r="P856" s="95"/>
      <c r="Q856" s="197"/>
    </row>
    <row r="857" spans="3:17" x14ac:dyDescent="0.25">
      <c r="C857" s="199"/>
      <c r="D857" s="112"/>
      <c r="E857" s="33"/>
      <c r="F857" s="105"/>
      <c r="H857" s="116"/>
      <c r="I857" s="26"/>
      <c r="J857" s="98"/>
      <c r="K857" s="36"/>
      <c r="L857" s="26"/>
      <c r="M857" s="26"/>
      <c r="N857" s="26"/>
      <c r="O857" s="93"/>
      <c r="P857" s="95"/>
      <c r="Q857" s="197"/>
    </row>
    <row r="858" spans="3:17" x14ac:dyDescent="0.25">
      <c r="C858" s="199"/>
      <c r="D858" s="112"/>
      <c r="E858" s="33"/>
      <c r="F858" s="105"/>
      <c r="H858" s="116"/>
      <c r="I858" s="26"/>
      <c r="J858" s="98"/>
      <c r="K858" s="36"/>
      <c r="L858" s="26"/>
      <c r="M858" s="26"/>
      <c r="N858" s="26"/>
      <c r="O858" s="93"/>
      <c r="P858" s="95"/>
      <c r="Q858" s="197"/>
    </row>
    <row r="859" spans="3:17" x14ac:dyDescent="0.25">
      <c r="C859" s="199"/>
      <c r="D859" s="112"/>
      <c r="E859" s="33"/>
      <c r="F859" s="105"/>
      <c r="H859" s="116"/>
      <c r="I859" s="26"/>
      <c r="J859" s="98"/>
      <c r="K859" s="36"/>
      <c r="L859" s="26"/>
      <c r="M859" s="26"/>
      <c r="N859" s="26"/>
      <c r="O859" s="93"/>
      <c r="P859" s="95"/>
      <c r="Q859" s="197"/>
    </row>
    <row r="860" spans="3:17" x14ac:dyDescent="0.25">
      <c r="C860" s="199"/>
      <c r="D860" s="112"/>
      <c r="E860" s="33"/>
      <c r="F860" s="105"/>
      <c r="H860" s="116"/>
      <c r="I860" s="26"/>
      <c r="J860" s="98"/>
      <c r="K860" s="36"/>
      <c r="L860" s="26"/>
      <c r="M860" s="26"/>
      <c r="N860" s="26"/>
      <c r="O860" s="93"/>
      <c r="P860" s="95"/>
      <c r="Q860" s="197"/>
    </row>
    <row r="861" spans="3:17" x14ac:dyDescent="0.25">
      <c r="C861" s="199"/>
      <c r="D861" s="112"/>
      <c r="E861" s="33"/>
      <c r="F861" s="105"/>
      <c r="H861" s="116"/>
      <c r="I861" s="26"/>
      <c r="J861" s="98"/>
      <c r="K861" s="36"/>
      <c r="L861" s="26"/>
      <c r="M861" s="26"/>
      <c r="N861" s="26"/>
      <c r="O861" s="93"/>
      <c r="P861" s="95"/>
      <c r="Q861" s="197"/>
    </row>
    <row r="862" spans="3:17" x14ac:dyDescent="0.25">
      <c r="C862" s="199"/>
      <c r="D862" s="112"/>
      <c r="E862" s="33"/>
      <c r="F862" s="105"/>
      <c r="H862" s="116"/>
      <c r="I862" s="26"/>
      <c r="J862" s="98"/>
      <c r="K862" s="36"/>
      <c r="L862" s="26"/>
      <c r="M862" s="26"/>
      <c r="N862" s="26"/>
      <c r="O862" s="93"/>
      <c r="P862" s="95"/>
      <c r="Q862" s="197"/>
    </row>
    <row r="863" spans="3:17" x14ac:dyDescent="0.25">
      <c r="C863" s="199"/>
      <c r="D863" s="112"/>
      <c r="E863" s="33"/>
      <c r="F863" s="105"/>
      <c r="H863" s="116"/>
      <c r="I863" s="26"/>
      <c r="J863" s="98"/>
      <c r="K863" s="36"/>
      <c r="L863" s="26"/>
      <c r="M863" s="26"/>
      <c r="N863" s="26"/>
      <c r="O863" s="93"/>
      <c r="P863" s="95"/>
      <c r="Q863" s="197"/>
    </row>
    <row r="864" spans="3:17" x14ac:dyDescent="0.25">
      <c r="C864" s="199"/>
      <c r="D864" s="112"/>
      <c r="E864" s="33"/>
      <c r="F864" s="105"/>
      <c r="H864" s="116"/>
      <c r="I864" s="26"/>
      <c r="J864" s="98"/>
      <c r="K864" s="36"/>
      <c r="L864" s="26"/>
      <c r="M864" s="26"/>
      <c r="N864" s="26"/>
      <c r="O864" s="93"/>
      <c r="P864" s="95"/>
      <c r="Q864" s="197"/>
    </row>
    <row r="865" spans="3:17" x14ac:dyDescent="0.25">
      <c r="C865" s="199"/>
      <c r="D865" s="112"/>
      <c r="E865" s="33"/>
      <c r="F865" s="105"/>
      <c r="H865" s="116"/>
      <c r="I865" s="26"/>
      <c r="J865" s="98"/>
      <c r="K865" s="36"/>
      <c r="L865" s="26"/>
      <c r="M865" s="26"/>
      <c r="N865" s="26"/>
      <c r="O865" s="93"/>
      <c r="P865" s="95"/>
      <c r="Q865" s="197"/>
    </row>
    <row r="866" spans="3:17" x14ac:dyDescent="0.25">
      <c r="C866" s="199"/>
      <c r="D866" s="112"/>
      <c r="E866" s="33"/>
      <c r="F866" s="105"/>
      <c r="H866" s="116"/>
      <c r="I866" s="26"/>
      <c r="J866" s="98"/>
      <c r="K866" s="36"/>
      <c r="L866" s="26"/>
      <c r="M866" s="26"/>
      <c r="N866" s="26"/>
      <c r="O866" s="93"/>
      <c r="P866" s="95"/>
      <c r="Q866" s="197"/>
    </row>
    <row r="867" spans="3:17" x14ac:dyDescent="0.25">
      <c r="C867" s="199"/>
      <c r="D867" s="112"/>
      <c r="E867" s="33"/>
      <c r="F867" s="105"/>
      <c r="H867" s="116"/>
      <c r="I867" s="26"/>
      <c r="J867" s="98"/>
      <c r="K867" s="36"/>
      <c r="L867" s="26"/>
      <c r="M867" s="26"/>
      <c r="N867" s="26"/>
      <c r="O867" s="93"/>
      <c r="P867" s="95"/>
      <c r="Q867" s="197"/>
    </row>
    <row r="868" spans="3:17" x14ac:dyDescent="0.25">
      <c r="C868" s="199"/>
      <c r="D868" s="112"/>
      <c r="E868" s="33"/>
      <c r="F868" s="105"/>
      <c r="H868" s="116"/>
      <c r="I868" s="26"/>
      <c r="J868" s="98"/>
      <c r="K868" s="36"/>
      <c r="L868" s="26"/>
      <c r="M868" s="26"/>
      <c r="N868" s="26"/>
      <c r="O868" s="93"/>
      <c r="P868" s="95"/>
      <c r="Q868" s="197"/>
    </row>
    <row r="869" spans="3:17" x14ac:dyDescent="0.25">
      <c r="C869" s="199"/>
      <c r="D869" s="112"/>
      <c r="E869" s="33"/>
      <c r="F869" s="105"/>
      <c r="H869" s="116"/>
      <c r="I869" s="26"/>
      <c r="J869" s="98"/>
      <c r="K869" s="36"/>
      <c r="L869" s="26"/>
      <c r="M869" s="26"/>
      <c r="N869" s="26"/>
      <c r="O869" s="93"/>
      <c r="P869" s="95"/>
      <c r="Q869" s="197"/>
    </row>
    <row r="870" spans="3:17" x14ac:dyDescent="0.25">
      <c r="C870" s="199"/>
      <c r="D870" s="112"/>
      <c r="E870" s="33"/>
      <c r="F870" s="105"/>
      <c r="H870" s="116"/>
      <c r="I870" s="26"/>
      <c r="J870" s="98"/>
      <c r="K870" s="36"/>
      <c r="L870" s="26"/>
      <c r="M870" s="26"/>
      <c r="N870" s="26"/>
      <c r="O870" s="93"/>
      <c r="P870" s="95"/>
      <c r="Q870" s="197"/>
    </row>
    <row r="871" spans="3:17" x14ac:dyDescent="0.25">
      <c r="C871" s="199"/>
      <c r="D871" s="112"/>
      <c r="E871" s="33"/>
      <c r="F871" s="105"/>
      <c r="H871" s="116"/>
      <c r="I871" s="26"/>
      <c r="J871" s="98"/>
      <c r="K871" s="36"/>
      <c r="L871" s="26"/>
      <c r="M871" s="26"/>
      <c r="N871" s="26"/>
      <c r="O871" s="93"/>
      <c r="P871" s="95"/>
      <c r="Q871" s="197"/>
    </row>
    <row r="872" spans="3:17" x14ac:dyDescent="0.25">
      <c r="C872" s="199"/>
      <c r="D872" s="112"/>
      <c r="E872" s="33"/>
      <c r="F872" s="105"/>
      <c r="H872" s="116"/>
      <c r="I872" s="26"/>
      <c r="J872" s="98"/>
      <c r="K872" s="36"/>
      <c r="L872" s="26"/>
      <c r="M872" s="26"/>
      <c r="N872" s="26"/>
      <c r="O872" s="93"/>
      <c r="P872" s="95"/>
      <c r="Q872" s="197"/>
    </row>
    <row r="873" spans="3:17" x14ac:dyDescent="0.25">
      <c r="C873" s="199"/>
      <c r="D873" s="112"/>
      <c r="E873" s="33"/>
      <c r="F873" s="105"/>
      <c r="H873" s="116"/>
      <c r="I873" s="26"/>
      <c r="J873" s="98"/>
      <c r="K873" s="36"/>
      <c r="L873" s="26"/>
      <c r="M873" s="26"/>
      <c r="N873" s="26"/>
      <c r="O873" s="93"/>
      <c r="P873" s="95"/>
      <c r="Q873" s="197"/>
    </row>
    <row r="874" spans="3:17" x14ac:dyDescent="0.25">
      <c r="C874" s="199"/>
      <c r="D874" s="112"/>
      <c r="E874" s="33"/>
      <c r="F874" s="105"/>
      <c r="H874" s="116"/>
      <c r="I874" s="26"/>
      <c r="J874" s="98"/>
      <c r="K874" s="36"/>
      <c r="L874" s="26"/>
      <c r="M874" s="26"/>
      <c r="N874" s="26"/>
      <c r="O874" s="93"/>
      <c r="P874" s="95"/>
      <c r="Q874" s="197"/>
    </row>
    <row r="875" spans="3:17" x14ac:dyDescent="0.25">
      <c r="C875" s="199"/>
      <c r="D875" s="112"/>
      <c r="E875" s="33"/>
      <c r="F875" s="105"/>
      <c r="H875" s="116"/>
      <c r="I875" s="26"/>
      <c r="J875" s="98"/>
      <c r="K875" s="36"/>
      <c r="L875" s="26"/>
      <c r="M875" s="26"/>
      <c r="N875" s="26"/>
      <c r="O875" s="93"/>
      <c r="P875" s="95"/>
      <c r="Q875" s="197"/>
    </row>
    <row r="876" spans="3:17" x14ac:dyDescent="0.25">
      <c r="C876" s="199"/>
      <c r="D876" s="112"/>
      <c r="E876" s="33"/>
      <c r="F876" s="105"/>
      <c r="H876" s="116"/>
      <c r="I876" s="26"/>
      <c r="J876" s="98"/>
      <c r="K876" s="36"/>
      <c r="L876" s="26"/>
      <c r="M876" s="26"/>
      <c r="N876" s="26"/>
      <c r="O876" s="93"/>
      <c r="P876" s="95"/>
      <c r="Q876" s="197"/>
    </row>
    <row r="877" spans="3:17" x14ac:dyDescent="0.25">
      <c r="C877" s="199"/>
      <c r="D877" s="112"/>
      <c r="E877" s="33"/>
      <c r="F877" s="105"/>
      <c r="H877" s="116"/>
      <c r="I877" s="26"/>
      <c r="J877" s="98"/>
      <c r="K877" s="36"/>
      <c r="L877" s="26"/>
      <c r="M877" s="26"/>
      <c r="N877" s="26"/>
      <c r="O877" s="93"/>
      <c r="P877" s="95"/>
      <c r="Q877" s="197"/>
    </row>
    <row r="878" spans="3:17" x14ac:dyDescent="0.25">
      <c r="C878" s="199"/>
      <c r="D878" s="112"/>
      <c r="E878" s="33"/>
      <c r="F878" s="105"/>
      <c r="H878" s="116"/>
      <c r="I878" s="26"/>
      <c r="J878" s="98"/>
      <c r="K878" s="36"/>
      <c r="L878" s="26"/>
      <c r="M878" s="26"/>
      <c r="N878" s="26"/>
      <c r="O878" s="93"/>
      <c r="P878" s="95"/>
      <c r="Q878" s="197"/>
    </row>
    <row r="879" spans="3:17" x14ac:dyDescent="0.25">
      <c r="C879" s="199"/>
      <c r="D879" s="112"/>
      <c r="E879" s="33"/>
      <c r="F879" s="105"/>
      <c r="H879" s="116"/>
      <c r="I879" s="26"/>
      <c r="J879" s="98"/>
      <c r="K879" s="36"/>
      <c r="L879" s="26"/>
      <c r="M879" s="26"/>
      <c r="N879" s="26"/>
      <c r="O879" s="93"/>
      <c r="P879" s="95"/>
      <c r="Q879" s="197"/>
    </row>
    <row r="880" spans="3:17" x14ac:dyDescent="0.25">
      <c r="C880" s="199"/>
      <c r="D880" s="112"/>
      <c r="E880" s="33"/>
      <c r="F880" s="105"/>
      <c r="H880" s="116"/>
      <c r="I880" s="26"/>
      <c r="J880" s="98"/>
      <c r="K880" s="36"/>
      <c r="L880" s="26"/>
      <c r="M880" s="26"/>
      <c r="N880" s="26"/>
      <c r="O880" s="93"/>
      <c r="P880" s="95"/>
      <c r="Q880" s="197"/>
    </row>
    <row r="881" spans="3:17" x14ac:dyDescent="0.25">
      <c r="C881" s="199"/>
      <c r="D881" s="112"/>
      <c r="E881" s="33"/>
      <c r="F881" s="105"/>
      <c r="H881" s="116"/>
      <c r="I881" s="26"/>
      <c r="J881" s="98"/>
      <c r="K881" s="36"/>
      <c r="L881" s="26"/>
      <c r="M881" s="26"/>
      <c r="N881" s="26"/>
      <c r="O881" s="93"/>
      <c r="P881" s="95"/>
      <c r="Q881" s="197"/>
    </row>
    <row r="882" spans="3:17" x14ac:dyDescent="0.25">
      <c r="C882" s="199"/>
      <c r="D882" s="112"/>
      <c r="E882" s="33"/>
      <c r="F882" s="105"/>
      <c r="H882" s="116"/>
      <c r="I882" s="26"/>
      <c r="J882" s="98"/>
      <c r="K882" s="36"/>
      <c r="L882" s="26"/>
      <c r="M882" s="26"/>
      <c r="N882" s="26"/>
      <c r="O882" s="93"/>
      <c r="P882" s="95"/>
      <c r="Q882" s="197"/>
    </row>
    <row r="883" spans="3:17" x14ac:dyDescent="0.25">
      <c r="C883" s="199"/>
      <c r="D883" s="112"/>
      <c r="E883" s="33"/>
      <c r="F883" s="105"/>
      <c r="H883" s="116"/>
      <c r="I883" s="26"/>
      <c r="J883" s="98"/>
      <c r="K883" s="36"/>
      <c r="L883" s="26"/>
      <c r="M883" s="26"/>
      <c r="N883" s="26"/>
      <c r="O883" s="93"/>
      <c r="P883" s="95"/>
      <c r="Q883" s="197"/>
    </row>
    <row r="884" spans="3:17" x14ac:dyDescent="0.25">
      <c r="C884" s="199"/>
      <c r="D884" s="112"/>
      <c r="E884" s="33"/>
      <c r="F884" s="105"/>
      <c r="H884" s="116"/>
      <c r="I884" s="26"/>
      <c r="J884" s="98"/>
      <c r="K884" s="36"/>
      <c r="L884" s="26"/>
      <c r="M884" s="26"/>
      <c r="N884" s="26"/>
      <c r="O884" s="93"/>
      <c r="P884" s="95"/>
      <c r="Q884" s="197"/>
    </row>
    <row r="885" spans="3:17" x14ac:dyDescent="0.25">
      <c r="C885" s="199"/>
      <c r="D885" s="112"/>
      <c r="E885" s="33"/>
      <c r="F885" s="105"/>
      <c r="H885" s="116"/>
      <c r="I885" s="26"/>
      <c r="J885" s="98"/>
      <c r="K885" s="36"/>
      <c r="L885" s="26"/>
      <c r="M885" s="26"/>
      <c r="N885" s="26"/>
      <c r="O885" s="93"/>
      <c r="P885" s="95"/>
      <c r="Q885" s="197"/>
    </row>
    <row r="886" spans="3:17" x14ac:dyDescent="0.25">
      <c r="C886" s="199"/>
      <c r="D886" s="112"/>
      <c r="E886" s="33"/>
      <c r="F886" s="105"/>
      <c r="H886" s="116"/>
      <c r="I886" s="26"/>
      <c r="J886" s="98"/>
      <c r="K886" s="36"/>
      <c r="L886" s="26"/>
      <c r="M886" s="26"/>
      <c r="N886" s="26"/>
      <c r="O886" s="93"/>
      <c r="P886" s="95"/>
      <c r="Q886" s="197"/>
    </row>
    <row r="887" spans="3:17" x14ac:dyDescent="0.25">
      <c r="C887" s="199"/>
      <c r="D887" s="112"/>
      <c r="E887" s="33"/>
      <c r="F887" s="105"/>
      <c r="H887" s="116"/>
      <c r="I887" s="26"/>
      <c r="J887" s="98"/>
      <c r="K887" s="36"/>
      <c r="L887" s="26"/>
      <c r="M887" s="26"/>
      <c r="N887" s="26"/>
      <c r="O887" s="93"/>
      <c r="P887" s="95"/>
      <c r="Q887" s="197"/>
    </row>
    <row r="888" spans="3:17" x14ac:dyDescent="0.25">
      <c r="C888" s="199"/>
      <c r="D888" s="112"/>
      <c r="E888" s="33"/>
      <c r="F888" s="105"/>
      <c r="H888" s="116"/>
      <c r="I888" s="26"/>
      <c r="J888" s="98"/>
      <c r="K888" s="36"/>
      <c r="L888" s="26"/>
      <c r="M888" s="26"/>
      <c r="N888" s="26"/>
      <c r="O888" s="93"/>
      <c r="P888" s="95"/>
      <c r="Q888" s="197"/>
    </row>
    <row r="889" spans="3:17" x14ac:dyDescent="0.25">
      <c r="C889" s="199"/>
      <c r="D889" s="112"/>
      <c r="E889" s="33"/>
      <c r="F889" s="105"/>
      <c r="H889" s="116"/>
      <c r="I889" s="26"/>
      <c r="J889" s="98"/>
      <c r="K889" s="36"/>
      <c r="L889" s="26"/>
      <c r="M889" s="26"/>
      <c r="N889" s="26"/>
      <c r="O889" s="93"/>
      <c r="P889" s="95"/>
      <c r="Q889" s="197"/>
    </row>
    <row r="890" spans="3:17" x14ac:dyDescent="0.25">
      <c r="C890" s="199"/>
      <c r="D890" s="112"/>
      <c r="E890" s="33"/>
      <c r="F890" s="105"/>
      <c r="H890" s="116"/>
      <c r="I890" s="26"/>
      <c r="J890" s="98"/>
      <c r="K890" s="36"/>
      <c r="L890" s="26"/>
      <c r="M890" s="26"/>
      <c r="N890" s="26"/>
      <c r="O890" s="93"/>
      <c r="P890" s="95"/>
      <c r="Q890" s="197"/>
    </row>
    <row r="891" spans="3:17" x14ac:dyDescent="0.25">
      <c r="C891" s="199"/>
      <c r="D891" s="112"/>
      <c r="E891" s="33"/>
      <c r="F891" s="105"/>
      <c r="H891" s="116"/>
      <c r="I891" s="26"/>
      <c r="J891" s="98"/>
      <c r="K891" s="36"/>
      <c r="L891" s="26"/>
      <c r="M891" s="26"/>
      <c r="N891" s="26"/>
      <c r="O891" s="93"/>
      <c r="P891" s="95"/>
      <c r="Q891" s="197"/>
    </row>
    <row r="892" spans="3:17" x14ac:dyDescent="0.25">
      <c r="C892" s="199"/>
      <c r="D892" s="112"/>
      <c r="E892" s="33"/>
      <c r="F892" s="105"/>
      <c r="H892" s="116"/>
      <c r="I892" s="26"/>
      <c r="J892" s="98"/>
      <c r="K892" s="36"/>
      <c r="L892" s="26"/>
      <c r="M892" s="26"/>
      <c r="N892" s="26"/>
      <c r="O892" s="93"/>
      <c r="P892" s="95"/>
      <c r="Q892" s="197"/>
    </row>
    <row r="893" spans="3:17" x14ac:dyDescent="0.25">
      <c r="C893" s="199"/>
      <c r="D893" s="112"/>
      <c r="E893" s="33"/>
      <c r="F893" s="105"/>
      <c r="H893" s="116"/>
      <c r="I893" s="26"/>
      <c r="J893" s="98"/>
      <c r="K893" s="36"/>
      <c r="L893" s="26"/>
      <c r="M893" s="26"/>
      <c r="N893" s="26"/>
      <c r="O893" s="93"/>
      <c r="P893" s="95"/>
      <c r="Q893" s="197"/>
    </row>
    <row r="894" spans="3:17" x14ac:dyDescent="0.25">
      <c r="C894" s="199"/>
      <c r="D894" s="112"/>
      <c r="E894" s="33"/>
      <c r="F894" s="105"/>
      <c r="H894" s="116"/>
      <c r="I894" s="26"/>
      <c r="J894" s="98"/>
      <c r="K894" s="36"/>
      <c r="L894" s="26"/>
      <c r="M894" s="26"/>
      <c r="N894" s="26"/>
      <c r="O894" s="93"/>
      <c r="P894" s="95"/>
      <c r="Q894" s="197"/>
    </row>
    <row r="895" spans="3:17" x14ac:dyDescent="0.25">
      <c r="C895" s="199"/>
      <c r="D895" s="112"/>
      <c r="E895" s="33"/>
      <c r="F895" s="105"/>
      <c r="H895" s="116"/>
      <c r="I895" s="26"/>
      <c r="J895" s="98"/>
      <c r="K895" s="36"/>
      <c r="L895" s="26"/>
      <c r="M895" s="26"/>
      <c r="N895" s="26"/>
      <c r="O895" s="93"/>
      <c r="P895" s="95"/>
      <c r="Q895" s="197"/>
    </row>
    <row r="896" spans="3:17" x14ac:dyDescent="0.25">
      <c r="C896" s="199"/>
      <c r="D896" s="112"/>
      <c r="E896" s="33"/>
      <c r="F896" s="105"/>
      <c r="H896" s="116"/>
      <c r="I896" s="26"/>
      <c r="J896" s="98"/>
      <c r="K896" s="36"/>
      <c r="L896" s="26"/>
      <c r="M896" s="26"/>
      <c r="N896" s="26"/>
      <c r="O896" s="93"/>
      <c r="P896" s="95"/>
      <c r="Q896" s="197"/>
    </row>
    <row r="897" spans="3:17" x14ac:dyDescent="0.25">
      <c r="C897" s="199"/>
      <c r="D897" s="112"/>
      <c r="E897" s="33"/>
      <c r="F897" s="105"/>
      <c r="H897" s="116"/>
      <c r="I897" s="26"/>
      <c r="J897" s="98"/>
      <c r="K897" s="36"/>
      <c r="L897" s="26"/>
      <c r="M897" s="26"/>
      <c r="N897" s="26"/>
      <c r="O897" s="93"/>
      <c r="P897" s="95"/>
      <c r="Q897" s="197"/>
    </row>
    <row r="898" spans="3:17" x14ac:dyDescent="0.25">
      <c r="C898" s="199"/>
      <c r="D898" s="112"/>
      <c r="E898" s="33"/>
      <c r="F898" s="105"/>
      <c r="H898" s="116"/>
      <c r="I898" s="26"/>
      <c r="J898" s="98"/>
      <c r="K898" s="36"/>
      <c r="L898" s="26"/>
      <c r="M898" s="26"/>
      <c r="N898" s="26"/>
      <c r="O898" s="93"/>
      <c r="P898" s="95"/>
      <c r="Q898" s="197"/>
    </row>
    <row r="899" spans="3:17" x14ac:dyDescent="0.25">
      <c r="C899" s="199"/>
      <c r="D899" s="112"/>
      <c r="E899" s="33"/>
      <c r="F899" s="105"/>
      <c r="H899" s="116"/>
      <c r="I899" s="26"/>
      <c r="J899" s="98"/>
      <c r="K899" s="36"/>
      <c r="L899" s="26"/>
      <c r="M899" s="26"/>
      <c r="N899" s="26"/>
      <c r="O899" s="93"/>
      <c r="P899" s="95"/>
      <c r="Q899" s="197"/>
    </row>
    <row r="900" spans="3:17" x14ac:dyDescent="0.25">
      <c r="C900" s="199"/>
      <c r="D900" s="112"/>
      <c r="E900" s="33"/>
      <c r="F900" s="105"/>
      <c r="H900" s="116"/>
      <c r="I900" s="26"/>
      <c r="J900" s="98"/>
      <c r="K900" s="36"/>
      <c r="L900" s="26"/>
      <c r="M900" s="26"/>
      <c r="N900" s="26"/>
      <c r="O900" s="93"/>
      <c r="P900" s="95"/>
      <c r="Q900" s="197"/>
    </row>
    <row r="901" spans="3:17" x14ac:dyDescent="0.25">
      <c r="C901" s="199"/>
      <c r="D901" s="112"/>
      <c r="E901" s="33"/>
      <c r="F901" s="105"/>
      <c r="H901" s="116"/>
      <c r="I901" s="26"/>
      <c r="J901" s="98"/>
      <c r="K901" s="36"/>
      <c r="L901" s="26"/>
      <c r="M901" s="26"/>
      <c r="N901" s="26"/>
      <c r="O901" s="93"/>
      <c r="P901" s="95"/>
      <c r="Q901" s="197"/>
    </row>
    <row r="902" spans="3:17" x14ac:dyDescent="0.25">
      <c r="C902" s="199"/>
      <c r="D902" s="112"/>
      <c r="E902" s="33"/>
      <c r="F902" s="105"/>
      <c r="H902" s="116"/>
      <c r="I902" s="26"/>
      <c r="J902" s="98"/>
      <c r="K902" s="36"/>
      <c r="L902" s="26"/>
      <c r="M902" s="26"/>
      <c r="N902" s="26"/>
      <c r="O902" s="93"/>
      <c r="P902" s="95"/>
      <c r="Q902" s="197"/>
    </row>
    <row r="903" spans="3:17" x14ac:dyDescent="0.25">
      <c r="C903" s="199"/>
      <c r="D903" s="112"/>
      <c r="E903" s="33"/>
      <c r="F903" s="105"/>
      <c r="H903" s="116"/>
      <c r="I903" s="26"/>
      <c r="J903" s="98"/>
      <c r="K903" s="36"/>
      <c r="L903" s="26"/>
      <c r="M903" s="26"/>
      <c r="N903" s="26"/>
      <c r="O903" s="93"/>
      <c r="P903" s="95"/>
      <c r="Q903" s="197"/>
    </row>
    <row r="904" spans="3:17" x14ac:dyDescent="0.25">
      <c r="C904" s="199"/>
      <c r="D904" s="112"/>
      <c r="E904" s="33"/>
      <c r="F904" s="105"/>
      <c r="H904" s="116"/>
      <c r="I904" s="26"/>
      <c r="J904" s="98"/>
      <c r="K904" s="36"/>
      <c r="L904" s="26"/>
      <c r="M904" s="26"/>
      <c r="N904" s="26"/>
      <c r="O904" s="93"/>
      <c r="P904" s="95"/>
      <c r="Q904" s="197"/>
    </row>
    <row r="905" spans="3:17" x14ac:dyDescent="0.25">
      <c r="C905" s="199"/>
      <c r="D905" s="112"/>
      <c r="E905" s="33"/>
      <c r="F905" s="105"/>
      <c r="H905" s="116"/>
      <c r="I905" s="26"/>
      <c r="J905" s="98"/>
      <c r="K905" s="36"/>
      <c r="L905" s="26"/>
      <c r="M905" s="26"/>
      <c r="N905" s="26"/>
      <c r="O905" s="93"/>
      <c r="P905" s="95"/>
      <c r="Q905" s="197"/>
    </row>
    <row r="906" spans="3:17" x14ac:dyDescent="0.25">
      <c r="C906" s="199"/>
      <c r="D906" s="112"/>
      <c r="E906" s="33"/>
      <c r="F906" s="105"/>
      <c r="H906" s="116"/>
      <c r="I906" s="26"/>
      <c r="J906" s="98"/>
      <c r="K906" s="36"/>
      <c r="L906" s="26"/>
      <c r="M906" s="26"/>
      <c r="N906" s="26"/>
      <c r="O906" s="93"/>
      <c r="P906" s="95"/>
      <c r="Q906" s="197"/>
    </row>
    <row r="907" spans="3:17" x14ac:dyDescent="0.25">
      <c r="C907" s="199"/>
      <c r="D907" s="112"/>
      <c r="E907" s="33"/>
      <c r="F907" s="105"/>
      <c r="H907" s="116"/>
      <c r="I907" s="26"/>
      <c r="J907" s="98"/>
      <c r="K907" s="36"/>
      <c r="L907" s="26"/>
      <c r="M907" s="26"/>
      <c r="N907" s="26"/>
      <c r="O907" s="93"/>
      <c r="P907" s="95"/>
      <c r="Q907" s="197"/>
    </row>
    <row r="908" spans="3:17" x14ac:dyDescent="0.25">
      <c r="C908" s="199"/>
      <c r="D908" s="112"/>
      <c r="E908" s="33"/>
      <c r="F908" s="105"/>
      <c r="H908" s="116"/>
      <c r="I908" s="26"/>
      <c r="J908" s="98"/>
      <c r="K908" s="36"/>
      <c r="L908" s="26"/>
      <c r="M908" s="26"/>
      <c r="N908" s="26"/>
      <c r="O908" s="93"/>
      <c r="P908" s="95"/>
      <c r="Q908" s="197"/>
    </row>
    <row r="909" spans="3:17" x14ac:dyDescent="0.25">
      <c r="C909" s="199"/>
      <c r="D909" s="112"/>
      <c r="E909" s="33"/>
      <c r="F909" s="105"/>
      <c r="H909" s="116"/>
      <c r="I909" s="26"/>
      <c r="J909" s="98"/>
      <c r="K909" s="36"/>
      <c r="L909" s="26"/>
      <c r="M909" s="26"/>
      <c r="N909" s="26"/>
      <c r="O909" s="93"/>
      <c r="P909" s="95"/>
      <c r="Q909" s="197"/>
    </row>
    <row r="910" spans="3:17" x14ac:dyDescent="0.25">
      <c r="C910" s="199"/>
      <c r="D910" s="112"/>
      <c r="E910" s="33"/>
      <c r="F910" s="105"/>
      <c r="H910" s="116"/>
      <c r="I910" s="26"/>
      <c r="J910" s="98"/>
      <c r="K910" s="36"/>
      <c r="L910" s="26"/>
      <c r="M910" s="26"/>
      <c r="N910" s="26"/>
      <c r="O910" s="93"/>
      <c r="P910" s="95"/>
      <c r="Q910" s="197"/>
    </row>
    <row r="911" spans="3:17" x14ac:dyDescent="0.25">
      <c r="C911" s="199"/>
      <c r="D911" s="112"/>
      <c r="E911" s="33"/>
      <c r="F911" s="105"/>
      <c r="H911" s="116"/>
      <c r="I911" s="26"/>
      <c r="J911" s="98"/>
      <c r="K911" s="36"/>
      <c r="L911" s="26"/>
      <c r="M911" s="26"/>
      <c r="N911" s="26"/>
      <c r="O911" s="93"/>
      <c r="P911" s="95"/>
      <c r="Q911" s="197"/>
    </row>
    <row r="912" spans="3:17" x14ac:dyDescent="0.25">
      <c r="C912" s="199"/>
      <c r="D912" s="112"/>
      <c r="E912" s="33"/>
      <c r="F912" s="105"/>
      <c r="H912" s="116"/>
      <c r="I912" s="26"/>
      <c r="J912" s="98"/>
      <c r="K912" s="36"/>
      <c r="L912" s="26"/>
      <c r="M912" s="26"/>
      <c r="N912" s="26"/>
      <c r="O912" s="93"/>
      <c r="P912" s="95"/>
      <c r="Q912" s="197"/>
    </row>
    <row r="913" spans="3:17" x14ac:dyDescent="0.25">
      <c r="C913" s="199"/>
      <c r="D913" s="112"/>
      <c r="E913" s="33"/>
      <c r="F913" s="105"/>
      <c r="H913" s="116"/>
      <c r="I913" s="26"/>
      <c r="J913" s="98"/>
      <c r="K913" s="36"/>
      <c r="L913" s="26"/>
      <c r="M913" s="26"/>
      <c r="N913" s="26"/>
      <c r="O913" s="93"/>
      <c r="P913" s="95"/>
      <c r="Q913" s="197"/>
    </row>
    <row r="914" spans="3:17" x14ac:dyDescent="0.25">
      <c r="C914" s="199"/>
      <c r="D914" s="112"/>
      <c r="E914" s="33"/>
      <c r="F914" s="105"/>
      <c r="H914" s="116"/>
      <c r="I914" s="26"/>
      <c r="J914" s="98"/>
      <c r="K914" s="36"/>
      <c r="L914" s="26"/>
      <c r="M914" s="26"/>
      <c r="N914" s="26"/>
      <c r="O914" s="93"/>
      <c r="P914" s="95"/>
      <c r="Q914" s="197"/>
    </row>
    <row r="915" spans="3:17" x14ac:dyDescent="0.25">
      <c r="C915" s="199"/>
      <c r="D915" s="112"/>
      <c r="E915" s="33"/>
      <c r="F915" s="105"/>
      <c r="H915" s="116"/>
      <c r="I915" s="26"/>
      <c r="J915" s="98"/>
      <c r="K915" s="36"/>
      <c r="L915" s="26"/>
      <c r="M915" s="26"/>
      <c r="N915" s="26"/>
      <c r="O915" s="93"/>
      <c r="P915" s="95"/>
      <c r="Q915" s="197"/>
    </row>
    <row r="916" spans="3:17" x14ac:dyDescent="0.25">
      <c r="C916" s="199"/>
      <c r="D916" s="112"/>
      <c r="E916" s="33"/>
      <c r="F916" s="105"/>
      <c r="H916" s="116"/>
      <c r="I916" s="26"/>
      <c r="J916" s="98"/>
      <c r="K916" s="36"/>
      <c r="L916" s="26"/>
      <c r="M916" s="26"/>
      <c r="N916" s="26"/>
      <c r="O916" s="93"/>
      <c r="P916" s="95"/>
      <c r="Q916" s="197"/>
    </row>
    <row r="917" spans="3:17" x14ac:dyDescent="0.25">
      <c r="C917" s="199"/>
      <c r="D917" s="112"/>
      <c r="E917" s="33"/>
      <c r="F917" s="105"/>
      <c r="H917" s="116"/>
      <c r="I917" s="26"/>
      <c r="J917" s="98"/>
      <c r="K917" s="36"/>
      <c r="L917" s="26"/>
      <c r="M917" s="26"/>
      <c r="N917" s="26"/>
      <c r="O917" s="93"/>
      <c r="P917" s="95"/>
      <c r="Q917" s="197"/>
    </row>
    <row r="918" spans="3:17" x14ac:dyDescent="0.25">
      <c r="C918" s="199"/>
      <c r="D918" s="112"/>
      <c r="E918" s="33"/>
      <c r="F918" s="105"/>
      <c r="H918" s="116"/>
      <c r="I918" s="26"/>
      <c r="J918" s="98"/>
      <c r="K918" s="36"/>
      <c r="L918" s="26"/>
      <c r="M918" s="26"/>
      <c r="N918" s="26"/>
      <c r="O918" s="93"/>
      <c r="P918" s="95"/>
      <c r="Q918" s="197"/>
    </row>
    <row r="919" spans="3:17" x14ac:dyDescent="0.25">
      <c r="C919" s="199"/>
      <c r="D919" s="112"/>
      <c r="E919" s="33"/>
      <c r="F919" s="105"/>
      <c r="H919" s="116"/>
      <c r="I919" s="26"/>
      <c r="J919" s="98"/>
      <c r="K919" s="36"/>
      <c r="L919" s="26"/>
      <c r="M919" s="26"/>
      <c r="N919" s="26"/>
      <c r="O919" s="93"/>
      <c r="P919" s="95"/>
      <c r="Q919" s="197"/>
    </row>
    <row r="920" spans="3:17" x14ac:dyDescent="0.25">
      <c r="C920" s="199"/>
      <c r="D920" s="112"/>
      <c r="E920" s="33"/>
      <c r="F920" s="105"/>
      <c r="H920" s="116"/>
      <c r="I920" s="26"/>
      <c r="J920" s="98"/>
      <c r="K920" s="36"/>
      <c r="L920" s="26"/>
      <c r="M920" s="26"/>
      <c r="N920" s="26"/>
      <c r="O920" s="93"/>
      <c r="P920" s="95"/>
      <c r="Q920" s="197"/>
    </row>
    <row r="921" spans="3:17" x14ac:dyDescent="0.25">
      <c r="C921" s="199"/>
      <c r="D921" s="112"/>
      <c r="E921" s="33"/>
      <c r="F921" s="105"/>
      <c r="H921" s="116"/>
      <c r="I921" s="26"/>
      <c r="J921" s="98"/>
      <c r="K921" s="36"/>
      <c r="L921" s="26"/>
      <c r="M921" s="26"/>
      <c r="N921" s="26"/>
      <c r="O921" s="93"/>
      <c r="P921" s="95"/>
      <c r="Q921" s="197"/>
    </row>
    <row r="922" spans="3:17" x14ac:dyDescent="0.25">
      <c r="C922" s="199"/>
      <c r="D922" s="112"/>
      <c r="E922" s="33"/>
      <c r="F922" s="105"/>
      <c r="H922" s="116"/>
      <c r="I922" s="26"/>
      <c r="J922" s="98"/>
      <c r="K922" s="36"/>
      <c r="L922" s="26"/>
      <c r="M922" s="26"/>
      <c r="N922" s="26"/>
      <c r="O922" s="93"/>
      <c r="P922" s="95"/>
      <c r="Q922" s="197"/>
    </row>
    <row r="923" spans="3:17" x14ac:dyDescent="0.25">
      <c r="C923" s="199"/>
      <c r="D923" s="112"/>
      <c r="E923" s="33"/>
      <c r="F923" s="105"/>
      <c r="H923" s="116"/>
      <c r="I923" s="26"/>
      <c r="J923" s="98"/>
      <c r="K923" s="36"/>
      <c r="L923" s="26"/>
      <c r="M923" s="26"/>
      <c r="N923" s="26"/>
      <c r="O923" s="93"/>
      <c r="P923" s="95"/>
      <c r="Q923" s="197"/>
    </row>
    <row r="924" spans="3:17" x14ac:dyDescent="0.25">
      <c r="C924" s="199"/>
      <c r="D924" s="112"/>
      <c r="E924" s="33"/>
      <c r="F924" s="105"/>
      <c r="H924" s="116"/>
      <c r="I924" s="26"/>
      <c r="J924" s="98"/>
      <c r="K924" s="36"/>
      <c r="L924" s="26"/>
      <c r="M924" s="26"/>
      <c r="N924" s="26"/>
      <c r="O924" s="93"/>
      <c r="P924" s="95"/>
      <c r="Q924" s="197"/>
    </row>
    <row r="925" spans="3:17" x14ac:dyDescent="0.25">
      <c r="C925" s="199"/>
      <c r="D925" s="112"/>
      <c r="E925" s="33"/>
      <c r="F925" s="105"/>
      <c r="H925" s="116"/>
      <c r="I925" s="26"/>
      <c r="J925" s="98"/>
      <c r="K925" s="36"/>
      <c r="L925" s="26"/>
      <c r="M925" s="26"/>
      <c r="N925" s="26"/>
      <c r="O925" s="93"/>
      <c r="P925" s="95"/>
      <c r="Q925" s="197"/>
    </row>
    <row r="926" spans="3:17" x14ac:dyDescent="0.25">
      <c r="C926" s="199"/>
      <c r="D926" s="112"/>
      <c r="E926" s="33"/>
      <c r="F926" s="105"/>
      <c r="H926" s="116"/>
      <c r="I926" s="26"/>
      <c r="J926" s="98"/>
      <c r="K926" s="36"/>
      <c r="L926" s="26"/>
      <c r="M926" s="26"/>
      <c r="N926" s="26"/>
      <c r="O926" s="93"/>
      <c r="P926" s="95"/>
      <c r="Q926" s="197"/>
    </row>
    <row r="927" spans="3:17" x14ac:dyDescent="0.25">
      <c r="C927" s="199"/>
      <c r="D927" s="112"/>
      <c r="E927" s="33"/>
      <c r="F927" s="105"/>
      <c r="H927" s="116"/>
      <c r="I927" s="26"/>
      <c r="J927" s="98"/>
      <c r="K927" s="36"/>
      <c r="L927" s="26"/>
      <c r="M927" s="26"/>
      <c r="N927" s="26"/>
      <c r="O927" s="93"/>
      <c r="P927" s="95"/>
      <c r="Q927" s="197"/>
    </row>
    <row r="928" spans="3:17" x14ac:dyDescent="0.25">
      <c r="C928" s="199"/>
      <c r="D928" s="112"/>
      <c r="E928" s="33"/>
      <c r="F928" s="105"/>
      <c r="H928" s="116"/>
      <c r="I928" s="26"/>
      <c r="J928" s="98"/>
      <c r="K928" s="36"/>
      <c r="L928" s="26"/>
      <c r="M928" s="26"/>
      <c r="N928" s="26"/>
      <c r="O928" s="93"/>
      <c r="P928" s="95"/>
      <c r="Q928" s="197"/>
    </row>
    <row r="929" spans="3:17" x14ac:dyDescent="0.25">
      <c r="C929" s="199"/>
      <c r="D929" s="112"/>
      <c r="E929" s="33"/>
      <c r="F929" s="105"/>
      <c r="H929" s="116"/>
      <c r="I929" s="26"/>
      <c r="J929" s="98"/>
      <c r="K929" s="36"/>
      <c r="L929" s="26"/>
      <c r="M929" s="26"/>
      <c r="N929" s="26"/>
      <c r="O929" s="93"/>
      <c r="P929" s="95"/>
      <c r="Q929" s="197"/>
    </row>
    <row r="930" spans="3:17" x14ac:dyDescent="0.25">
      <c r="C930" s="199"/>
      <c r="D930" s="112"/>
      <c r="E930" s="33"/>
      <c r="F930" s="105"/>
      <c r="H930" s="116"/>
      <c r="I930" s="26"/>
      <c r="J930" s="98"/>
      <c r="K930" s="36"/>
      <c r="L930" s="26"/>
      <c r="M930" s="26"/>
      <c r="N930" s="26"/>
      <c r="O930" s="93"/>
      <c r="P930" s="95"/>
      <c r="Q930" s="197"/>
    </row>
    <row r="931" spans="3:17" x14ac:dyDescent="0.25">
      <c r="C931" s="199"/>
      <c r="D931" s="112"/>
      <c r="E931" s="33"/>
      <c r="F931" s="105"/>
      <c r="H931" s="116"/>
      <c r="I931" s="26"/>
      <c r="J931" s="98"/>
      <c r="K931" s="36"/>
      <c r="L931" s="26"/>
      <c r="M931" s="26"/>
      <c r="N931" s="26"/>
      <c r="O931" s="93"/>
      <c r="P931" s="95"/>
      <c r="Q931" s="197"/>
    </row>
    <row r="932" spans="3:17" x14ac:dyDescent="0.25">
      <c r="C932" s="199"/>
      <c r="D932" s="112"/>
      <c r="E932" s="33"/>
      <c r="F932" s="105"/>
      <c r="H932" s="116"/>
      <c r="I932" s="26"/>
      <c r="J932" s="98"/>
      <c r="K932" s="36"/>
      <c r="L932" s="26"/>
      <c r="M932" s="26"/>
      <c r="N932" s="26"/>
      <c r="O932" s="93"/>
      <c r="P932" s="95"/>
      <c r="Q932" s="197"/>
    </row>
    <row r="933" spans="3:17" x14ac:dyDescent="0.25">
      <c r="C933" s="199"/>
      <c r="D933" s="112"/>
      <c r="E933" s="33"/>
      <c r="F933" s="105"/>
      <c r="H933" s="116"/>
      <c r="I933" s="26"/>
      <c r="J933" s="98"/>
      <c r="K933" s="36"/>
      <c r="L933" s="26"/>
      <c r="M933" s="26"/>
      <c r="N933" s="26"/>
      <c r="O933" s="93"/>
      <c r="P933" s="95"/>
      <c r="Q933" s="197"/>
    </row>
    <row r="934" spans="3:17" x14ac:dyDescent="0.25">
      <c r="C934" s="199"/>
      <c r="D934" s="112"/>
      <c r="E934" s="33"/>
      <c r="F934" s="105"/>
      <c r="H934" s="116"/>
      <c r="I934" s="26"/>
      <c r="J934" s="98"/>
      <c r="K934" s="36"/>
      <c r="L934" s="26"/>
      <c r="M934" s="26"/>
      <c r="N934" s="26"/>
      <c r="O934" s="93"/>
      <c r="P934" s="95"/>
      <c r="Q934" s="197"/>
    </row>
    <row r="935" spans="3:17" x14ac:dyDescent="0.25">
      <c r="C935" s="199"/>
      <c r="D935" s="112"/>
      <c r="E935" s="33"/>
      <c r="F935" s="105"/>
      <c r="H935" s="116"/>
      <c r="I935" s="26"/>
      <c r="J935" s="98"/>
      <c r="K935" s="36"/>
      <c r="L935" s="26"/>
      <c r="M935" s="26"/>
      <c r="N935" s="26"/>
      <c r="O935" s="93"/>
      <c r="P935" s="95"/>
      <c r="Q935" s="197"/>
    </row>
    <row r="936" spans="3:17" x14ac:dyDescent="0.25">
      <c r="C936" s="199"/>
      <c r="D936" s="112"/>
      <c r="E936" s="33"/>
      <c r="F936" s="105"/>
      <c r="H936" s="116"/>
      <c r="I936" s="26"/>
      <c r="J936" s="98"/>
      <c r="K936" s="36"/>
      <c r="L936" s="26"/>
      <c r="M936" s="26"/>
      <c r="N936" s="26"/>
      <c r="O936" s="93"/>
      <c r="P936" s="95"/>
      <c r="Q936" s="197"/>
    </row>
    <row r="937" spans="3:17" x14ac:dyDescent="0.25">
      <c r="C937" s="199"/>
      <c r="D937" s="112"/>
      <c r="E937" s="33"/>
      <c r="F937" s="105"/>
      <c r="H937" s="116"/>
      <c r="I937" s="26"/>
      <c r="J937" s="98"/>
      <c r="K937" s="36"/>
      <c r="L937" s="26"/>
      <c r="M937" s="26"/>
      <c r="N937" s="26"/>
      <c r="O937" s="93"/>
      <c r="P937" s="95"/>
      <c r="Q937" s="197"/>
    </row>
    <row r="938" spans="3:17" x14ac:dyDescent="0.25">
      <c r="C938" s="199"/>
      <c r="D938" s="112"/>
      <c r="E938" s="33"/>
      <c r="F938" s="105"/>
      <c r="H938" s="116"/>
      <c r="I938" s="26"/>
      <c r="J938" s="98"/>
      <c r="K938" s="36"/>
      <c r="L938" s="26"/>
      <c r="M938" s="26"/>
      <c r="N938" s="26"/>
      <c r="O938" s="93"/>
      <c r="P938" s="95"/>
      <c r="Q938" s="197"/>
    </row>
    <row r="939" spans="3:17" x14ac:dyDescent="0.25">
      <c r="C939" s="199"/>
      <c r="D939" s="112"/>
      <c r="E939" s="33"/>
      <c r="F939" s="105"/>
      <c r="H939" s="116"/>
      <c r="I939" s="26"/>
      <c r="J939" s="98"/>
      <c r="K939" s="36"/>
      <c r="L939" s="26"/>
      <c r="M939" s="26"/>
      <c r="N939" s="26"/>
      <c r="O939" s="93"/>
      <c r="P939" s="95"/>
      <c r="Q939" s="197"/>
    </row>
    <row r="940" spans="3:17" x14ac:dyDescent="0.25">
      <c r="C940" s="199"/>
      <c r="D940" s="112"/>
      <c r="E940" s="33"/>
      <c r="F940" s="105"/>
      <c r="H940" s="116"/>
      <c r="I940" s="26"/>
      <c r="J940" s="98"/>
      <c r="K940" s="36"/>
      <c r="L940" s="26"/>
      <c r="M940" s="26"/>
      <c r="N940" s="26"/>
      <c r="O940" s="93"/>
      <c r="P940" s="95"/>
      <c r="Q940" s="197"/>
    </row>
    <row r="941" spans="3:17" x14ac:dyDescent="0.25">
      <c r="C941" s="199"/>
      <c r="D941" s="112"/>
      <c r="E941" s="33"/>
      <c r="F941" s="105"/>
      <c r="H941" s="116"/>
      <c r="I941" s="26"/>
      <c r="J941" s="98"/>
      <c r="K941" s="36"/>
      <c r="L941" s="26"/>
      <c r="M941" s="26"/>
      <c r="N941" s="26"/>
      <c r="O941" s="93"/>
      <c r="P941" s="95"/>
      <c r="Q941" s="197"/>
    </row>
    <row r="942" spans="3:17" x14ac:dyDescent="0.25">
      <c r="C942" s="199"/>
      <c r="D942" s="112"/>
      <c r="E942" s="33"/>
      <c r="F942" s="105"/>
      <c r="H942" s="116"/>
      <c r="I942" s="26"/>
      <c r="J942" s="98"/>
      <c r="K942" s="36"/>
      <c r="L942" s="26"/>
      <c r="M942" s="26"/>
      <c r="N942" s="26"/>
      <c r="O942" s="93"/>
      <c r="P942" s="95"/>
      <c r="Q942" s="197"/>
    </row>
    <row r="943" spans="3:17" x14ac:dyDescent="0.25">
      <c r="C943" s="199"/>
      <c r="D943" s="112"/>
      <c r="E943" s="33"/>
      <c r="F943" s="105"/>
      <c r="H943" s="116"/>
      <c r="I943" s="26"/>
      <c r="J943" s="98"/>
      <c r="K943" s="36"/>
      <c r="L943" s="26"/>
      <c r="M943" s="26"/>
      <c r="N943" s="26"/>
      <c r="O943" s="93"/>
      <c r="P943" s="95"/>
      <c r="Q943" s="197"/>
    </row>
    <row r="944" spans="3:17" x14ac:dyDescent="0.25">
      <c r="C944" s="199"/>
      <c r="D944" s="112"/>
      <c r="E944" s="33"/>
      <c r="F944" s="105"/>
      <c r="H944" s="116"/>
      <c r="I944" s="26"/>
      <c r="J944" s="98"/>
      <c r="K944" s="36"/>
      <c r="L944" s="26"/>
      <c r="M944" s="26"/>
      <c r="N944" s="26"/>
      <c r="O944" s="93"/>
      <c r="P944" s="95"/>
      <c r="Q944" s="197"/>
    </row>
    <row r="945" spans="3:17" x14ac:dyDescent="0.25">
      <c r="C945" s="199"/>
      <c r="D945" s="112"/>
      <c r="E945" s="33"/>
      <c r="F945" s="105"/>
      <c r="H945" s="116"/>
      <c r="I945" s="26"/>
      <c r="J945" s="98"/>
      <c r="K945" s="36"/>
      <c r="L945" s="26"/>
      <c r="M945" s="26"/>
      <c r="N945" s="26"/>
      <c r="O945" s="93"/>
      <c r="P945" s="95"/>
      <c r="Q945" s="197"/>
    </row>
    <row r="946" spans="3:17" x14ac:dyDescent="0.25">
      <c r="C946" s="199"/>
      <c r="D946" s="112"/>
      <c r="E946" s="33"/>
      <c r="F946" s="105"/>
      <c r="H946" s="116"/>
      <c r="I946" s="26"/>
      <c r="J946" s="98"/>
      <c r="K946" s="36"/>
      <c r="L946" s="26"/>
      <c r="M946" s="26"/>
      <c r="N946" s="26"/>
      <c r="O946" s="93"/>
      <c r="P946" s="95"/>
      <c r="Q946" s="197"/>
    </row>
    <row r="947" spans="3:17" x14ac:dyDescent="0.25">
      <c r="C947" s="199"/>
      <c r="D947" s="112"/>
      <c r="E947" s="33"/>
      <c r="F947" s="105"/>
      <c r="H947" s="116"/>
      <c r="I947" s="26"/>
      <c r="J947" s="98"/>
      <c r="K947" s="36"/>
      <c r="L947" s="26"/>
      <c r="M947" s="26"/>
      <c r="N947" s="26"/>
      <c r="O947" s="93"/>
      <c r="P947" s="95"/>
      <c r="Q947" s="197"/>
    </row>
    <row r="948" spans="3:17" x14ac:dyDescent="0.25">
      <c r="C948" s="199"/>
      <c r="D948" s="112"/>
      <c r="E948" s="33"/>
      <c r="F948" s="105"/>
      <c r="H948" s="116"/>
      <c r="I948" s="26"/>
      <c r="J948" s="98"/>
      <c r="K948" s="36"/>
      <c r="L948" s="26"/>
      <c r="M948" s="26"/>
      <c r="N948" s="26"/>
      <c r="O948" s="93"/>
      <c r="P948" s="95"/>
      <c r="Q948" s="197"/>
    </row>
    <row r="949" spans="3:17" x14ac:dyDescent="0.25">
      <c r="C949" s="199"/>
      <c r="D949" s="112"/>
      <c r="E949" s="33"/>
      <c r="F949" s="105"/>
      <c r="H949" s="116"/>
      <c r="I949" s="26"/>
      <c r="J949" s="98"/>
      <c r="K949" s="36"/>
      <c r="L949" s="26"/>
      <c r="M949" s="26"/>
      <c r="N949" s="26"/>
      <c r="O949" s="93"/>
      <c r="P949" s="95"/>
      <c r="Q949" s="197"/>
    </row>
    <row r="950" spans="3:17" x14ac:dyDescent="0.25">
      <c r="C950" s="199"/>
      <c r="D950" s="112"/>
      <c r="E950" s="33"/>
      <c r="F950" s="105"/>
      <c r="H950" s="116"/>
      <c r="I950" s="26"/>
      <c r="J950" s="98"/>
      <c r="K950" s="36"/>
      <c r="L950" s="26"/>
      <c r="M950" s="26"/>
      <c r="N950" s="26"/>
      <c r="O950" s="93"/>
      <c r="P950" s="95"/>
      <c r="Q950" s="197"/>
    </row>
    <row r="951" spans="3:17" x14ac:dyDescent="0.25">
      <c r="C951" s="199"/>
      <c r="D951" s="112"/>
      <c r="E951" s="33"/>
      <c r="F951" s="105"/>
      <c r="H951" s="116"/>
      <c r="I951" s="26"/>
      <c r="J951" s="98"/>
      <c r="K951" s="36"/>
      <c r="L951" s="26"/>
      <c r="M951" s="26"/>
      <c r="N951" s="26"/>
      <c r="O951" s="93"/>
      <c r="P951" s="95"/>
      <c r="Q951" s="197"/>
    </row>
    <row r="952" spans="3:17" x14ac:dyDescent="0.25">
      <c r="C952" s="199"/>
      <c r="D952" s="112"/>
      <c r="E952" s="33"/>
      <c r="F952" s="105"/>
      <c r="H952" s="116"/>
      <c r="I952" s="26"/>
      <c r="J952" s="98"/>
      <c r="K952" s="36"/>
      <c r="L952" s="26"/>
      <c r="M952" s="26"/>
      <c r="N952" s="26"/>
      <c r="O952" s="93"/>
      <c r="P952" s="95"/>
      <c r="Q952" s="197"/>
    </row>
    <row r="953" spans="3:17" x14ac:dyDescent="0.25">
      <c r="C953" s="199"/>
      <c r="D953" s="112"/>
      <c r="E953" s="33"/>
      <c r="F953" s="105"/>
      <c r="H953" s="116"/>
      <c r="I953" s="26"/>
      <c r="J953" s="98"/>
      <c r="K953" s="36"/>
      <c r="L953" s="26"/>
      <c r="M953" s="26"/>
      <c r="N953" s="26"/>
      <c r="O953" s="93"/>
      <c r="P953" s="95"/>
      <c r="Q953" s="197"/>
    </row>
    <row r="954" spans="3:17" x14ac:dyDescent="0.25">
      <c r="C954" s="199"/>
      <c r="D954" s="112"/>
      <c r="E954" s="33"/>
      <c r="F954" s="105"/>
      <c r="H954" s="116"/>
      <c r="I954" s="26"/>
      <c r="J954" s="98"/>
      <c r="K954" s="36"/>
      <c r="L954" s="26"/>
      <c r="M954" s="26"/>
      <c r="N954" s="26"/>
      <c r="O954" s="93"/>
      <c r="P954" s="95"/>
      <c r="Q954" s="197"/>
    </row>
    <row r="955" spans="3:17" x14ac:dyDescent="0.25">
      <c r="C955" s="199"/>
      <c r="D955" s="112"/>
      <c r="E955" s="33"/>
      <c r="F955" s="105"/>
      <c r="H955" s="116"/>
      <c r="I955" s="26"/>
      <c r="J955" s="98"/>
      <c r="K955" s="36"/>
      <c r="L955" s="26"/>
      <c r="M955" s="26"/>
      <c r="N955" s="26"/>
      <c r="O955" s="93"/>
      <c r="P955" s="95"/>
      <c r="Q955" s="197"/>
    </row>
    <row r="956" spans="3:17" x14ac:dyDescent="0.25">
      <c r="C956" s="199"/>
      <c r="D956" s="112"/>
      <c r="E956" s="33"/>
      <c r="F956" s="105"/>
      <c r="H956" s="116"/>
      <c r="I956" s="26"/>
      <c r="J956" s="98"/>
      <c r="K956" s="36"/>
      <c r="L956" s="26"/>
      <c r="M956" s="26"/>
      <c r="N956" s="26"/>
      <c r="O956" s="93"/>
      <c r="P956" s="95"/>
      <c r="Q956" s="197"/>
    </row>
    <row r="957" spans="3:17" x14ac:dyDescent="0.25">
      <c r="C957" s="199"/>
      <c r="D957" s="112"/>
      <c r="E957" s="33"/>
      <c r="F957" s="105"/>
      <c r="H957" s="116"/>
      <c r="I957" s="26"/>
      <c r="J957" s="98"/>
      <c r="K957" s="36"/>
      <c r="L957" s="26"/>
      <c r="M957" s="26"/>
      <c r="N957" s="26"/>
      <c r="O957" s="93"/>
      <c r="P957" s="95"/>
      <c r="Q957" s="197"/>
    </row>
    <row r="958" spans="3:17" x14ac:dyDescent="0.25">
      <c r="C958" s="199"/>
      <c r="D958" s="112"/>
      <c r="E958" s="33"/>
      <c r="F958" s="105"/>
      <c r="H958" s="116"/>
      <c r="I958" s="26"/>
      <c r="J958" s="98"/>
      <c r="K958" s="36"/>
      <c r="L958" s="26"/>
      <c r="M958" s="26"/>
      <c r="N958" s="26"/>
      <c r="O958" s="93"/>
      <c r="P958" s="95"/>
      <c r="Q958" s="197"/>
    </row>
    <row r="959" spans="3:17" x14ac:dyDescent="0.25">
      <c r="C959" s="199"/>
      <c r="D959" s="112"/>
      <c r="E959" s="33"/>
      <c r="F959" s="105"/>
      <c r="H959" s="116"/>
      <c r="I959" s="26"/>
      <c r="J959" s="98"/>
      <c r="K959" s="36"/>
      <c r="L959" s="26"/>
      <c r="M959" s="26"/>
      <c r="N959" s="26"/>
      <c r="O959" s="93"/>
      <c r="P959" s="95"/>
      <c r="Q959" s="197"/>
    </row>
    <row r="960" spans="3:17" x14ac:dyDescent="0.25">
      <c r="C960" s="199"/>
      <c r="D960" s="112"/>
      <c r="E960" s="33"/>
      <c r="F960" s="105"/>
      <c r="H960" s="116"/>
      <c r="I960" s="26"/>
      <c r="J960" s="98"/>
      <c r="K960" s="36"/>
      <c r="L960" s="26"/>
      <c r="M960" s="26"/>
      <c r="N960" s="26"/>
      <c r="O960" s="93"/>
      <c r="P960" s="95"/>
      <c r="Q960" s="197"/>
    </row>
    <row r="961" spans="3:17" x14ac:dyDescent="0.25">
      <c r="C961" s="199"/>
      <c r="D961" s="112"/>
      <c r="E961" s="33"/>
      <c r="F961" s="105"/>
      <c r="H961" s="116"/>
      <c r="I961" s="26"/>
      <c r="J961" s="98"/>
      <c r="K961" s="36"/>
      <c r="L961" s="26"/>
      <c r="M961" s="26"/>
      <c r="N961" s="26"/>
      <c r="O961" s="93"/>
      <c r="P961" s="95"/>
      <c r="Q961" s="197"/>
    </row>
    <row r="962" spans="3:17" x14ac:dyDescent="0.25">
      <c r="C962" s="199"/>
      <c r="D962" s="112"/>
      <c r="E962" s="33"/>
      <c r="F962" s="105"/>
      <c r="H962" s="116"/>
      <c r="I962" s="26"/>
      <c r="J962" s="98"/>
      <c r="K962" s="36"/>
      <c r="L962" s="26"/>
      <c r="M962" s="26"/>
      <c r="N962" s="26"/>
      <c r="O962" s="93"/>
      <c r="P962" s="95"/>
      <c r="Q962" s="197"/>
    </row>
    <row r="963" spans="3:17" x14ac:dyDescent="0.25">
      <c r="C963" s="199"/>
      <c r="D963" s="112"/>
      <c r="E963" s="33"/>
      <c r="F963" s="105"/>
      <c r="H963" s="116"/>
      <c r="I963" s="26"/>
      <c r="J963" s="98"/>
      <c r="K963" s="36"/>
      <c r="L963" s="26"/>
      <c r="M963" s="26"/>
      <c r="N963" s="26"/>
      <c r="O963" s="93"/>
      <c r="P963" s="95"/>
      <c r="Q963" s="197"/>
    </row>
    <row r="964" spans="3:17" x14ac:dyDescent="0.25">
      <c r="C964" s="199"/>
      <c r="D964" s="112"/>
      <c r="E964" s="33"/>
      <c r="F964" s="105"/>
      <c r="H964" s="116"/>
      <c r="I964" s="26"/>
      <c r="J964" s="98"/>
      <c r="K964" s="36"/>
      <c r="L964" s="26"/>
      <c r="M964" s="26"/>
      <c r="N964" s="26"/>
      <c r="O964" s="93"/>
      <c r="P964" s="95"/>
      <c r="Q964" s="197"/>
    </row>
    <row r="965" spans="3:17" x14ac:dyDescent="0.25">
      <c r="C965" s="199"/>
      <c r="D965" s="112"/>
      <c r="E965" s="33"/>
      <c r="F965" s="105"/>
      <c r="H965" s="116"/>
      <c r="I965" s="26"/>
      <c r="J965" s="98"/>
      <c r="K965" s="36"/>
      <c r="L965" s="26"/>
      <c r="M965" s="26"/>
      <c r="N965" s="26"/>
      <c r="O965" s="93"/>
      <c r="P965" s="95"/>
      <c r="Q965" s="197"/>
    </row>
    <row r="966" spans="3:17" x14ac:dyDescent="0.25">
      <c r="C966" s="199"/>
      <c r="D966" s="112"/>
      <c r="E966" s="33"/>
      <c r="F966" s="105"/>
      <c r="H966" s="116"/>
      <c r="I966" s="26"/>
      <c r="J966" s="98"/>
      <c r="K966" s="36"/>
      <c r="L966" s="26"/>
      <c r="M966" s="26"/>
      <c r="N966" s="26"/>
      <c r="O966" s="93"/>
      <c r="P966" s="95"/>
      <c r="Q966" s="197"/>
    </row>
    <row r="967" spans="3:17" x14ac:dyDescent="0.25">
      <c r="C967" s="199"/>
      <c r="D967" s="112"/>
      <c r="E967" s="33"/>
      <c r="F967" s="105"/>
      <c r="H967" s="116"/>
      <c r="I967" s="26"/>
      <c r="J967" s="98"/>
      <c r="K967" s="36"/>
      <c r="L967" s="26"/>
      <c r="M967" s="26"/>
      <c r="N967" s="26"/>
      <c r="O967" s="93"/>
      <c r="P967" s="95"/>
      <c r="Q967" s="197"/>
    </row>
    <row r="968" spans="3:17" x14ac:dyDescent="0.25">
      <c r="C968" s="199"/>
      <c r="D968" s="112"/>
      <c r="E968" s="33"/>
      <c r="F968" s="105"/>
      <c r="H968" s="116"/>
      <c r="I968" s="26"/>
      <c r="J968" s="98"/>
      <c r="K968" s="36"/>
      <c r="L968" s="26"/>
      <c r="M968" s="26"/>
      <c r="N968" s="26"/>
      <c r="O968" s="93"/>
      <c r="P968" s="95"/>
      <c r="Q968" s="197"/>
    </row>
    <row r="969" spans="3:17" x14ac:dyDescent="0.25">
      <c r="C969" s="199"/>
      <c r="D969" s="112"/>
      <c r="E969" s="33"/>
      <c r="F969" s="105"/>
      <c r="H969" s="116"/>
      <c r="I969" s="26"/>
      <c r="J969" s="98"/>
      <c r="K969" s="36"/>
      <c r="L969" s="26"/>
      <c r="M969" s="26"/>
      <c r="N969" s="26"/>
      <c r="O969" s="93"/>
      <c r="P969" s="95"/>
      <c r="Q969" s="197"/>
    </row>
    <row r="970" spans="3:17" x14ac:dyDescent="0.25">
      <c r="C970" s="199"/>
      <c r="D970" s="112"/>
      <c r="E970" s="33"/>
      <c r="F970" s="105"/>
      <c r="H970" s="116"/>
      <c r="I970" s="26"/>
      <c r="J970" s="98"/>
      <c r="K970" s="36"/>
      <c r="L970" s="26"/>
      <c r="M970" s="26"/>
      <c r="N970" s="26"/>
      <c r="O970" s="93"/>
      <c r="P970" s="95"/>
      <c r="Q970" s="197"/>
    </row>
    <row r="971" spans="3:17" x14ac:dyDescent="0.25">
      <c r="C971" s="199"/>
      <c r="D971" s="112"/>
      <c r="E971" s="33"/>
      <c r="F971" s="105"/>
      <c r="H971" s="116"/>
      <c r="I971" s="26"/>
      <c r="J971" s="98"/>
      <c r="K971" s="36"/>
      <c r="L971" s="26"/>
      <c r="M971" s="26"/>
      <c r="N971" s="26"/>
      <c r="O971" s="93"/>
      <c r="P971" s="95"/>
      <c r="Q971" s="197"/>
    </row>
    <row r="972" spans="3:17" x14ac:dyDescent="0.25">
      <c r="C972" s="199"/>
      <c r="D972" s="112"/>
      <c r="E972" s="33"/>
      <c r="F972" s="105"/>
      <c r="H972" s="116"/>
      <c r="I972" s="26"/>
      <c r="J972" s="98"/>
      <c r="K972" s="36"/>
      <c r="L972" s="26"/>
      <c r="M972" s="26"/>
      <c r="N972" s="26"/>
      <c r="O972" s="93"/>
      <c r="P972" s="95"/>
      <c r="Q972" s="197"/>
    </row>
    <row r="973" spans="3:17" x14ac:dyDescent="0.25">
      <c r="C973" s="199"/>
      <c r="D973" s="112"/>
      <c r="E973" s="33"/>
      <c r="F973" s="105"/>
      <c r="H973" s="116"/>
      <c r="I973" s="26"/>
      <c r="J973" s="98"/>
      <c r="K973" s="36"/>
      <c r="L973" s="26"/>
      <c r="M973" s="26"/>
      <c r="N973" s="26"/>
      <c r="O973" s="93"/>
      <c r="P973" s="95"/>
      <c r="Q973" s="197"/>
    </row>
    <row r="974" spans="3:17" x14ac:dyDescent="0.25">
      <c r="C974" s="199"/>
      <c r="D974" s="112"/>
      <c r="E974" s="33"/>
      <c r="F974" s="105"/>
      <c r="H974" s="116"/>
      <c r="I974" s="26"/>
      <c r="J974" s="98"/>
      <c r="K974" s="36"/>
      <c r="L974" s="26"/>
      <c r="M974" s="26"/>
      <c r="N974" s="26"/>
      <c r="O974" s="93"/>
      <c r="P974" s="95"/>
      <c r="Q974" s="197"/>
    </row>
    <row r="975" spans="3:17" x14ac:dyDescent="0.25">
      <c r="C975" s="199"/>
      <c r="D975" s="112"/>
      <c r="E975" s="33"/>
      <c r="F975" s="105"/>
      <c r="H975" s="116"/>
      <c r="I975" s="26"/>
      <c r="J975" s="98"/>
      <c r="K975" s="36"/>
      <c r="L975" s="26"/>
      <c r="M975" s="26"/>
      <c r="N975" s="26"/>
      <c r="O975" s="93"/>
      <c r="P975" s="95"/>
      <c r="Q975" s="197"/>
    </row>
    <row r="976" spans="3:17" x14ac:dyDescent="0.25">
      <c r="C976" s="199"/>
      <c r="D976" s="112"/>
      <c r="E976" s="33"/>
      <c r="F976" s="105"/>
      <c r="H976" s="116"/>
      <c r="I976" s="26"/>
      <c r="J976" s="98"/>
      <c r="K976" s="36"/>
      <c r="L976" s="26"/>
      <c r="M976" s="26"/>
      <c r="N976" s="26"/>
      <c r="O976" s="93"/>
      <c r="P976" s="95"/>
      <c r="Q976" s="197"/>
    </row>
    <row r="977" spans="3:17" x14ac:dyDescent="0.25">
      <c r="C977" s="199"/>
      <c r="D977" s="112"/>
      <c r="E977" s="33"/>
      <c r="F977" s="105"/>
      <c r="H977" s="116"/>
      <c r="I977" s="26"/>
      <c r="J977" s="98"/>
      <c r="K977" s="36"/>
      <c r="L977" s="26"/>
      <c r="M977" s="26"/>
      <c r="N977" s="26"/>
      <c r="O977" s="93"/>
      <c r="P977" s="95"/>
      <c r="Q977" s="197"/>
    </row>
    <row r="978" spans="3:17" x14ac:dyDescent="0.25">
      <c r="C978" s="199"/>
      <c r="D978" s="112"/>
      <c r="E978" s="33"/>
      <c r="F978" s="105"/>
      <c r="H978" s="116"/>
      <c r="I978" s="26"/>
      <c r="J978" s="98"/>
      <c r="K978" s="36"/>
      <c r="L978" s="26"/>
      <c r="M978" s="26"/>
      <c r="N978" s="26"/>
      <c r="O978" s="93"/>
      <c r="P978" s="95"/>
      <c r="Q978" s="197"/>
    </row>
    <row r="979" spans="3:17" x14ac:dyDescent="0.25">
      <c r="C979" s="199"/>
      <c r="D979" s="112"/>
      <c r="E979" s="33"/>
      <c r="F979" s="105"/>
      <c r="H979" s="116"/>
      <c r="I979" s="26"/>
      <c r="J979" s="98"/>
      <c r="K979" s="36"/>
      <c r="L979" s="26"/>
      <c r="M979" s="26"/>
      <c r="N979" s="26"/>
      <c r="O979" s="93"/>
      <c r="P979" s="95"/>
      <c r="Q979" s="197"/>
    </row>
    <row r="980" spans="3:17" x14ac:dyDescent="0.25">
      <c r="C980" s="199"/>
      <c r="D980" s="112"/>
      <c r="E980" s="33"/>
      <c r="F980" s="105"/>
      <c r="H980" s="116"/>
      <c r="I980" s="26"/>
      <c r="J980" s="98"/>
      <c r="K980" s="36"/>
      <c r="L980" s="26"/>
      <c r="M980" s="26"/>
      <c r="N980" s="26"/>
      <c r="O980" s="93"/>
      <c r="P980" s="95"/>
      <c r="Q980" s="197"/>
    </row>
    <row r="981" spans="3:17" x14ac:dyDescent="0.25">
      <c r="C981" s="199"/>
      <c r="D981" s="112"/>
      <c r="E981" s="33"/>
      <c r="F981" s="105"/>
      <c r="H981" s="116"/>
      <c r="I981" s="26"/>
      <c r="J981" s="98"/>
      <c r="K981" s="36"/>
      <c r="L981" s="26"/>
      <c r="M981" s="26"/>
      <c r="N981" s="26"/>
      <c r="O981" s="93"/>
      <c r="P981" s="95"/>
      <c r="Q981" s="197"/>
    </row>
    <row r="982" spans="3:17" x14ac:dyDescent="0.25">
      <c r="C982" s="199"/>
      <c r="D982" s="112"/>
      <c r="E982" s="33"/>
      <c r="F982" s="105"/>
      <c r="H982" s="116"/>
      <c r="I982" s="26"/>
      <c r="J982" s="98"/>
      <c r="K982" s="36"/>
      <c r="L982" s="26"/>
      <c r="M982" s="26"/>
      <c r="N982" s="26"/>
      <c r="O982" s="93"/>
      <c r="P982" s="95"/>
      <c r="Q982" s="197"/>
    </row>
    <row r="983" spans="3:17" x14ac:dyDescent="0.25">
      <c r="C983" s="199"/>
      <c r="D983" s="112"/>
      <c r="E983" s="33"/>
      <c r="F983" s="105"/>
      <c r="H983" s="116"/>
      <c r="I983" s="26"/>
      <c r="J983" s="98"/>
      <c r="K983" s="36"/>
      <c r="L983" s="26"/>
      <c r="M983" s="26"/>
      <c r="N983" s="26"/>
      <c r="O983" s="93"/>
      <c r="P983" s="95"/>
      <c r="Q983" s="197"/>
    </row>
    <row r="984" spans="3:17" x14ac:dyDescent="0.25">
      <c r="C984" s="199"/>
      <c r="D984" s="112"/>
      <c r="E984" s="33"/>
      <c r="F984" s="105"/>
      <c r="H984" s="116"/>
      <c r="I984" s="26"/>
      <c r="J984" s="98"/>
      <c r="K984" s="36"/>
      <c r="L984" s="26"/>
      <c r="M984" s="26"/>
      <c r="N984" s="26"/>
      <c r="O984" s="93"/>
      <c r="P984" s="95"/>
      <c r="Q984" s="197"/>
    </row>
    <row r="985" spans="3:17" x14ac:dyDescent="0.25">
      <c r="C985" s="199"/>
      <c r="D985" s="112"/>
      <c r="E985" s="33"/>
      <c r="F985" s="105"/>
      <c r="H985" s="116"/>
      <c r="I985" s="26"/>
      <c r="J985" s="98"/>
      <c r="K985" s="36"/>
      <c r="L985" s="26"/>
      <c r="M985" s="26"/>
      <c r="N985" s="26"/>
      <c r="O985" s="93"/>
      <c r="P985" s="95"/>
      <c r="Q985" s="197"/>
    </row>
    <row r="986" spans="3:17" x14ac:dyDescent="0.25">
      <c r="C986" s="199"/>
      <c r="D986" s="112"/>
      <c r="E986" s="33"/>
      <c r="F986" s="105"/>
      <c r="H986" s="116"/>
      <c r="I986" s="26"/>
      <c r="J986" s="98"/>
      <c r="K986" s="36"/>
      <c r="L986" s="26"/>
      <c r="M986" s="26"/>
      <c r="N986" s="26"/>
      <c r="O986" s="93"/>
      <c r="P986" s="95"/>
      <c r="Q986" s="197"/>
    </row>
    <row r="987" spans="3:17" x14ac:dyDescent="0.25">
      <c r="C987" s="199"/>
      <c r="D987" s="112"/>
      <c r="E987" s="33"/>
      <c r="F987" s="105"/>
      <c r="H987" s="116"/>
      <c r="I987" s="26"/>
      <c r="J987" s="98"/>
      <c r="K987" s="36"/>
      <c r="L987" s="26"/>
      <c r="M987" s="26"/>
      <c r="N987" s="26"/>
      <c r="O987" s="93"/>
      <c r="P987" s="95"/>
      <c r="Q987" s="197"/>
    </row>
    <row r="988" spans="3:17" x14ac:dyDescent="0.25">
      <c r="C988" s="199"/>
      <c r="D988" s="112"/>
      <c r="E988" s="33"/>
      <c r="F988" s="105"/>
      <c r="H988" s="116"/>
      <c r="I988" s="26"/>
      <c r="J988" s="98"/>
      <c r="K988" s="36"/>
      <c r="L988" s="26"/>
      <c r="M988" s="26"/>
      <c r="N988" s="26"/>
      <c r="O988" s="93"/>
      <c r="P988" s="95"/>
      <c r="Q988" s="197"/>
    </row>
    <row r="989" spans="3:17" x14ac:dyDescent="0.25">
      <c r="C989" s="199"/>
      <c r="D989" s="112"/>
      <c r="E989" s="33"/>
      <c r="F989" s="105"/>
      <c r="H989" s="116"/>
      <c r="I989" s="26"/>
      <c r="J989" s="98"/>
      <c r="K989" s="36"/>
      <c r="L989" s="26"/>
      <c r="M989" s="26"/>
      <c r="N989" s="26"/>
      <c r="O989" s="93"/>
      <c r="P989" s="95"/>
      <c r="Q989" s="197"/>
    </row>
    <row r="990" spans="3:17" x14ac:dyDescent="0.25">
      <c r="C990" s="199"/>
      <c r="D990" s="112"/>
      <c r="E990" s="33"/>
      <c r="F990" s="105"/>
      <c r="H990" s="116"/>
      <c r="I990" s="26"/>
      <c r="J990" s="98"/>
      <c r="K990" s="36"/>
      <c r="L990" s="26"/>
      <c r="M990" s="26"/>
      <c r="N990" s="26"/>
      <c r="O990" s="93"/>
      <c r="P990" s="95"/>
      <c r="Q990" s="197"/>
    </row>
    <row r="991" spans="3:17" x14ac:dyDescent="0.25">
      <c r="C991" s="199"/>
      <c r="D991" s="112"/>
      <c r="E991" s="33"/>
      <c r="F991" s="105"/>
      <c r="H991" s="116"/>
      <c r="I991" s="26"/>
      <c r="J991" s="98"/>
      <c r="K991" s="36"/>
      <c r="L991" s="26"/>
      <c r="M991" s="26"/>
      <c r="N991" s="26"/>
      <c r="O991" s="93"/>
      <c r="P991" s="95"/>
      <c r="Q991" s="197"/>
    </row>
    <row r="992" spans="3:17" x14ac:dyDescent="0.25">
      <c r="C992" s="199"/>
      <c r="D992" s="112"/>
      <c r="E992" s="33"/>
      <c r="F992" s="105"/>
      <c r="H992" s="116"/>
      <c r="I992" s="26"/>
      <c r="J992" s="98"/>
      <c r="K992" s="36"/>
      <c r="L992" s="26"/>
      <c r="M992" s="26"/>
      <c r="N992" s="26"/>
      <c r="O992" s="93"/>
      <c r="P992" s="95"/>
      <c r="Q992" s="197"/>
    </row>
    <row r="993" spans="3:17" x14ac:dyDescent="0.25">
      <c r="C993" s="199"/>
      <c r="D993" s="112"/>
      <c r="E993" s="33"/>
      <c r="F993" s="105"/>
      <c r="H993" s="116"/>
      <c r="I993" s="26"/>
      <c r="J993" s="98"/>
      <c r="K993" s="36"/>
      <c r="L993" s="26"/>
      <c r="M993" s="26"/>
      <c r="N993" s="26"/>
      <c r="O993" s="93"/>
      <c r="P993" s="95"/>
      <c r="Q993" s="197"/>
    </row>
    <row r="994" spans="3:17" x14ac:dyDescent="0.25">
      <c r="C994" s="199"/>
      <c r="D994" s="112"/>
      <c r="E994" s="33"/>
      <c r="F994" s="105"/>
      <c r="H994" s="116"/>
      <c r="I994" s="26"/>
      <c r="J994" s="98"/>
      <c r="K994" s="36"/>
      <c r="L994" s="26"/>
      <c r="M994" s="26"/>
      <c r="N994" s="26"/>
      <c r="O994" s="93"/>
      <c r="P994" s="95"/>
      <c r="Q994" s="197"/>
    </row>
    <row r="995" spans="3:17" x14ac:dyDescent="0.25">
      <c r="C995" s="199"/>
      <c r="D995" s="112"/>
      <c r="E995" s="33"/>
      <c r="F995" s="105"/>
      <c r="H995" s="116"/>
      <c r="I995" s="26"/>
      <c r="J995" s="98"/>
      <c r="K995" s="36"/>
      <c r="L995" s="26"/>
      <c r="M995" s="26"/>
      <c r="N995" s="26"/>
      <c r="O995" s="93"/>
      <c r="P995" s="95"/>
      <c r="Q995" s="197"/>
    </row>
    <row r="996" spans="3:17" x14ac:dyDescent="0.25">
      <c r="C996" s="199"/>
      <c r="D996" s="112"/>
      <c r="E996" s="33"/>
      <c r="F996" s="105"/>
      <c r="H996" s="116"/>
      <c r="I996" s="26"/>
      <c r="J996" s="98"/>
      <c r="K996" s="36"/>
      <c r="L996" s="26"/>
      <c r="M996" s="26"/>
      <c r="N996" s="26"/>
      <c r="O996" s="93"/>
      <c r="P996" s="95"/>
      <c r="Q996" s="197"/>
    </row>
    <row r="997" spans="3:17" x14ac:dyDescent="0.25">
      <c r="C997" s="199"/>
      <c r="D997" s="112"/>
      <c r="E997" s="33"/>
      <c r="F997" s="105"/>
      <c r="H997" s="116"/>
      <c r="I997" s="26"/>
      <c r="J997" s="98"/>
      <c r="K997" s="36"/>
      <c r="L997" s="26"/>
      <c r="M997" s="26"/>
      <c r="N997" s="26"/>
      <c r="O997" s="93"/>
      <c r="P997" s="95"/>
      <c r="Q997" s="197"/>
    </row>
    <row r="998" spans="3:17" x14ac:dyDescent="0.25">
      <c r="C998" s="199"/>
      <c r="D998" s="112"/>
      <c r="E998" s="33"/>
      <c r="F998" s="105"/>
      <c r="H998" s="116"/>
      <c r="I998" s="26"/>
      <c r="J998" s="98"/>
      <c r="K998" s="36"/>
      <c r="L998" s="26"/>
      <c r="M998" s="26"/>
      <c r="N998" s="26"/>
      <c r="O998" s="93"/>
      <c r="P998" s="95"/>
      <c r="Q998" s="197"/>
    </row>
    <row r="999" spans="3:17" x14ac:dyDescent="0.25">
      <c r="C999" s="199"/>
      <c r="D999" s="112"/>
      <c r="E999" s="33"/>
      <c r="F999" s="105"/>
      <c r="H999" s="116"/>
      <c r="I999" s="26"/>
      <c r="J999" s="98"/>
      <c r="K999" s="36"/>
      <c r="L999" s="26"/>
      <c r="M999" s="26"/>
      <c r="N999" s="26"/>
      <c r="O999" s="93"/>
      <c r="P999" s="95"/>
      <c r="Q999" s="197"/>
    </row>
    <row r="1000" spans="3:17" x14ac:dyDescent="0.25">
      <c r="C1000" s="199"/>
      <c r="D1000" s="112"/>
      <c r="E1000" s="33"/>
      <c r="F1000" s="105"/>
      <c r="H1000" s="116"/>
      <c r="I1000" s="26"/>
      <c r="J1000" s="98"/>
      <c r="K1000" s="36"/>
      <c r="L1000" s="26"/>
      <c r="M1000" s="26"/>
      <c r="N1000" s="26"/>
      <c r="O1000" s="93"/>
      <c r="P1000" s="95"/>
      <c r="Q1000" s="197"/>
    </row>
    <row r="1001" spans="3:17" x14ac:dyDescent="0.25">
      <c r="C1001" s="199"/>
      <c r="D1001" s="112"/>
      <c r="E1001" s="33"/>
      <c r="F1001" s="105"/>
      <c r="H1001" s="116"/>
      <c r="I1001" s="26"/>
      <c r="J1001" s="98"/>
      <c r="K1001" s="36"/>
      <c r="L1001" s="26"/>
      <c r="M1001" s="26"/>
      <c r="N1001" s="26"/>
      <c r="O1001" s="93"/>
      <c r="P1001" s="95"/>
      <c r="Q1001" s="197"/>
    </row>
    <row r="1002" spans="3:17" x14ac:dyDescent="0.25">
      <c r="C1002" s="199"/>
      <c r="D1002" s="112"/>
      <c r="E1002" s="33"/>
      <c r="F1002" s="105"/>
      <c r="H1002" s="116"/>
      <c r="I1002" s="26"/>
      <c r="J1002" s="98"/>
      <c r="K1002" s="36"/>
      <c r="L1002" s="26"/>
      <c r="M1002" s="26"/>
      <c r="N1002" s="26"/>
      <c r="O1002" s="93"/>
      <c r="P1002" s="95"/>
      <c r="Q1002" s="197"/>
    </row>
    <row r="1003" spans="3:17" x14ac:dyDescent="0.25">
      <c r="C1003" s="199"/>
      <c r="D1003" s="112"/>
      <c r="E1003" s="33"/>
      <c r="F1003" s="105"/>
      <c r="H1003" s="116"/>
      <c r="I1003" s="26"/>
      <c r="J1003" s="98"/>
      <c r="K1003" s="36"/>
      <c r="L1003" s="26"/>
      <c r="M1003" s="26"/>
      <c r="N1003" s="26"/>
      <c r="O1003" s="93"/>
      <c r="P1003" s="95"/>
      <c r="Q1003" s="197"/>
    </row>
    <row r="1004" spans="3:17" x14ac:dyDescent="0.25">
      <c r="C1004" s="199"/>
      <c r="D1004" s="112"/>
      <c r="E1004" s="33"/>
      <c r="F1004" s="105"/>
      <c r="H1004" s="116"/>
      <c r="I1004" s="26"/>
      <c r="J1004" s="98"/>
      <c r="K1004" s="36"/>
      <c r="L1004" s="26"/>
      <c r="M1004" s="26"/>
      <c r="N1004" s="26"/>
      <c r="O1004" s="93"/>
      <c r="P1004" s="95"/>
      <c r="Q1004" s="197"/>
    </row>
    <row r="1005" spans="3:17" x14ac:dyDescent="0.25">
      <c r="C1005" s="199"/>
      <c r="D1005" s="112"/>
      <c r="E1005" s="33"/>
      <c r="F1005" s="105"/>
      <c r="H1005" s="116"/>
      <c r="I1005" s="26"/>
      <c r="J1005" s="98"/>
      <c r="K1005" s="36"/>
      <c r="L1005" s="26"/>
      <c r="M1005" s="26"/>
      <c r="N1005" s="26"/>
      <c r="O1005" s="93"/>
      <c r="P1005" s="95"/>
      <c r="Q1005" s="197"/>
    </row>
    <row r="1006" spans="3:17" x14ac:dyDescent="0.25">
      <c r="C1006" s="199"/>
      <c r="D1006" s="112"/>
      <c r="E1006" s="33"/>
      <c r="F1006" s="105"/>
      <c r="H1006" s="116"/>
      <c r="I1006" s="26"/>
      <c r="J1006" s="98"/>
      <c r="K1006" s="36"/>
      <c r="L1006" s="26"/>
      <c r="M1006" s="26"/>
      <c r="N1006" s="26"/>
      <c r="O1006" s="93"/>
      <c r="P1006" s="95"/>
      <c r="Q1006" s="197"/>
    </row>
    <row r="1007" spans="3:17" x14ac:dyDescent="0.25">
      <c r="C1007" s="199"/>
      <c r="D1007" s="112"/>
      <c r="E1007" s="33"/>
      <c r="F1007" s="105"/>
      <c r="H1007" s="116"/>
      <c r="I1007" s="26"/>
      <c r="J1007" s="98"/>
      <c r="K1007" s="36"/>
      <c r="L1007" s="26"/>
      <c r="M1007" s="26"/>
      <c r="N1007" s="26"/>
      <c r="O1007" s="93"/>
      <c r="P1007" s="95"/>
      <c r="Q1007" s="197"/>
    </row>
    <row r="1008" spans="3:17" x14ac:dyDescent="0.25">
      <c r="C1008" s="199"/>
      <c r="D1008" s="112"/>
      <c r="E1008" s="33"/>
      <c r="F1008" s="105"/>
      <c r="H1008" s="116"/>
      <c r="I1008" s="26"/>
      <c r="J1008" s="98"/>
      <c r="K1008" s="36"/>
      <c r="L1008" s="26"/>
      <c r="M1008" s="26"/>
      <c r="N1008" s="26"/>
      <c r="O1008" s="93"/>
      <c r="P1008" s="95"/>
      <c r="Q1008" s="197"/>
    </row>
    <row r="1009" spans="3:17" x14ac:dyDescent="0.25">
      <c r="C1009" s="199"/>
      <c r="D1009" s="112"/>
      <c r="E1009" s="33"/>
      <c r="F1009" s="105"/>
      <c r="H1009" s="116"/>
      <c r="I1009" s="26"/>
      <c r="J1009" s="98"/>
      <c r="K1009" s="36"/>
      <c r="L1009" s="26"/>
      <c r="M1009" s="26"/>
      <c r="N1009" s="26"/>
      <c r="O1009" s="93"/>
      <c r="P1009" s="95"/>
      <c r="Q1009" s="197"/>
    </row>
    <row r="1010" spans="3:17" x14ac:dyDescent="0.25">
      <c r="C1010" s="199"/>
      <c r="D1010" s="112"/>
      <c r="E1010" s="33"/>
      <c r="F1010" s="105"/>
      <c r="H1010" s="116"/>
      <c r="I1010" s="26"/>
      <c r="J1010" s="98"/>
      <c r="K1010" s="36"/>
      <c r="L1010" s="26"/>
      <c r="M1010" s="26"/>
      <c r="N1010" s="26"/>
      <c r="O1010" s="93"/>
      <c r="P1010" s="95"/>
      <c r="Q1010" s="197"/>
    </row>
    <row r="1011" spans="3:17" x14ac:dyDescent="0.25">
      <c r="C1011" s="199"/>
      <c r="D1011" s="112"/>
      <c r="E1011" s="33"/>
      <c r="F1011" s="105"/>
      <c r="H1011" s="116"/>
      <c r="I1011" s="26"/>
      <c r="J1011" s="98"/>
      <c r="K1011" s="36"/>
      <c r="L1011" s="26"/>
      <c r="M1011" s="26"/>
      <c r="N1011" s="26"/>
      <c r="O1011" s="93"/>
      <c r="P1011" s="95"/>
      <c r="Q1011" s="197"/>
    </row>
    <row r="1012" spans="3:17" x14ac:dyDescent="0.25">
      <c r="C1012" s="199"/>
      <c r="D1012" s="112"/>
      <c r="E1012" s="33"/>
      <c r="F1012" s="105"/>
      <c r="H1012" s="116"/>
      <c r="I1012" s="26"/>
      <c r="J1012" s="98"/>
      <c r="K1012" s="36"/>
      <c r="L1012" s="26"/>
      <c r="M1012" s="26"/>
      <c r="N1012" s="26"/>
      <c r="O1012" s="93"/>
      <c r="P1012" s="95"/>
      <c r="Q1012" s="197"/>
    </row>
    <row r="1013" spans="3:17" x14ac:dyDescent="0.25">
      <c r="C1013" s="199"/>
      <c r="D1013" s="112"/>
      <c r="E1013" s="33"/>
      <c r="F1013" s="105"/>
      <c r="H1013" s="116"/>
      <c r="I1013" s="26"/>
      <c r="J1013" s="98"/>
      <c r="K1013" s="36"/>
      <c r="L1013" s="26"/>
      <c r="M1013" s="26"/>
      <c r="N1013" s="26"/>
      <c r="O1013" s="93"/>
      <c r="P1013" s="95"/>
      <c r="Q1013" s="197"/>
    </row>
    <row r="1014" spans="3:17" x14ac:dyDescent="0.25">
      <c r="C1014" s="199"/>
      <c r="D1014" s="112"/>
      <c r="E1014" s="33"/>
      <c r="F1014" s="105"/>
      <c r="H1014" s="116"/>
      <c r="I1014" s="26"/>
      <c r="J1014" s="98"/>
      <c r="K1014" s="36"/>
      <c r="L1014" s="26"/>
      <c r="M1014" s="26"/>
      <c r="N1014" s="26"/>
      <c r="O1014" s="93"/>
      <c r="P1014" s="95"/>
      <c r="Q1014" s="197"/>
    </row>
    <row r="1015" spans="3:17" x14ac:dyDescent="0.25">
      <c r="C1015" s="199"/>
      <c r="D1015" s="112"/>
      <c r="E1015" s="33"/>
      <c r="F1015" s="105"/>
      <c r="H1015" s="116"/>
      <c r="I1015" s="26"/>
      <c r="J1015" s="98"/>
      <c r="K1015" s="36"/>
      <c r="L1015" s="26"/>
      <c r="M1015" s="26"/>
      <c r="N1015" s="26"/>
      <c r="O1015" s="93"/>
      <c r="P1015" s="95"/>
      <c r="Q1015" s="197"/>
    </row>
    <row r="1016" spans="3:17" x14ac:dyDescent="0.25">
      <c r="C1016" s="199"/>
      <c r="D1016" s="112"/>
      <c r="E1016" s="33"/>
      <c r="F1016" s="105"/>
      <c r="H1016" s="116"/>
      <c r="I1016" s="26"/>
      <c r="J1016" s="98"/>
      <c r="K1016" s="36"/>
      <c r="L1016" s="26"/>
      <c r="M1016" s="26"/>
      <c r="N1016" s="26"/>
      <c r="O1016" s="93"/>
      <c r="P1016" s="95"/>
      <c r="Q1016" s="197"/>
    </row>
    <row r="1017" spans="3:17" x14ac:dyDescent="0.25">
      <c r="C1017" s="199"/>
      <c r="D1017" s="112"/>
      <c r="E1017" s="33"/>
      <c r="F1017" s="105"/>
      <c r="H1017" s="116"/>
      <c r="I1017" s="26"/>
      <c r="J1017" s="98"/>
      <c r="K1017" s="36"/>
      <c r="L1017" s="26"/>
      <c r="M1017" s="26"/>
      <c r="N1017" s="26"/>
      <c r="O1017" s="93"/>
      <c r="P1017" s="95"/>
      <c r="Q1017" s="197"/>
    </row>
    <row r="1018" spans="3:17" x14ac:dyDescent="0.25">
      <c r="C1018" s="199"/>
      <c r="D1018" s="112"/>
      <c r="E1018" s="33"/>
      <c r="F1018" s="105"/>
      <c r="H1018" s="116"/>
      <c r="I1018" s="26"/>
      <c r="J1018" s="98"/>
      <c r="K1018" s="36"/>
      <c r="L1018" s="26"/>
      <c r="M1018" s="26"/>
      <c r="N1018" s="26"/>
      <c r="O1018" s="93"/>
      <c r="P1018" s="95"/>
      <c r="Q1018" s="197"/>
    </row>
    <row r="1019" spans="3:17" x14ac:dyDescent="0.25">
      <c r="C1019" s="199"/>
      <c r="D1019" s="112"/>
      <c r="E1019" s="33"/>
      <c r="F1019" s="105"/>
      <c r="H1019" s="116"/>
      <c r="I1019" s="26"/>
      <c r="J1019" s="98"/>
      <c r="K1019" s="36"/>
      <c r="L1019" s="26"/>
      <c r="M1019" s="26"/>
      <c r="N1019" s="26"/>
      <c r="O1019" s="93"/>
      <c r="P1019" s="95"/>
      <c r="Q1019" s="197"/>
    </row>
    <row r="1020" spans="3:17" x14ac:dyDescent="0.25">
      <c r="C1020" s="199"/>
      <c r="D1020" s="112"/>
      <c r="E1020" s="33"/>
      <c r="F1020" s="105"/>
      <c r="H1020" s="116"/>
      <c r="I1020" s="26"/>
      <c r="J1020" s="98"/>
      <c r="K1020" s="36"/>
      <c r="L1020" s="26"/>
      <c r="M1020" s="26"/>
      <c r="N1020" s="26"/>
      <c r="O1020" s="93"/>
      <c r="P1020" s="95"/>
      <c r="Q1020" s="197"/>
    </row>
    <row r="1021" spans="3:17" x14ac:dyDescent="0.25">
      <c r="C1021" s="199"/>
      <c r="D1021" s="112"/>
      <c r="E1021" s="33"/>
      <c r="F1021" s="105"/>
      <c r="H1021" s="116"/>
      <c r="I1021" s="26"/>
      <c r="J1021" s="98"/>
      <c r="K1021" s="36"/>
      <c r="L1021" s="26"/>
      <c r="M1021" s="26"/>
      <c r="N1021" s="26"/>
      <c r="O1021" s="93"/>
      <c r="P1021" s="95"/>
      <c r="Q1021" s="197"/>
    </row>
    <row r="1022" spans="3:17" x14ac:dyDescent="0.25">
      <c r="C1022" s="199"/>
      <c r="D1022" s="112"/>
      <c r="E1022" s="33"/>
      <c r="F1022" s="105"/>
      <c r="H1022" s="116"/>
      <c r="I1022" s="26"/>
      <c r="J1022" s="98"/>
      <c r="K1022" s="36"/>
      <c r="L1022" s="26"/>
      <c r="M1022" s="26"/>
      <c r="N1022" s="26"/>
      <c r="O1022" s="93"/>
      <c r="P1022" s="95"/>
      <c r="Q1022" s="197"/>
    </row>
    <row r="1023" spans="3:17" x14ac:dyDescent="0.25">
      <c r="C1023" s="199"/>
      <c r="D1023" s="112"/>
      <c r="E1023" s="33"/>
      <c r="F1023" s="105"/>
      <c r="H1023" s="116"/>
      <c r="I1023" s="26"/>
      <c r="J1023" s="98"/>
      <c r="K1023" s="36"/>
      <c r="L1023" s="26"/>
      <c r="M1023" s="26"/>
      <c r="N1023" s="26"/>
      <c r="O1023" s="93"/>
      <c r="P1023" s="95"/>
      <c r="Q1023" s="197"/>
    </row>
    <row r="1024" spans="3:17" x14ac:dyDescent="0.25">
      <c r="C1024" s="199"/>
      <c r="D1024" s="112"/>
      <c r="E1024" s="33"/>
      <c r="F1024" s="105"/>
      <c r="H1024" s="116"/>
      <c r="I1024" s="26"/>
      <c r="J1024" s="98"/>
      <c r="K1024" s="36"/>
      <c r="L1024" s="26"/>
      <c r="M1024" s="26"/>
      <c r="N1024" s="26"/>
      <c r="O1024" s="93"/>
      <c r="P1024" s="95"/>
      <c r="Q1024" s="197"/>
    </row>
    <row r="1025" spans="3:17" x14ac:dyDescent="0.25">
      <c r="C1025" s="199"/>
      <c r="D1025" s="112"/>
      <c r="E1025" s="33"/>
      <c r="F1025" s="105"/>
      <c r="H1025" s="116"/>
      <c r="I1025" s="26"/>
      <c r="J1025" s="98"/>
      <c r="K1025" s="36"/>
      <c r="L1025" s="26"/>
      <c r="M1025" s="26"/>
      <c r="N1025" s="26"/>
      <c r="O1025" s="93"/>
      <c r="P1025" s="95"/>
      <c r="Q1025" s="197"/>
    </row>
    <row r="1026" spans="3:17" x14ac:dyDescent="0.25">
      <c r="C1026" s="199"/>
      <c r="D1026" s="112"/>
      <c r="E1026" s="33"/>
      <c r="F1026" s="105"/>
      <c r="H1026" s="116"/>
      <c r="I1026" s="26"/>
      <c r="J1026" s="98"/>
      <c r="K1026" s="36"/>
      <c r="L1026" s="26"/>
      <c r="M1026" s="26"/>
      <c r="N1026" s="26"/>
      <c r="O1026" s="93"/>
      <c r="P1026" s="95"/>
      <c r="Q1026" s="197"/>
    </row>
    <row r="1027" spans="3:17" x14ac:dyDescent="0.25">
      <c r="C1027" s="199"/>
      <c r="D1027" s="112"/>
      <c r="E1027" s="33"/>
      <c r="F1027" s="105"/>
      <c r="H1027" s="116"/>
      <c r="I1027" s="26"/>
      <c r="J1027" s="98"/>
      <c r="K1027" s="36"/>
      <c r="L1027" s="26"/>
      <c r="M1027" s="26"/>
      <c r="N1027" s="26"/>
      <c r="O1027" s="93"/>
      <c r="P1027" s="95"/>
      <c r="Q1027" s="197"/>
    </row>
    <row r="1028" spans="3:17" x14ac:dyDescent="0.25">
      <c r="C1028" s="199"/>
      <c r="D1028" s="112"/>
      <c r="E1028" s="33"/>
      <c r="F1028" s="105"/>
      <c r="H1028" s="116"/>
      <c r="I1028" s="26"/>
      <c r="J1028" s="98"/>
      <c r="K1028" s="36"/>
      <c r="L1028" s="26"/>
      <c r="M1028" s="26"/>
      <c r="N1028" s="26"/>
      <c r="O1028" s="93"/>
      <c r="P1028" s="95"/>
      <c r="Q1028" s="197"/>
    </row>
    <row r="1029" spans="3:17" x14ac:dyDescent="0.25">
      <c r="C1029" s="199"/>
      <c r="D1029" s="112"/>
      <c r="E1029" s="33"/>
      <c r="F1029" s="105"/>
      <c r="H1029" s="116"/>
      <c r="I1029" s="26"/>
      <c r="J1029" s="98"/>
      <c r="K1029" s="36"/>
      <c r="L1029" s="26"/>
      <c r="M1029" s="26"/>
      <c r="N1029" s="26"/>
      <c r="O1029" s="93"/>
      <c r="P1029" s="95"/>
      <c r="Q1029" s="197"/>
    </row>
    <row r="1030" spans="3:17" x14ac:dyDescent="0.25">
      <c r="C1030" s="199"/>
      <c r="D1030" s="112"/>
      <c r="E1030" s="33"/>
      <c r="F1030" s="105"/>
      <c r="H1030" s="116"/>
      <c r="I1030" s="26"/>
      <c r="J1030" s="98"/>
      <c r="K1030" s="36"/>
      <c r="L1030" s="26"/>
      <c r="M1030" s="26"/>
      <c r="N1030" s="26"/>
      <c r="O1030" s="93"/>
      <c r="P1030" s="95"/>
      <c r="Q1030" s="197"/>
    </row>
    <row r="1031" spans="3:17" x14ac:dyDescent="0.25">
      <c r="C1031" s="199"/>
      <c r="D1031" s="112"/>
      <c r="E1031" s="33"/>
      <c r="F1031" s="105"/>
      <c r="H1031" s="116"/>
      <c r="I1031" s="26"/>
      <c r="J1031" s="98"/>
      <c r="K1031" s="36"/>
      <c r="L1031" s="26"/>
      <c r="M1031" s="26"/>
      <c r="N1031" s="26"/>
      <c r="O1031" s="93"/>
      <c r="P1031" s="95"/>
      <c r="Q1031" s="197"/>
    </row>
    <row r="1032" spans="3:17" x14ac:dyDescent="0.25">
      <c r="C1032" s="199"/>
      <c r="D1032" s="112"/>
      <c r="E1032" s="33"/>
      <c r="F1032" s="105"/>
      <c r="H1032" s="116"/>
      <c r="I1032" s="26"/>
      <c r="J1032" s="98"/>
      <c r="K1032" s="36"/>
      <c r="L1032" s="26"/>
      <c r="M1032" s="26"/>
      <c r="N1032" s="26"/>
      <c r="O1032" s="93"/>
      <c r="P1032" s="95"/>
      <c r="Q1032" s="197"/>
    </row>
    <row r="1033" spans="3:17" x14ac:dyDescent="0.25">
      <c r="C1033" s="199"/>
      <c r="D1033" s="112"/>
      <c r="E1033" s="33"/>
      <c r="F1033" s="105"/>
      <c r="H1033" s="116"/>
      <c r="I1033" s="26"/>
      <c r="J1033" s="98"/>
      <c r="K1033" s="36"/>
      <c r="L1033" s="26"/>
      <c r="M1033" s="26"/>
      <c r="N1033" s="26"/>
      <c r="O1033" s="93"/>
      <c r="P1033" s="95"/>
      <c r="Q1033" s="197"/>
    </row>
    <row r="1034" spans="3:17" x14ac:dyDescent="0.25">
      <c r="C1034" s="199"/>
      <c r="D1034" s="112"/>
      <c r="E1034" s="33"/>
      <c r="F1034" s="105"/>
      <c r="H1034" s="116"/>
      <c r="I1034" s="26"/>
      <c r="J1034" s="98"/>
      <c r="K1034" s="36"/>
      <c r="L1034" s="26"/>
      <c r="M1034" s="26"/>
      <c r="N1034" s="26"/>
      <c r="O1034" s="93"/>
      <c r="P1034" s="95"/>
      <c r="Q1034" s="197"/>
    </row>
    <row r="1035" spans="3:17" x14ac:dyDescent="0.25">
      <c r="C1035" s="199"/>
      <c r="D1035" s="112"/>
      <c r="E1035" s="33"/>
      <c r="F1035" s="105"/>
      <c r="H1035" s="116"/>
      <c r="I1035" s="26"/>
      <c r="J1035" s="98"/>
      <c r="K1035" s="36"/>
      <c r="L1035" s="26"/>
      <c r="M1035" s="26"/>
      <c r="N1035" s="26"/>
      <c r="O1035" s="93"/>
      <c r="P1035" s="95"/>
      <c r="Q1035" s="197"/>
    </row>
    <row r="1036" spans="3:17" x14ac:dyDescent="0.25">
      <c r="C1036" s="199"/>
      <c r="D1036" s="112"/>
      <c r="E1036" s="33"/>
      <c r="F1036" s="105"/>
      <c r="H1036" s="116"/>
      <c r="I1036" s="26"/>
      <c r="J1036" s="98"/>
      <c r="K1036" s="36"/>
      <c r="L1036" s="26"/>
      <c r="M1036" s="26"/>
      <c r="N1036" s="26"/>
      <c r="O1036" s="93"/>
      <c r="P1036" s="95"/>
      <c r="Q1036" s="197"/>
    </row>
    <row r="1037" spans="3:17" x14ac:dyDescent="0.25">
      <c r="C1037" s="199"/>
      <c r="D1037" s="112"/>
      <c r="E1037" s="33"/>
      <c r="F1037" s="105"/>
      <c r="H1037" s="116"/>
      <c r="I1037" s="26"/>
      <c r="J1037" s="98"/>
      <c r="K1037" s="36"/>
      <c r="L1037" s="26"/>
      <c r="M1037" s="26"/>
      <c r="N1037" s="26"/>
      <c r="O1037" s="93"/>
      <c r="P1037" s="95"/>
      <c r="Q1037" s="197"/>
    </row>
    <row r="1038" spans="3:17" x14ac:dyDescent="0.25">
      <c r="C1038" s="199"/>
      <c r="D1038" s="112"/>
      <c r="E1038" s="33"/>
      <c r="F1038" s="105"/>
      <c r="H1038" s="116"/>
      <c r="I1038" s="26"/>
      <c r="J1038" s="98"/>
      <c r="K1038" s="36"/>
      <c r="L1038" s="26"/>
      <c r="M1038" s="26"/>
      <c r="N1038" s="26"/>
      <c r="O1038" s="93"/>
      <c r="P1038" s="95"/>
      <c r="Q1038" s="197"/>
    </row>
    <row r="1039" spans="3:17" x14ac:dyDescent="0.25">
      <c r="C1039" s="199"/>
      <c r="D1039" s="112"/>
      <c r="E1039" s="33"/>
      <c r="F1039" s="105"/>
      <c r="H1039" s="116"/>
      <c r="I1039" s="26"/>
      <c r="J1039" s="98"/>
      <c r="K1039" s="36"/>
      <c r="L1039" s="26"/>
      <c r="M1039" s="26"/>
      <c r="N1039" s="26"/>
      <c r="O1039" s="93"/>
      <c r="P1039" s="95"/>
      <c r="Q1039" s="197"/>
    </row>
    <row r="1040" spans="3:17" x14ac:dyDescent="0.25">
      <c r="C1040" s="199"/>
      <c r="D1040" s="112"/>
      <c r="E1040" s="33"/>
      <c r="F1040" s="105"/>
      <c r="H1040" s="116"/>
      <c r="I1040" s="26"/>
      <c r="J1040" s="98"/>
      <c r="K1040" s="36"/>
      <c r="L1040" s="26"/>
      <c r="M1040" s="26"/>
      <c r="N1040" s="26"/>
      <c r="O1040" s="93"/>
      <c r="P1040" s="95"/>
      <c r="Q1040" s="197"/>
    </row>
    <row r="1041" spans="3:17" x14ac:dyDescent="0.25">
      <c r="C1041" s="199"/>
      <c r="D1041" s="112"/>
      <c r="E1041" s="33"/>
      <c r="F1041" s="105"/>
      <c r="H1041" s="116"/>
      <c r="I1041" s="26"/>
      <c r="J1041" s="98"/>
      <c r="K1041" s="36"/>
      <c r="L1041" s="26"/>
      <c r="M1041" s="26"/>
      <c r="N1041" s="26"/>
      <c r="O1041" s="93"/>
      <c r="P1041" s="95"/>
      <c r="Q1041" s="197"/>
    </row>
    <row r="1042" spans="3:17" x14ac:dyDescent="0.25">
      <c r="C1042" s="199"/>
      <c r="D1042" s="112"/>
      <c r="E1042" s="33"/>
      <c r="F1042" s="105"/>
      <c r="H1042" s="116"/>
      <c r="I1042" s="26"/>
      <c r="J1042" s="98"/>
      <c r="K1042" s="36"/>
      <c r="L1042" s="26"/>
      <c r="M1042" s="26"/>
      <c r="N1042" s="26"/>
      <c r="O1042" s="93"/>
      <c r="P1042" s="95"/>
      <c r="Q1042" s="197"/>
    </row>
    <row r="1043" spans="3:17" x14ac:dyDescent="0.25">
      <c r="C1043" s="199"/>
      <c r="D1043" s="112"/>
      <c r="E1043" s="33"/>
      <c r="F1043" s="105"/>
      <c r="H1043" s="116"/>
      <c r="I1043" s="26"/>
      <c r="J1043" s="98"/>
      <c r="K1043" s="36"/>
      <c r="L1043" s="26"/>
      <c r="M1043" s="26"/>
      <c r="N1043" s="26"/>
      <c r="O1043" s="93"/>
      <c r="P1043" s="95"/>
      <c r="Q1043" s="197"/>
    </row>
    <row r="1044" spans="3:17" x14ac:dyDescent="0.25">
      <c r="C1044" s="199"/>
      <c r="D1044" s="112"/>
      <c r="E1044" s="33"/>
      <c r="F1044" s="105"/>
      <c r="H1044" s="116"/>
      <c r="I1044" s="26"/>
      <c r="J1044" s="98"/>
      <c r="K1044" s="36"/>
      <c r="L1044" s="26"/>
      <c r="M1044" s="26"/>
      <c r="N1044" s="26"/>
      <c r="O1044" s="93"/>
      <c r="P1044" s="95"/>
      <c r="Q1044" s="197"/>
    </row>
    <row r="1045" spans="3:17" x14ac:dyDescent="0.25">
      <c r="C1045" s="199"/>
      <c r="D1045" s="112"/>
      <c r="E1045" s="33"/>
      <c r="F1045" s="105"/>
      <c r="H1045" s="116"/>
      <c r="I1045" s="26"/>
      <c r="J1045" s="98"/>
      <c r="K1045" s="36"/>
      <c r="L1045" s="26"/>
      <c r="M1045" s="26"/>
      <c r="N1045" s="26"/>
      <c r="O1045" s="93"/>
      <c r="P1045" s="95"/>
      <c r="Q1045" s="197"/>
    </row>
    <row r="1046" spans="3:17" x14ac:dyDescent="0.25">
      <c r="C1046" s="199"/>
      <c r="D1046" s="112"/>
      <c r="E1046" s="33"/>
      <c r="F1046" s="105"/>
      <c r="H1046" s="116"/>
      <c r="I1046" s="26"/>
      <c r="J1046" s="98"/>
      <c r="K1046" s="36"/>
      <c r="L1046" s="26"/>
      <c r="M1046" s="26"/>
      <c r="N1046" s="26"/>
      <c r="O1046" s="93"/>
      <c r="P1046" s="95"/>
      <c r="Q1046" s="197"/>
    </row>
    <row r="1047" spans="3:17" x14ac:dyDescent="0.25">
      <c r="C1047" s="199"/>
      <c r="D1047" s="112"/>
      <c r="E1047" s="33"/>
      <c r="F1047" s="105"/>
      <c r="H1047" s="116"/>
      <c r="I1047" s="26"/>
      <c r="J1047" s="98"/>
      <c r="K1047" s="36"/>
      <c r="L1047" s="26"/>
      <c r="M1047" s="26"/>
      <c r="N1047" s="26"/>
      <c r="O1047" s="93"/>
      <c r="P1047" s="95"/>
      <c r="Q1047" s="197"/>
    </row>
    <row r="1048" spans="3:17" x14ac:dyDescent="0.25">
      <c r="C1048" s="199"/>
      <c r="D1048" s="112"/>
      <c r="E1048" s="33"/>
      <c r="F1048" s="105"/>
      <c r="H1048" s="116"/>
      <c r="I1048" s="26"/>
      <c r="J1048" s="98"/>
      <c r="K1048" s="36"/>
      <c r="L1048" s="26"/>
      <c r="M1048" s="26"/>
      <c r="N1048" s="26"/>
      <c r="O1048" s="93"/>
      <c r="P1048" s="95"/>
      <c r="Q1048" s="197"/>
    </row>
    <row r="1049" spans="3:17" x14ac:dyDescent="0.25">
      <c r="C1049" s="199"/>
      <c r="D1049" s="112"/>
      <c r="E1049" s="33"/>
      <c r="F1049" s="105"/>
      <c r="H1049" s="116"/>
      <c r="I1049" s="26"/>
      <c r="J1049" s="98"/>
      <c r="K1049" s="36"/>
      <c r="L1049" s="26"/>
      <c r="M1049" s="26"/>
      <c r="N1049" s="26"/>
      <c r="O1049" s="93"/>
      <c r="P1049" s="95"/>
      <c r="Q1049" s="197"/>
    </row>
    <row r="1050" spans="3:17" x14ac:dyDescent="0.25">
      <c r="C1050" s="199"/>
      <c r="D1050" s="112"/>
      <c r="E1050" s="33"/>
      <c r="F1050" s="105"/>
      <c r="H1050" s="116"/>
      <c r="I1050" s="26"/>
      <c r="J1050" s="98"/>
      <c r="K1050" s="36"/>
      <c r="L1050" s="26"/>
      <c r="M1050" s="26"/>
      <c r="N1050" s="26"/>
      <c r="O1050" s="93"/>
      <c r="P1050" s="95"/>
      <c r="Q1050" s="197"/>
    </row>
    <row r="1051" spans="3:17" x14ac:dyDescent="0.25">
      <c r="C1051" s="199"/>
      <c r="D1051" s="112"/>
      <c r="E1051" s="33"/>
      <c r="F1051" s="105"/>
      <c r="H1051" s="116"/>
      <c r="I1051" s="26"/>
      <c r="J1051" s="98"/>
      <c r="K1051" s="36"/>
      <c r="L1051" s="26"/>
      <c r="M1051" s="26"/>
      <c r="N1051" s="26"/>
      <c r="O1051" s="93"/>
      <c r="P1051" s="95"/>
      <c r="Q1051" s="197"/>
    </row>
    <row r="1052" spans="3:17" x14ac:dyDescent="0.25">
      <c r="C1052" s="199"/>
      <c r="D1052" s="112"/>
      <c r="E1052" s="33"/>
      <c r="F1052" s="105"/>
      <c r="H1052" s="116"/>
      <c r="I1052" s="26"/>
      <c r="J1052" s="98"/>
      <c r="K1052" s="36"/>
      <c r="L1052" s="26"/>
      <c r="M1052" s="26"/>
      <c r="N1052" s="26"/>
      <c r="O1052" s="93"/>
      <c r="P1052" s="95"/>
      <c r="Q1052" s="197"/>
    </row>
    <row r="1053" spans="3:17" x14ac:dyDescent="0.25">
      <c r="C1053" s="199"/>
      <c r="D1053" s="112"/>
      <c r="E1053" s="33"/>
      <c r="F1053" s="105"/>
      <c r="H1053" s="116"/>
      <c r="I1053" s="26"/>
      <c r="J1053" s="98"/>
      <c r="K1053" s="36"/>
      <c r="L1053" s="26"/>
      <c r="M1053" s="26"/>
      <c r="N1053" s="26"/>
      <c r="O1053" s="93"/>
      <c r="P1053" s="95"/>
      <c r="Q1053" s="197"/>
    </row>
    <row r="1054" spans="3:17" x14ac:dyDescent="0.25">
      <c r="C1054" s="199"/>
      <c r="D1054" s="112"/>
      <c r="E1054" s="33"/>
      <c r="F1054" s="105"/>
      <c r="H1054" s="116"/>
      <c r="I1054" s="26"/>
      <c r="J1054" s="98"/>
      <c r="K1054" s="36"/>
      <c r="L1054" s="26"/>
      <c r="M1054" s="26"/>
      <c r="N1054" s="26"/>
      <c r="O1054" s="93"/>
      <c r="P1054" s="95"/>
      <c r="Q1054" s="197"/>
    </row>
    <row r="1055" spans="3:17" x14ac:dyDescent="0.25">
      <c r="C1055" s="199"/>
      <c r="D1055" s="112"/>
      <c r="E1055" s="33"/>
      <c r="F1055" s="105"/>
      <c r="H1055" s="116"/>
      <c r="I1055" s="26"/>
      <c r="J1055" s="98"/>
      <c r="K1055" s="36"/>
      <c r="L1055" s="26"/>
      <c r="M1055" s="26"/>
      <c r="N1055" s="26"/>
      <c r="O1055" s="93"/>
      <c r="P1055" s="95"/>
      <c r="Q1055" s="197"/>
    </row>
    <row r="1056" spans="3:17" x14ac:dyDescent="0.25">
      <c r="C1056" s="199"/>
      <c r="D1056" s="112"/>
      <c r="E1056" s="33"/>
      <c r="F1056" s="105"/>
      <c r="H1056" s="116"/>
      <c r="I1056" s="26"/>
      <c r="J1056" s="98"/>
      <c r="K1056" s="36"/>
      <c r="L1056" s="26"/>
      <c r="M1056" s="26"/>
      <c r="N1056" s="26"/>
      <c r="O1056" s="93"/>
      <c r="P1056" s="95"/>
      <c r="Q1056" s="197"/>
    </row>
    <row r="1057" spans="3:17" x14ac:dyDescent="0.25">
      <c r="C1057" s="199"/>
      <c r="D1057" s="112"/>
      <c r="E1057" s="33"/>
      <c r="F1057" s="105"/>
      <c r="H1057" s="116"/>
      <c r="I1057" s="26"/>
      <c r="J1057" s="98"/>
      <c r="K1057" s="36"/>
      <c r="L1057" s="26"/>
      <c r="M1057" s="26"/>
      <c r="N1057" s="26"/>
      <c r="O1057" s="93"/>
      <c r="P1057" s="95"/>
      <c r="Q1057" s="197"/>
    </row>
    <row r="1058" spans="3:17" x14ac:dyDescent="0.25">
      <c r="C1058" s="199"/>
      <c r="D1058" s="112"/>
      <c r="E1058" s="33"/>
      <c r="F1058" s="105"/>
      <c r="H1058" s="116"/>
      <c r="I1058" s="26"/>
      <c r="J1058" s="98"/>
      <c r="K1058" s="36"/>
      <c r="L1058" s="26"/>
      <c r="M1058" s="26"/>
      <c r="N1058" s="26"/>
      <c r="O1058" s="93"/>
      <c r="P1058" s="95"/>
      <c r="Q1058" s="197"/>
    </row>
    <row r="1059" spans="3:17" x14ac:dyDescent="0.25">
      <c r="C1059" s="199"/>
      <c r="D1059" s="112"/>
      <c r="E1059" s="33"/>
      <c r="F1059" s="105"/>
      <c r="H1059" s="116"/>
      <c r="I1059" s="26"/>
      <c r="J1059" s="98"/>
      <c r="K1059" s="36"/>
      <c r="L1059" s="26"/>
      <c r="M1059" s="26"/>
      <c r="N1059" s="26"/>
      <c r="O1059" s="93"/>
      <c r="P1059" s="95"/>
      <c r="Q1059" s="197"/>
    </row>
    <row r="1060" spans="3:17" x14ac:dyDescent="0.25">
      <c r="C1060" s="199"/>
      <c r="D1060" s="112"/>
      <c r="E1060" s="33"/>
      <c r="F1060" s="105"/>
      <c r="H1060" s="116"/>
      <c r="I1060" s="26"/>
      <c r="J1060" s="98"/>
      <c r="K1060" s="36"/>
      <c r="L1060" s="26"/>
      <c r="M1060" s="26"/>
      <c r="N1060" s="26"/>
      <c r="O1060" s="93"/>
      <c r="P1060" s="95"/>
      <c r="Q1060" s="197"/>
    </row>
    <row r="1061" spans="3:17" x14ac:dyDescent="0.25">
      <c r="C1061" s="199"/>
      <c r="D1061" s="112"/>
      <c r="E1061" s="33"/>
      <c r="F1061" s="105"/>
      <c r="H1061" s="116"/>
      <c r="I1061" s="26"/>
      <c r="J1061" s="98"/>
      <c r="K1061" s="36"/>
      <c r="L1061" s="26"/>
      <c r="M1061" s="26"/>
      <c r="N1061" s="26"/>
      <c r="O1061" s="93"/>
      <c r="P1061" s="95"/>
      <c r="Q1061" s="197"/>
    </row>
    <row r="1062" spans="3:17" x14ac:dyDescent="0.25">
      <c r="C1062" s="199"/>
      <c r="D1062" s="112"/>
      <c r="E1062" s="33"/>
      <c r="F1062" s="105"/>
      <c r="H1062" s="116"/>
      <c r="I1062" s="26"/>
      <c r="J1062" s="98"/>
      <c r="K1062" s="36"/>
      <c r="L1062" s="26"/>
      <c r="M1062" s="26"/>
      <c r="N1062" s="26"/>
      <c r="O1062" s="93"/>
      <c r="P1062" s="95"/>
      <c r="Q1062" s="197"/>
    </row>
    <row r="1063" spans="3:17" x14ac:dyDescent="0.25">
      <c r="C1063" s="199"/>
      <c r="D1063" s="112"/>
      <c r="E1063" s="33"/>
      <c r="F1063" s="105"/>
      <c r="H1063" s="116"/>
      <c r="I1063" s="26"/>
      <c r="J1063" s="98"/>
      <c r="K1063" s="36"/>
      <c r="L1063" s="26"/>
      <c r="M1063" s="26"/>
      <c r="N1063" s="26"/>
      <c r="O1063" s="93"/>
      <c r="P1063" s="95"/>
      <c r="Q1063" s="197"/>
    </row>
    <row r="1064" spans="3:17" x14ac:dyDescent="0.25">
      <c r="C1064" s="199"/>
      <c r="D1064" s="112"/>
      <c r="E1064" s="33"/>
      <c r="F1064" s="105"/>
      <c r="H1064" s="116"/>
      <c r="I1064" s="26"/>
      <c r="J1064" s="98"/>
      <c r="K1064" s="36"/>
      <c r="L1064" s="26"/>
      <c r="M1064" s="26"/>
      <c r="N1064" s="26"/>
      <c r="O1064" s="93"/>
      <c r="P1064" s="95"/>
      <c r="Q1064" s="197"/>
    </row>
    <row r="1065" spans="3:17" x14ac:dyDescent="0.25">
      <c r="C1065" s="199"/>
      <c r="D1065" s="112"/>
      <c r="E1065" s="33"/>
      <c r="F1065" s="105"/>
      <c r="H1065" s="116"/>
      <c r="I1065" s="26"/>
      <c r="J1065" s="98"/>
      <c r="K1065" s="36"/>
      <c r="L1065" s="26"/>
      <c r="M1065" s="26"/>
      <c r="N1065" s="26"/>
      <c r="O1065" s="93"/>
      <c r="P1065" s="95"/>
      <c r="Q1065" s="197"/>
    </row>
    <row r="1066" spans="3:17" x14ac:dyDescent="0.25">
      <c r="C1066" s="199"/>
      <c r="D1066" s="112"/>
      <c r="E1066" s="33"/>
      <c r="F1066" s="105"/>
      <c r="H1066" s="116"/>
      <c r="I1066" s="26"/>
      <c r="J1066" s="98"/>
      <c r="K1066" s="36"/>
      <c r="L1066" s="26"/>
      <c r="M1066" s="26"/>
      <c r="N1066" s="26"/>
      <c r="O1066" s="93"/>
      <c r="P1066" s="95"/>
      <c r="Q1066" s="197"/>
    </row>
    <row r="1067" spans="3:17" x14ac:dyDescent="0.25">
      <c r="C1067" s="199"/>
      <c r="D1067" s="112"/>
      <c r="E1067" s="33"/>
      <c r="F1067" s="105"/>
      <c r="H1067" s="116"/>
      <c r="I1067" s="26"/>
      <c r="J1067" s="98"/>
      <c r="K1067" s="36"/>
      <c r="L1067" s="26"/>
      <c r="M1067" s="26"/>
      <c r="N1067" s="26"/>
      <c r="O1067" s="93"/>
      <c r="P1067" s="95"/>
      <c r="Q1067" s="197"/>
    </row>
    <row r="1068" spans="3:17" x14ac:dyDescent="0.25">
      <c r="C1068" s="199"/>
      <c r="D1068" s="112"/>
      <c r="E1068" s="33"/>
      <c r="F1068" s="105"/>
      <c r="H1068" s="116"/>
      <c r="I1068" s="26"/>
      <c r="J1068" s="98"/>
      <c r="K1068" s="36"/>
      <c r="L1068" s="26"/>
      <c r="M1068" s="26"/>
      <c r="N1068" s="26"/>
      <c r="O1068" s="93"/>
      <c r="P1068" s="95"/>
      <c r="Q1068" s="197"/>
    </row>
    <row r="1069" spans="3:17" x14ac:dyDescent="0.25">
      <c r="C1069" s="199"/>
      <c r="D1069" s="112"/>
      <c r="E1069" s="33"/>
      <c r="F1069" s="105"/>
      <c r="H1069" s="116"/>
      <c r="I1069" s="26"/>
      <c r="J1069" s="98"/>
      <c r="K1069" s="36"/>
      <c r="L1069" s="26"/>
      <c r="M1069" s="26"/>
      <c r="N1069" s="26"/>
      <c r="O1069" s="93"/>
      <c r="P1069" s="95"/>
      <c r="Q1069" s="197"/>
    </row>
    <row r="1070" spans="3:17" x14ac:dyDescent="0.25">
      <c r="C1070" s="199"/>
      <c r="D1070" s="112"/>
      <c r="E1070" s="33"/>
      <c r="F1070" s="105"/>
      <c r="H1070" s="116"/>
      <c r="I1070" s="26"/>
      <c r="J1070" s="98"/>
      <c r="K1070" s="36"/>
      <c r="L1070" s="26"/>
      <c r="M1070" s="26"/>
      <c r="N1070" s="26"/>
      <c r="O1070" s="93"/>
      <c r="P1070" s="95"/>
      <c r="Q1070" s="197"/>
    </row>
    <row r="1071" spans="3:17" x14ac:dyDescent="0.25">
      <c r="C1071" s="199"/>
      <c r="D1071" s="112"/>
      <c r="E1071" s="33"/>
      <c r="F1071" s="105"/>
      <c r="H1071" s="116"/>
      <c r="I1071" s="26"/>
      <c r="J1071" s="98"/>
      <c r="K1071" s="36"/>
      <c r="L1071" s="26"/>
      <c r="M1071" s="26"/>
      <c r="N1071" s="26"/>
      <c r="O1071" s="93"/>
      <c r="P1071" s="95"/>
      <c r="Q1071" s="197"/>
    </row>
    <row r="1072" spans="3:17" x14ac:dyDescent="0.25">
      <c r="C1072" s="199"/>
      <c r="D1072" s="112"/>
      <c r="E1072" s="33"/>
      <c r="F1072" s="105"/>
      <c r="H1072" s="116"/>
      <c r="I1072" s="26"/>
      <c r="J1072" s="98"/>
      <c r="K1072" s="36"/>
      <c r="L1072" s="26"/>
      <c r="M1072" s="26"/>
      <c r="N1072" s="26"/>
      <c r="O1072" s="93"/>
      <c r="P1072" s="95"/>
      <c r="Q1072" s="197"/>
    </row>
    <row r="1073" spans="3:17" x14ac:dyDescent="0.25">
      <c r="C1073" s="199"/>
      <c r="D1073" s="112"/>
      <c r="E1073" s="33"/>
      <c r="F1073" s="105"/>
      <c r="H1073" s="116"/>
      <c r="I1073" s="26"/>
      <c r="J1073" s="98"/>
      <c r="K1073" s="36"/>
      <c r="L1073" s="26"/>
      <c r="M1073" s="26"/>
      <c r="N1073" s="26"/>
      <c r="O1073" s="93"/>
      <c r="P1073" s="95"/>
      <c r="Q1073" s="197"/>
    </row>
    <row r="1074" spans="3:17" x14ac:dyDescent="0.25">
      <c r="C1074" s="199"/>
      <c r="D1074" s="112"/>
      <c r="E1074" s="33"/>
      <c r="F1074" s="105"/>
      <c r="H1074" s="116"/>
      <c r="I1074" s="26"/>
      <c r="J1074" s="98"/>
      <c r="K1074" s="36"/>
      <c r="L1074" s="26"/>
      <c r="M1074" s="26"/>
      <c r="N1074" s="26"/>
      <c r="O1074" s="93"/>
      <c r="P1074" s="95"/>
      <c r="Q1074" s="197"/>
    </row>
    <row r="1075" spans="3:17" x14ac:dyDescent="0.25">
      <c r="C1075" s="199"/>
      <c r="D1075" s="112"/>
      <c r="E1075" s="33"/>
      <c r="F1075" s="105"/>
      <c r="H1075" s="116"/>
      <c r="I1075" s="26"/>
      <c r="J1075" s="98"/>
      <c r="K1075" s="36"/>
      <c r="L1075" s="26"/>
      <c r="M1075" s="26"/>
      <c r="N1075" s="26"/>
      <c r="O1075" s="93"/>
      <c r="P1075" s="95"/>
      <c r="Q1075" s="197"/>
    </row>
    <row r="1076" spans="3:17" x14ac:dyDescent="0.25">
      <c r="C1076" s="199"/>
      <c r="D1076" s="112"/>
      <c r="E1076" s="33"/>
      <c r="F1076" s="105"/>
      <c r="H1076" s="116"/>
      <c r="I1076" s="26"/>
      <c r="J1076" s="98"/>
      <c r="K1076" s="36"/>
      <c r="L1076" s="26"/>
      <c r="M1076" s="26"/>
      <c r="N1076" s="26"/>
      <c r="O1076" s="93"/>
      <c r="P1076" s="95"/>
      <c r="Q1076" s="197"/>
    </row>
    <row r="1077" spans="3:17" x14ac:dyDescent="0.25">
      <c r="C1077" s="199"/>
      <c r="D1077" s="112"/>
      <c r="E1077" s="33"/>
      <c r="F1077" s="105"/>
      <c r="H1077" s="116"/>
      <c r="I1077" s="26"/>
      <c r="J1077" s="98"/>
      <c r="K1077" s="36"/>
      <c r="L1077" s="26"/>
      <c r="M1077" s="26"/>
      <c r="N1077" s="26"/>
      <c r="O1077" s="93"/>
      <c r="P1077" s="95"/>
      <c r="Q1077" s="197"/>
    </row>
    <row r="1078" spans="3:17" x14ac:dyDescent="0.25">
      <c r="C1078" s="199"/>
      <c r="D1078" s="112"/>
      <c r="E1078" s="33"/>
      <c r="F1078" s="105"/>
      <c r="H1078" s="116"/>
      <c r="I1078" s="26"/>
      <c r="J1078" s="98"/>
      <c r="K1078" s="36"/>
      <c r="L1078" s="26"/>
      <c r="M1078" s="26"/>
      <c r="N1078" s="26"/>
      <c r="O1078" s="93"/>
      <c r="P1078" s="95"/>
      <c r="Q1078" s="197"/>
    </row>
    <row r="1079" spans="3:17" x14ac:dyDescent="0.25">
      <c r="C1079" s="199"/>
      <c r="D1079" s="112"/>
      <c r="E1079" s="33"/>
      <c r="F1079" s="105"/>
      <c r="H1079" s="116"/>
      <c r="I1079" s="26"/>
      <c r="J1079" s="98"/>
      <c r="K1079" s="36"/>
      <c r="L1079" s="26"/>
      <c r="M1079" s="26"/>
      <c r="N1079" s="26"/>
      <c r="O1079" s="93"/>
      <c r="P1079" s="95"/>
      <c r="Q1079" s="197"/>
    </row>
    <row r="1080" spans="3:17" x14ac:dyDescent="0.25">
      <c r="C1080" s="199"/>
      <c r="D1080" s="112"/>
      <c r="E1080" s="33"/>
      <c r="F1080" s="105"/>
      <c r="H1080" s="116"/>
      <c r="I1080" s="26"/>
      <c r="J1080" s="98"/>
      <c r="K1080" s="36"/>
      <c r="L1080" s="26"/>
      <c r="M1080" s="26"/>
      <c r="N1080" s="26"/>
      <c r="O1080" s="93"/>
      <c r="P1080" s="95"/>
      <c r="Q1080" s="197"/>
    </row>
    <row r="1081" spans="3:17" x14ac:dyDescent="0.25">
      <c r="C1081" s="199"/>
      <c r="D1081" s="112"/>
      <c r="E1081" s="33"/>
      <c r="F1081" s="105"/>
      <c r="H1081" s="116"/>
      <c r="I1081" s="26"/>
      <c r="J1081" s="98"/>
      <c r="K1081" s="36"/>
      <c r="L1081" s="26"/>
      <c r="M1081" s="26"/>
      <c r="N1081" s="26"/>
      <c r="O1081" s="93"/>
      <c r="P1081" s="95"/>
      <c r="Q1081" s="197"/>
    </row>
    <row r="1082" spans="3:17" x14ac:dyDescent="0.25">
      <c r="C1082" s="199"/>
      <c r="D1082" s="112"/>
      <c r="E1082" s="33"/>
      <c r="F1082" s="105"/>
      <c r="H1082" s="116"/>
      <c r="I1082" s="26"/>
      <c r="J1082" s="98"/>
      <c r="K1082" s="36"/>
      <c r="L1082" s="26"/>
      <c r="M1082" s="26"/>
      <c r="N1082" s="26"/>
      <c r="O1082" s="93"/>
      <c r="P1082" s="95"/>
      <c r="Q1082" s="197"/>
    </row>
    <row r="1083" spans="3:17" x14ac:dyDescent="0.25">
      <c r="C1083" s="199"/>
      <c r="D1083" s="112"/>
      <c r="E1083" s="33"/>
      <c r="F1083" s="105"/>
      <c r="H1083" s="116"/>
      <c r="I1083" s="26"/>
      <c r="J1083" s="98"/>
      <c r="K1083" s="36"/>
      <c r="L1083" s="26"/>
      <c r="M1083" s="26"/>
      <c r="N1083" s="26"/>
      <c r="O1083" s="93"/>
      <c r="P1083" s="95"/>
      <c r="Q1083" s="197"/>
    </row>
    <row r="1084" spans="3:17" x14ac:dyDescent="0.25">
      <c r="C1084" s="199"/>
      <c r="D1084" s="112"/>
      <c r="E1084" s="33"/>
      <c r="F1084" s="105"/>
      <c r="H1084" s="116"/>
      <c r="I1084" s="26"/>
      <c r="J1084" s="98"/>
      <c r="K1084" s="36"/>
      <c r="L1084" s="26"/>
      <c r="M1084" s="26"/>
      <c r="N1084" s="26"/>
      <c r="O1084" s="93"/>
      <c r="P1084" s="95"/>
      <c r="Q1084" s="197"/>
    </row>
    <row r="1085" spans="3:17" x14ac:dyDescent="0.25">
      <c r="C1085" s="199"/>
      <c r="D1085" s="112"/>
      <c r="E1085" s="33"/>
      <c r="F1085" s="105"/>
      <c r="H1085" s="116"/>
      <c r="I1085" s="26"/>
      <c r="J1085" s="98"/>
      <c r="K1085" s="36"/>
      <c r="L1085" s="26"/>
      <c r="M1085" s="26"/>
      <c r="N1085" s="26"/>
      <c r="O1085" s="93"/>
      <c r="P1085" s="95"/>
      <c r="Q1085" s="197"/>
    </row>
    <row r="1086" spans="3:17" x14ac:dyDescent="0.25">
      <c r="C1086" s="199"/>
      <c r="D1086" s="112"/>
      <c r="E1086" s="33"/>
      <c r="F1086" s="105"/>
      <c r="H1086" s="116"/>
      <c r="I1086" s="26"/>
      <c r="J1086" s="98"/>
      <c r="K1086" s="36"/>
      <c r="L1086" s="26"/>
      <c r="M1086" s="26"/>
      <c r="N1086" s="26"/>
      <c r="O1086" s="93"/>
      <c r="P1086" s="95"/>
      <c r="Q1086" s="197"/>
    </row>
    <row r="1087" spans="3:17" x14ac:dyDescent="0.25">
      <c r="C1087" s="199"/>
      <c r="D1087" s="112"/>
      <c r="E1087" s="33"/>
      <c r="F1087" s="105"/>
      <c r="H1087" s="116"/>
      <c r="I1087" s="26"/>
      <c r="J1087" s="98"/>
      <c r="K1087" s="36"/>
      <c r="L1087" s="26"/>
      <c r="M1087" s="26"/>
      <c r="N1087" s="26"/>
      <c r="O1087" s="93"/>
      <c r="P1087" s="95"/>
      <c r="Q1087" s="197"/>
    </row>
    <row r="1088" spans="3:17" x14ac:dyDescent="0.25">
      <c r="C1088" s="199"/>
      <c r="D1088" s="112"/>
      <c r="E1088" s="33"/>
      <c r="F1088" s="105"/>
      <c r="H1088" s="116"/>
      <c r="I1088" s="26"/>
      <c r="J1088" s="98"/>
      <c r="K1088" s="36"/>
      <c r="L1088" s="26"/>
      <c r="M1088" s="26"/>
      <c r="N1088" s="26"/>
      <c r="O1088" s="93"/>
      <c r="P1088" s="95"/>
      <c r="Q1088" s="197"/>
    </row>
    <row r="1089" spans="3:17" x14ac:dyDescent="0.25">
      <c r="C1089" s="199"/>
      <c r="D1089" s="112"/>
      <c r="E1089" s="33"/>
      <c r="F1089" s="105"/>
      <c r="H1089" s="116"/>
      <c r="I1089" s="26"/>
      <c r="J1089" s="98"/>
      <c r="K1089" s="36"/>
      <c r="L1089" s="26"/>
      <c r="M1089" s="26"/>
      <c r="N1089" s="26"/>
      <c r="O1089" s="93"/>
      <c r="P1089" s="95"/>
      <c r="Q1089" s="197"/>
    </row>
    <row r="1090" spans="3:17" x14ac:dyDescent="0.25">
      <c r="C1090" s="199"/>
      <c r="D1090" s="112"/>
      <c r="E1090" s="33"/>
      <c r="F1090" s="105"/>
      <c r="H1090" s="116"/>
      <c r="I1090" s="26"/>
      <c r="J1090" s="98"/>
      <c r="K1090" s="36"/>
      <c r="L1090" s="26"/>
      <c r="M1090" s="26"/>
      <c r="N1090" s="26"/>
      <c r="O1090" s="93"/>
      <c r="P1090" s="95"/>
      <c r="Q1090" s="197"/>
    </row>
    <row r="1091" spans="3:17" x14ac:dyDescent="0.25">
      <c r="C1091" s="199"/>
      <c r="D1091" s="112"/>
      <c r="E1091" s="33"/>
      <c r="F1091" s="105"/>
      <c r="H1091" s="116"/>
      <c r="I1091" s="26"/>
      <c r="J1091" s="98"/>
      <c r="K1091" s="36"/>
      <c r="L1091" s="26"/>
      <c r="M1091" s="26"/>
      <c r="N1091" s="26"/>
      <c r="O1091" s="93"/>
      <c r="P1091" s="95"/>
      <c r="Q1091" s="197"/>
    </row>
    <row r="1092" spans="3:17" x14ac:dyDescent="0.25">
      <c r="C1092" s="199"/>
      <c r="D1092" s="112"/>
      <c r="E1092" s="33"/>
      <c r="F1092" s="105"/>
      <c r="H1092" s="116"/>
      <c r="I1092" s="26"/>
      <c r="J1092" s="98"/>
      <c r="K1092" s="36"/>
      <c r="L1092" s="26"/>
      <c r="M1092" s="26"/>
      <c r="N1092" s="26"/>
      <c r="O1092" s="93"/>
      <c r="P1092" s="95"/>
      <c r="Q1092" s="197"/>
    </row>
    <row r="1093" spans="3:17" x14ac:dyDescent="0.25">
      <c r="C1093" s="199"/>
      <c r="D1093" s="112"/>
      <c r="E1093" s="33"/>
      <c r="F1093" s="105"/>
      <c r="H1093" s="116"/>
      <c r="I1093" s="26"/>
      <c r="J1093" s="98"/>
      <c r="K1093" s="36"/>
      <c r="L1093" s="26"/>
      <c r="M1093" s="26"/>
      <c r="N1093" s="26"/>
      <c r="O1093" s="93"/>
      <c r="P1093" s="95"/>
      <c r="Q1093" s="197"/>
    </row>
    <row r="1094" spans="3:17" x14ac:dyDescent="0.25">
      <c r="C1094" s="199"/>
      <c r="D1094" s="112"/>
      <c r="E1094" s="33"/>
      <c r="F1094" s="105"/>
      <c r="H1094" s="116"/>
      <c r="I1094" s="26"/>
      <c r="J1094" s="98"/>
      <c r="K1094" s="36"/>
      <c r="L1094" s="26"/>
      <c r="M1094" s="26"/>
      <c r="N1094" s="26"/>
      <c r="O1094" s="93"/>
      <c r="P1094" s="95"/>
      <c r="Q1094" s="197"/>
    </row>
    <row r="1095" spans="3:17" x14ac:dyDescent="0.25">
      <c r="C1095" s="199"/>
      <c r="D1095" s="112"/>
      <c r="E1095" s="33"/>
      <c r="F1095" s="105"/>
      <c r="H1095" s="116"/>
      <c r="I1095" s="26"/>
      <c r="J1095" s="98"/>
      <c r="K1095" s="36"/>
      <c r="L1095" s="26"/>
      <c r="M1095" s="26"/>
      <c r="N1095" s="26"/>
      <c r="O1095" s="93"/>
      <c r="P1095" s="95"/>
      <c r="Q1095" s="197"/>
    </row>
    <row r="1096" spans="3:17" x14ac:dyDescent="0.25">
      <c r="C1096" s="199"/>
      <c r="D1096" s="112"/>
      <c r="E1096" s="33"/>
      <c r="F1096" s="105"/>
      <c r="H1096" s="116"/>
      <c r="I1096" s="26"/>
      <c r="J1096" s="98"/>
      <c r="K1096" s="36"/>
      <c r="L1096" s="26"/>
      <c r="M1096" s="26"/>
      <c r="N1096" s="26"/>
      <c r="O1096" s="93"/>
      <c r="P1096" s="95"/>
      <c r="Q1096" s="197"/>
    </row>
    <row r="1097" spans="3:17" x14ac:dyDescent="0.25">
      <c r="C1097" s="199"/>
      <c r="D1097" s="112"/>
      <c r="E1097" s="33"/>
      <c r="F1097" s="105"/>
      <c r="H1097" s="116"/>
      <c r="I1097" s="26"/>
      <c r="J1097" s="98"/>
      <c r="K1097" s="36"/>
      <c r="L1097" s="26"/>
      <c r="M1097" s="26"/>
      <c r="N1097" s="26"/>
      <c r="O1097" s="93"/>
      <c r="P1097" s="95"/>
      <c r="Q1097" s="197"/>
    </row>
    <row r="1098" spans="3:17" x14ac:dyDescent="0.25">
      <c r="C1098" s="199"/>
      <c r="D1098" s="112"/>
      <c r="E1098" s="33"/>
      <c r="F1098" s="105"/>
      <c r="H1098" s="116"/>
      <c r="I1098" s="26"/>
      <c r="J1098" s="98"/>
      <c r="K1098" s="36"/>
      <c r="L1098" s="26"/>
      <c r="M1098" s="26"/>
      <c r="N1098" s="26"/>
      <c r="O1098" s="93"/>
      <c r="P1098" s="95"/>
      <c r="Q1098" s="197"/>
    </row>
    <row r="1099" spans="3:17" x14ac:dyDescent="0.25">
      <c r="C1099" s="199"/>
      <c r="D1099" s="112"/>
      <c r="E1099" s="33"/>
      <c r="F1099" s="105"/>
      <c r="H1099" s="116"/>
      <c r="I1099" s="26"/>
      <c r="J1099" s="98"/>
      <c r="K1099" s="36"/>
      <c r="L1099" s="26"/>
      <c r="M1099" s="26"/>
      <c r="N1099" s="26"/>
      <c r="O1099" s="93"/>
      <c r="P1099" s="95"/>
      <c r="Q1099" s="197"/>
    </row>
    <row r="1100" spans="3:17" x14ac:dyDescent="0.25">
      <c r="C1100" s="199"/>
      <c r="D1100" s="112"/>
      <c r="E1100" s="33"/>
      <c r="F1100" s="105"/>
      <c r="H1100" s="116"/>
      <c r="I1100" s="26"/>
      <c r="J1100" s="98"/>
      <c r="K1100" s="36"/>
      <c r="L1100" s="26"/>
      <c r="M1100" s="26"/>
      <c r="N1100" s="26"/>
      <c r="O1100" s="93"/>
      <c r="P1100" s="95"/>
      <c r="Q1100" s="197"/>
    </row>
    <row r="1101" spans="3:17" x14ac:dyDescent="0.25">
      <c r="C1101" s="199"/>
      <c r="D1101" s="112"/>
      <c r="E1101" s="33"/>
      <c r="F1101" s="105"/>
      <c r="H1101" s="116"/>
      <c r="I1101" s="26"/>
      <c r="J1101" s="98"/>
      <c r="K1101" s="36"/>
      <c r="L1101" s="26"/>
      <c r="M1101" s="26"/>
      <c r="N1101" s="26"/>
      <c r="O1101" s="93"/>
      <c r="P1101" s="95"/>
      <c r="Q1101" s="197"/>
    </row>
    <row r="1102" spans="3:17" x14ac:dyDescent="0.25">
      <c r="C1102" s="199"/>
      <c r="D1102" s="112"/>
      <c r="E1102" s="33"/>
      <c r="F1102" s="105"/>
      <c r="H1102" s="116"/>
      <c r="I1102" s="26"/>
      <c r="J1102" s="98"/>
      <c r="K1102" s="36"/>
      <c r="L1102" s="26"/>
      <c r="M1102" s="26"/>
      <c r="N1102" s="26"/>
      <c r="O1102" s="93"/>
      <c r="P1102" s="95"/>
      <c r="Q1102" s="197"/>
    </row>
    <row r="1103" spans="3:17" x14ac:dyDescent="0.25">
      <c r="C1103" s="199"/>
      <c r="D1103" s="112"/>
      <c r="E1103" s="33"/>
      <c r="F1103" s="105"/>
      <c r="H1103" s="116"/>
      <c r="I1103" s="26"/>
      <c r="J1103" s="98"/>
      <c r="K1103" s="36"/>
      <c r="L1103" s="26"/>
      <c r="M1103" s="26"/>
      <c r="N1103" s="26"/>
      <c r="O1103" s="93"/>
      <c r="P1103" s="95"/>
      <c r="Q1103" s="197"/>
    </row>
    <row r="1104" spans="3:17" x14ac:dyDescent="0.25">
      <c r="C1104" s="199"/>
      <c r="D1104" s="112"/>
      <c r="E1104" s="33"/>
      <c r="F1104" s="105"/>
      <c r="H1104" s="116"/>
      <c r="I1104" s="26"/>
      <c r="J1104" s="98"/>
      <c r="K1104" s="36"/>
      <c r="L1104" s="26"/>
      <c r="M1104" s="26"/>
      <c r="N1104" s="26"/>
      <c r="O1104" s="93"/>
      <c r="P1104" s="95"/>
      <c r="Q1104" s="197"/>
    </row>
    <row r="1105" spans="3:17" x14ac:dyDescent="0.25">
      <c r="C1105" s="199"/>
      <c r="D1105" s="112"/>
      <c r="E1105" s="33"/>
      <c r="F1105" s="105"/>
      <c r="H1105" s="116"/>
      <c r="I1105" s="26"/>
      <c r="J1105" s="98"/>
      <c r="K1105" s="36"/>
      <c r="L1105" s="26"/>
      <c r="M1105" s="26"/>
      <c r="N1105" s="26"/>
      <c r="O1105" s="93"/>
      <c r="P1105" s="95"/>
      <c r="Q1105" s="197"/>
    </row>
    <row r="1106" spans="3:17" x14ac:dyDescent="0.25">
      <c r="C1106" s="199"/>
      <c r="D1106" s="112"/>
      <c r="E1106" s="33"/>
      <c r="F1106" s="105"/>
      <c r="H1106" s="116"/>
      <c r="I1106" s="26"/>
      <c r="J1106" s="98"/>
      <c r="K1106" s="36"/>
      <c r="L1106" s="26"/>
      <c r="M1106" s="26"/>
      <c r="N1106" s="26"/>
      <c r="O1106" s="93"/>
      <c r="P1106" s="95"/>
      <c r="Q1106" s="197"/>
    </row>
    <row r="1107" spans="3:17" x14ac:dyDescent="0.25">
      <c r="C1107" s="199"/>
      <c r="D1107" s="112"/>
      <c r="E1107" s="33"/>
      <c r="F1107" s="105"/>
      <c r="H1107" s="116"/>
      <c r="I1107" s="26"/>
      <c r="J1107" s="98"/>
      <c r="K1107" s="36"/>
      <c r="L1107" s="26"/>
      <c r="M1107" s="26"/>
      <c r="N1107" s="26"/>
      <c r="O1107" s="93"/>
      <c r="P1107" s="95"/>
      <c r="Q1107" s="197"/>
    </row>
    <row r="1108" spans="3:17" x14ac:dyDescent="0.25">
      <c r="C1108" s="199"/>
      <c r="D1108" s="112"/>
      <c r="E1108" s="33"/>
      <c r="F1108" s="105"/>
      <c r="H1108" s="116"/>
      <c r="I1108" s="26"/>
      <c r="J1108" s="98"/>
      <c r="K1108" s="36"/>
      <c r="L1108" s="26"/>
      <c r="M1108" s="26"/>
      <c r="N1108" s="26"/>
      <c r="O1108" s="93"/>
      <c r="P1108" s="95"/>
      <c r="Q1108" s="197"/>
    </row>
    <row r="1109" spans="3:17" x14ac:dyDescent="0.25">
      <c r="C1109" s="199"/>
      <c r="D1109" s="112"/>
      <c r="E1109" s="33"/>
      <c r="F1109" s="105"/>
      <c r="H1109" s="116"/>
      <c r="I1109" s="26"/>
      <c r="J1109" s="98"/>
      <c r="K1109" s="36"/>
      <c r="L1109" s="26"/>
      <c r="M1109" s="26"/>
      <c r="N1109" s="26"/>
      <c r="O1109" s="93"/>
      <c r="P1109" s="95"/>
      <c r="Q1109" s="197"/>
    </row>
    <row r="1110" spans="3:17" x14ac:dyDescent="0.25">
      <c r="C1110" s="199"/>
      <c r="D1110" s="112"/>
      <c r="E1110" s="33"/>
      <c r="F1110" s="105"/>
      <c r="H1110" s="116"/>
      <c r="I1110" s="26"/>
      <c r="J1110" s="98"/>
      <c r="K1110" s="36"/>
      <c r="L1110" s="26"/>
      <c r="M1110" s="26"/>
      <c r="N1110" s="26"/>
      <c r="O1110" s="93"/>
      <c r="P1110" s="95"/>
      <c r="Q1110" s="197"/>
    </row>
    <row r="1111" spans="3:17" x14ac:dyDescent="0.25">
      <c r="C1111" s="199"/>
      <c r="D1111" s="112"/>
      <c r="E1111" s="33"/>
      <c r="F1111" s="105"/>
      <c r="H1111" s="116"/>
      <c r="I1111" s="26"/>
      <c r="J1111" s="98"/>
      <c r="K1111" s="36"/>
      <c r="L1111" s="26"/>
      <c r="M1111" s="26"/>
      <c r="N1111" s="26"/>
      <c r="O1111" s="93"/>
      <c r="P1111" s="95"/>
      <c r="Q1111" s="197"/>
    </row>
    <row r="1112" spans="3:17" x14ac:dyDescent="0.25">
      <c r="C1112" s="199"/>
      <c r="D1112" s="112"/>
      <c r="E1112" s="33"/>
      <c r="F1112" s="105"/>
      <c r="H1112" s="116"/>
      <c r="I1112" s="26"/>
      <c r="J1112" s="98"/>
      <c r="K1112" s="36"/>
      <c r="L1112" s="26"/>
      <c r="M1112" s="26"/>
      <c r="N1112" s="26"/>
      <c r="O1112" s="93"/>
      <c r="P1112" s="95"/>
      <c r="Q1112" s="197"/>
    </row>
    <row r="1113" spans="3:17" x14ac:dyDescent="0.25">
      <c r="C1113" s="199"/>
      <c r="D1113" s="112"/>
      <c r="E1113" s="33"/>
      <c r="F1113" s="105"/>
      <c r="H1113" s="116"/>
      <c r="I1113" s="26"/>
      <c r="J1113" s="98"/>
      <c r="K1113" s="36"/>
      <c r="L1113" s="26"/>
      <c r="M1113" s="26"/>
      <c r="N1113" s="26"/>
      <c r="O1113" s="93"/>
      <c r="P1113" s="95"/>
      <c r="Q1113" s="197"/>
    </row>
    <row r="1114" spans="3:17" x14ac:dyDescent="0.25">
      <c r="C1114" s="199"/>
      <c r="D1114" s="112"/>
      <c r="E1114" s="33"/>
      <c r="F1114" s="105"/>
      <c r="H1114" s="116"/>
      <c r="I1114" s="26"/>
      <c r="J1114" s="98"/>
      <c r="K1114" s="36"/>
      <c r="L1114" s="26"/>
      <c r="M1114" s="26"/>
      <c r="N1114" s="26"/>
      <c r="O1114" s="93"/>
      <c r="P1114" s="95"/>
      <c r="Q1114" s="197"/>
    </row>
    <row r="1115" spans="3:17" x14ac:dyDescent="0.25">
      <c r="C1115" s="199"/>
      <c r="D1115" s="112"/>
      <c r="E1115" s="33"/>
      <c r="F1115" s="105"/>
      <c r="H1115" s="116"/>
      <c r="I1115" s="26"/>
      <c r="J1115" s="98"/>
      <c r="K1115" s="36"/>
      <c r="L1115" s="26"/>
      <c r="M1115" s="26"/>
      <c r="N1115" s="26"/>
      <c r="O1115" s="93"/>
      <c r="P1115" s="95"/>
      <c r="Q1115" s="197"/>
    </row>
    <row r="1116" spans="3:17" x14ac:dyDescent="0.25">
      <c r="C1116" s="199"/>
      <c r="D1116" s="112"/>
      <c r="E1116" s="33"/>
      <c r="F1116" s="105"/>
      <c r="H1116" s="116"/>
      <c r="I1116" s="26"/>
      <c r="J1116" s="98"/>
      <c r="K1116" s="36"/>
      <c r="L1116" s="26"/>
      <c r="M1116" s="26"/>
      <c r="N1116" s="26"/>
      <c r="O1116" s="93"/>
      <c r="P1116" s="95"/>
      <c r="Q1116" s="197"/>
    </row>
    <row r="1117" spans="3:17" x14ac:dyDescent="0.25">
      <c r="C1117" s="199"/>
      <c r="D1117" s="112"/>
      <c r="E1117" s="33"/>
      <c r="F1117" s="105"/>
      <c r="H1117" s="116"/>
      <c r="I1117" s="26"/>
      <c r="J1117" s="98"/>
      <c r="K1117" s="36"/>
      <c r="L1117" s="26"/>
      <c r="M1117" s="26"/>
      <c r="N1117" s="26"/>
      <c r="O1117" s="93"/>
      <c r="P1117" s="95"/>
      <c r="Q1117" s="197"/>
    </row>
    <row r="1118" spans="3:17" x14ac:dyDescent="0.25">
      <c r="C1118" s="199"/>
      <c r="D1118" s="112"/>
      <c r="E1118" s="33"/>
      <c r="F1118" s="105"/>
      <c r="H1118" s="116"/>
      <c r="I1118" s="26"/>
      <c r="J1118" s="98"/>
      <c r="K1118" s="36"/>
      <c r="L1118" s="26"/>
      <c r="M1118" s="26"/>
      <c r="N1118" s="26"/>
      <c r="O1118" s="93"/>
      <c r="P1118" s="95"/>
      <c r="Q1118" s="197"/>
    </row>
    <row r="1119" spans="3:17" x14ac:dyDescent="0.25">
      <c r="C1119" s="199"/>
      <c r="D1119" s="112"/>
      <c r="E1119" s="33"/>
      <c r="F1119" s="105"/>
      <c r="H1119" s="116"/>
      <c r="I1119" s="26"/>
      <c r="J1119" s="98"/>
      <c r="K1119" s="36"/>
      <c r="L1119" s="26"/>
      <c r="M1119" s="26"/>
      <c r="N1119" s="26"/>
      <c r="O1119" s="93"/>
      <c r="P1119" s="95"/>
      <c r="Q1119" s="197"/>
    </row>
    <row r="1120" spans="3:17" x14ac:dyDescent="0.25">
      <c r="C1120" s="199"/>
      <c r="D1120" s="112"/>
      <c r="E1120" s="33"/>
      <c r="F1120" s="105"/>
      <c r="H1120" s="116"/>
      <c r="I1120" s="26"/>
      <c r="J1120" s="98"/>
      <c r="K1120" s="36"/>
      <c r="L1120" s="26"/>
      <c r="M1120" s="26"/>
      <c r="N1120" s="26"/>
      <c r="O1120" s="93"/>
      <c r="P1120" s="95"/>
      <c r="Q1120" s="197"/>
    </row>
    <row r="1121" spans="3:17" x14ac:dyDescent="0.25">
      <c r="C1121" s="199"/>
      <c r="D1121" s="112"/>
      <c r="E1121" s="33"/>
      <c r="F1121" s="105"/>
      <c r="H1121" s="116"/>
      <c r="I1121" s="26"/>
      <c r="J1121" s="98"/>
      <c r="K1121" s="36"/>
      <c r="L1121" s="26"/>
      <c r="M1121" s="26"/>
      <c r="N1121" s="26"/>
      <c r="O1121" s="93"/>
      <c r="P1121" s="95"/>
      <c r="Q1121" s="197"/>
    </row>
    <row r="1122" spans="3:17" x14ac:dyDescent="0.25">
      <c r="C1122" s="199"/>
      <c r="D1122" s="112"/>
      <c r="E1122" s="33"/>
      <c r="F1122" s="105"/>
      <c r="H1122" s="116"/>
      <c r="I1122" s="26"/>
      <c r="J1122" s="98"/>
      <c r="K1122" s="36"/>
      <c r="L1122" s="26"/>
      <c r="M1122" s="26"/>
      <c r="N1122" s="26"/>
      <c r="O1122" s="93"/>
      <c r="P1122" s="95"/>
      <c r="Q1122" s="197"/>
    </row>
    <row r="1123" spans="3:17" x14ac:dyDescent="0.25">
      <c r="C1123" s="199"/>
      <c r="D1123" s="112"/>
      <c r="E1123" s="33"/>
      <c r="F1123" s="105"/>
      <c r="H1123" s="116"/>
      <c r="I1123" s="26"/>
      <c r="J1123" s="98"/>
      <c r="K1123" s="36"/>
      <c r="L1123" s="26"/>
      <c r="M1123" s="26"/>
      <c r="N1123" s="26"/>
      <c r="O1123" s="93"/>
      <c r="P1123" s="95"/>
      <c r="Q1123" s="197"/>
    </row>
    <row r="1124" spans="3:17" x14ac:dyDescent="0.25">
      <c r="C1124" s="199"/>
      <c r="D1124" s="112"/>
      <c r="E1124" s="33"/>
      <c r="F1124" s="105"/>
      <c r="H1124" s="116"/>
      <c r="I1124" s="26"/>
      <c r="J1124" s="98"/>
      <c r="K1124" s="36"/>
      <c r="L1124" s="26"/>
      <c r="M1124" s="26"/>
      <c r="N1124" s="26"/>
      <c r="O1124" s="93"/>
      <c r="P1124" s="95"/>
      <c r="Q1124" s="197"/>
    </row>
    <row r="1125" spans="3:17" x14ac:dyDescent="0.25">
      <c r="C1125" s="199"/>
      <c r="D1125" s="112"/>
      <c r="E1125" s="33"/>
      <c r="F1125" s="105"/>
      <c r="H1125" s="116"/>
      <c r="I1125" s="26"/>
      <c r="J1125" s="98"/>
      <c r="K1125" s="36"/>
      <c r="L1125" s="26"/>
      <c r="M1125" s="26"/>
      <c r="N1125" s="26"/>
      <c r="O1125" s="93"/>
      <c r="P1125" s="95"/>
      <c r="Q1125" s="197"/>
    </row>
    <row r="1126" spans="3:17" x14ac:dyDescent="0.25">
      <c r="C1126" s="199"/>
      <c r="D1126" s="112"/>
      <c r="E1126" s="33"/>
      <c r="F1126" s="105"/>
      <c r="H1126" s="116"/>
      <c r="I1126" s="26"/>
      <c r="J1126" s="98"/>
      <c r="K1126" s="36"/>
      <c r="L1126" s="26"/>
      <c r="M1126" s="26"/>
      <c r="N1126" s="26"/>
      <c r="O1126" s="93"/>
      <c r="P1126" s="95"/>
      <c r="Q1126" s="197"/>
    </row>
    <row r="1127" spans="3:17" x14ac:dyDescent="0.25">
      <c r="C1127" s="199"/>
      <c r="D1127" s="112"/>
      <c r="E1127" s="33"/>
      <c r="F1127" s="105"/>
      <c r="H1127" s="116"/>
      <c r="I1127" s="26"/>
      <c r="J1127" s="98"/>
      <c r="K1127" s="36"/>
      <c r="L1127" s="26"/>
      <c r="M1127" s="26"/>
      <c r="N1127" s="26"/>
      <c r="O1127" s="93"/>
      <c r="P1127" s="95"/>
      <c r="Q1127" s="197"/>
    </row>
    <row r="1128" spans="3:17" x14ac:dyDescent="0.25">
      <c r="C1128" s="199"/>
      <c r="D1128" s="112"/>
      <c r="E1128" s="33"/>
      <c r="F1128" s="105"/>
      <c r="H1128" s="116"/>
      <c r="I1128" s="26"/>
      <c r="J1128" s="98"/>
      <c r="K1128" s="36"/>
      <c r="L1128" s="26"/>
      <c r="M1128" s="26"/>
      <c r="N1128" s="26"/>
      <c r="O1128" s="93"/>
      <c r="P1128" s="95"/>
      <c r="Q1128" s="197"/>
    </row>
    <row r="1129" spans="3:17" x14ac:dyDescent="0.25">
      <c r="C1129" s="199"/>
      <c r="D1129" s="112"/>
      <c r="E1129" s="33"/>
      <c r="F1129" s="105"/>
      <c r="H1129" s="116"/>
      <c r="I1129" s="26"/>
      <c r="J1129" s="98"/>
      <c r="K1129" s="36"/>
      <c r="L1129" s="26"/>
      <c r="M1129" s="26"/>
      <c r="N1129" s="26"/>
      <c r="O1129" s="93"/>
      <c r="P1129" s="95"/>
      <c r="Q1129" s="197"/>
    </row>
    <row r="1130" spans="3:17" x14ac:dyDescent="0.25">
      <c r="C1130" s="199"/>
      <c r="D1130" s="112"/>
      <c r="E1130" s="33"/>
      <c r="F1130" s="105"/>
      <c r="H1130" s="116"/>
      <c r="I1130" s="26"/>
      <c r="J1130" s="98"/>
      <c r="K1130" s="36"/>
      <c r="L1130" s="26"/>
      <c r="M1130" s="26"/>
      <c r="N1130" s="26"/>
      <c r="O1130" s="93"/>
      <c r="P1130" s="95"/>
      <c r="Q1130" s="197"/>
    </row>
    <row r="1131" spans="3:17" x14ac:dyDescent="0.25">
      <c r="C1131" s="199"/>
      <c r="D1131" s="112"/>
      <c r="E1131" s="33"/>
      <c r="F1131" s="105"/>
      <c r="H1131" s="116"/>
      <c r="I1131" s="26"/>
      <c r="J1131" s="98"/>
      <c r="K1131" s="36"/>
      <c r="L1131" s="26"/>
      <c r="M1131" s="26"/>
      <c r="N1131" s="26"/>
      <c r="O1131" s="93"/>
      <c r="P1131" s="95"/>
      <c r="Q1131" s="197"/>
    </row>
    <row r="1132" spans="3:17" x14ac:dyDescent="0.25">
      <c r="C1132" s="199"/>
      <c r="D1132" s="112"/>
      <c r="E1132" s="33"/>
      <c r="F1132" s="105"/>
      <c r="H1132" s="116"/>
      <c r="I1132" s="26"/>
      <c r="J1132" s="98"/>
      <c r="K1132" s="36"/>
      <c r="L1132" s="26"/>
      <c r="M1132" s="26"/>
      <c r="N1132" s="26"/>
      <c r="O1132" s="93"/>
      <c r="P1132" s="95"/>
      <c r="Q1132" s="197"/>
    </row>
    <row r="1133" spans="3:17" x14ac:dyDescent="0.25">
      <c r="C1133" s="199"/>
      <c r="D1133" s="112"/>
      <c r="E1133" s="33"/>
      <c r="F1133" s="105"/>
      <c r="H1133" s="116"/>
      <c r="I1133" s="26"/>
      <c r="J1133" s="98"/>
      <c r="K1133" s="36"/>
      <c r="L1133" s="26"/>
      <c r="M1133" s="26"/>
      <c r="N1133" s="26"/>
      <c r="O1133" s="93"/>
      <c r="P1133" s="95"/>
      <c r="Q1133" s="197"/>
    </row>
    <row r="1134" spans="3:17" x14ac:dyDescent="0.25">
      <c r="C1134" s="199"/>
      <c r="D1134" s="112"/>
      <c r="E1134" s="33"/>
      <c r="F1134" s="105"/>
      <c r="H1134" s="116"/>
      <c r="I1134" s="26"/>
      <c r="J1134" s="98"/>
      <c r="K1134" s="36"/>
      <c r="L1134" s="26"/>
      <c r="M1134" s="26"/>
      <c r="N1134" s="26"/>
      <c r="O1134" s="93"/>
      <c r="P1134" s="95"/>
      <c r="Q1134" s="197"/>
    </row>
    <row r="1135" spans="3:17" x14ac:dyDescent="0.25">
      <c r="C1135" s="199"/>
      <c r="D1135" s="112"/>
      <c r="E1135" s="33"/>
      <c r="F1135" s="105"/>
      <c r="H1135" s="116"/>
      <c r="I1135" s="26"/>
      <c r="J1135" s="98"/>
      <c r="K1135" s="36"/>
      <c r="L1135" s="26"/>
      <c r="M1135" s="26"/>
      <c r="N1135" s="26"/>
      <c r="O1135" s="93"/>
      <c r="P1135" s="95"/>
      <c r="Q1135" s="197"/>
    </row>
    <row r="1136" spans="3:17" x14ac:dyDescent="0.25">
      <c r="C1136" s="199"/>
      <c r="D1136" s="112"/>
      <c r="E1136" s="33"/>
      <c r="F1136" s="105"/>
      <c r="H1136" s="116"/>
      <c r="I1136" s="26"/>
      <c r="J1136" s="98"/>
      <c r="K1136" s="36"/>
      <c r="L1136" s="26"/>
      <c r="M1136" s="26"/>
      <c r="N1136" s="26"/>
      <c r="O1136" s="93"/>
      <c r="P1136" s="95"/>
      <c r="Q1136" s="197"/>
    </row>
    <row r="1137" spans="3:17" x14ac:dyDescent="0.25">
      <c r="C1137" s="199"/>
      <c r="D1137" s="112"/>
      <c r="E1137" s="33"/>
      <c r="F1137" s="105"/>
      <c r="H1137" s="116"/>
      <c r="I1137" s="26"/>
      <c r="J1137" s="98"/>
      <c r="K1137" s="36"/>
      <c r="L1137" s="26"/>
      <c r="M1137" s="26"/>
      <c r="N1137" s="26"/>
      <c r="O1137" s="93"/>
      <c r="P1137" s="95"/>
      <c r="Q1137" s="197"/>
    </row>
    <row r="1138" spans="3:17" x14ac:dyDescent="0.25">
      <c r="C1138" s="199"/>
      <c r="D1138" s="112"/>
      <c r="E1138" s="33"/>
      <c r="F1138" s="105"/>
      <c r="H1138" s="116"/>
      <c r="I1138" s="26"/>
      <c r="J1138" s="98"/>
      <c r="K1138" s="36"/>
      <c r="L1138" s="26"/>
      <c r="M1138" s="26"/>
      <c r="N1138" s="26"/>
      <c r="O1138" s="93"/>
      <c r="P1138" s="95"/>
      <c r="Q1138" s="197"/>
    </row>
    <row r="1139" spans="3:17" x14ac:dyDescent="0.25">
      <c r="C1139" s="199"/>
      <c r="D1139" s="112"/>
      <c r="E1139" s="33"/>
      <c r="F1139" s="105"/>
      <c r="H1139" s="116"/>
      <c r="I1139" s="26"/>
      <c r="J1139" s="98"/>
      <c r="K1139" s="36"/>
      <c r="L1139" s="26"/>
      <c r="M1139" s="26"/>
      <c r="N1139" s="26"/>
      <c r="O1139" s="93"/>
      <c r="P1139" s="95"/>
      <c r="Q1139" s="197"/>
    </row>
    <row r="1140" spans="3:17" x14ac:dyDescent="0.25">
      <c r="C1140" s="199"/>
      <c r="D1140" s="112"/>
      <c r="E1140" s="33"/>
      <c r="F1140" s="105"/>
      <c r="H1140" s="116"/>
      <c r="I1140" s="26"/>
      <c r="J1140" s="98"/>
      <c r="K1140" s="36"/>
      <c r="L1140" s="26"/>
      <c r="M1140" s="26"/>
      <c r="N1140" s="26"/>
      <c r="O1140" s="93"/>
      <c r="P1140" s="95"/>
      <c r="Q1140" s="197"/>
    </row>
    <row r="1141" spans="3:17" x14ac:dyDescent="0.25">
      <c r="C1141" s="199"/>
      <c r="D1141" s="112"/>
      <c r="E1141" s="33"/>
      <c r="F1141" s="105"/>
      <c r="H1141" s="116"/>
      <c r="I1141" s="26"/>
      <c r="J1141" s="98"/>
      <c r="K1141" s="36"/>
      <c r="L1141" s="26"/>
      <c r="M1141" s="26"/>
      <c r="N1141" s="26"/>
      <c r="O1141" s="93"/>
      <c r="P1141" s="95"/>
      <c r="Q1141" s="197"/>
    </row>
    <row r="1142" spans="3:17" x14ac:dyDescent="0.25">
      <c r="C1142" s="199"/>
      <c r="D1142" s="112"/>
      <c r="E1142" s="33"/>
      <c r="F1142" s="105"/>
      <c r="H1142" s="116"/>
      <c r="I1142" s="26"/>
      <c r="J1142" s="98"/>
      <c r="K1142" s="36"/>
      <c r="L1142" s="26"/>
      <c r="M1142" s="26"/>
      <c r="N1142" s="26"/>
      <c r="O1142" s="93"/>
      <c r="P1142" s="95"/>
      <c r="Q1142" s="197"/>
    </row>
    <row r="1143" spans="3:17" x14ac:dyDescent="0.25">
      <c r="C1143" s="199"/>
      <c r="D1143" s="112"/>
      <c r="E1143" s="33"/>
      <c r="F1143" s="105"/>
      <c r="H1143" s="116"/>
      <c r="I1143" s="26"/>
      <c r="J1143" s="98"/>
      <c r="K1143" s="36"/>
      <c r="L1143" s="26"/>
      <c r="M1143" s="26"/>
      <c r="N1143" s="26"/>
      <c r="O1143" s="93"/>
      <c r="P1143" s="95"/>
      <c r="Q1143" s="197"/>
    </row>
    <row r="1144" spans="3:17" x14ac:dyDescent="0.25">
      <c r="C1144" s="199"/>
      <c r="D1144" s="112"/>
      <c r="E1144" s="33"/>
      <c r="F1144" s="105"/>
      <c r="H1144" s="116"/>
      <c r="I1144" s="26"/>
      <c r="J1144" s="98"/>
      <c r="K1144" s="36"/>
      <c r="L1144" s="26"/>
      <c r="M1144" s="26"/>
      <c r="N1144" s="26"/>
      <c r="O1144" s="93"/>
      <c r="P1144" s="95"/>
      <c r="Q1144" s="197"/>
    </row>
    <row r="1145" spans="3:17" x14ac:dyDescent="0.25">
      <c r="C1145" s="199"/>
      <c r="D1145" s="112"/>
      <c r="E1145" s="33"/>
      <c r="F1145" s="105"/>
      <c r="H1145" s="116"/>
      <c r="I1145" s="26"/>
      <c r="J1145" s="98"/>
      <c r="K1145" s="36"/>
      <c r="L1145" s="26"/>
      <c r="M1145" s="26"/>
      <c r="N1145" s="26"/>
      <c r="O1145" s="93"/>
      <c r="P1145" s="95"/>
      <c r="Q1145" s="197"/>
    </row>
    <row r="1146" spans="3:17" x14ac:dyDescent="0.25">
      <c r="C1146" s="199"/>
      <c r="D1146" s="112"/>
      <c r="E1146" s="33"/>
      <c r="F1146" s="105"/>
      <c r="H1146" s="116"/>
      <c r="I1146" s="26"/>
      <c r="J1146" s="98"/>
      <c r="K1146" s="36"/>
      <c r="L1146" s="26"/>
      <c r="M1146" s="26"/>
      <c r="N1146" s="26"/>
      <c r="O1146" s="93"/>
      <c r="P1146" s="95"/>
      <c r="Q1146" s="197"/>
    </row>
    <row r="1147" spans="3:17" x14ac:dyDescent="0.25">
      <c r="C1147" s="199"/>
      <c r="D1147" s="112"/>
      <c r="E1147" s="33"/>
      <c r="F1147" s="105"/>
      <c r="H1147" s="116"/>
      <c r="I1147" s="26"/>
      <c r="J1147" s="98"/>
      <c r="K1147" s="36"/>
      <c r="L1147" s="26"/>
      <c r="M1147" s="26"/>
      <c r="N1147" s="26"/>
      <c r="O1147" s="93"/>
      <c r="P1147" s="95"/>
      <c r="Q1147" s="197"/>
    </row>
    <row r="1148" spans="3:17" x14ac:dyDescent="0.25">
      <c r="C1148" s="199"/>
      <c r="D1148" s="112"/>
      <c r="E1148" s="33"/>
      <c r="F1148" s="105"/>
      <c r="H1148" s="116"/>
      <c r="I1148" s="26"/>
      <c r="J1148" s="98"/>
      <c r="K1148" s="36"/>
      <c r="L1148" s="26"/>
      <c r="M1148" s="26"/>
      <c r="N1148" s="26"/>
      <c r="O1148" s="93"/>
      <c r="P1148" s="95"/>
      <c r="Q1148" s="197"/>
    </row>
    <row r="1149" spans="3:17" x14ac:dyDescent="0.25">
      <c r="C1149" s="199"/>
      <c r="D1149" s="112"/>
      <c r="E1149" s="33"/>
      <c r="F1149" s="105"/>
      <c r="H1149" s="116"/>
      <c r="I1149" s="26"/>
      <c r="J1149" s="98"/>
      <c r="K1149" s="36"/>
      <c r="L1149" s="26"/>
      <c r="M1149" s="26"/>
      <c r="N1149" s="26"/>
      <c r="O1149" s="93"/>
      <c r="P1149" s="95"/>
      <c r="Q1149" s="197"/>
    </row>
    <row r="1150" spans="3:17" x14ac:dyDescent="0.25">
      <c r="C1150" s="199"/>
      <c r="D1150" s="112"/>
      <c r="E1150" s="33"/>
      <c r="F1150" s="105"/>
      <c r="H1150" s="116"/>
      <c r="I1150" s="26"/>
      <c r="J1150" s="98"/>
      <c r="K1150" s="36"/>
      <c r="L1150" s="26"/>
      <c r="M1150" s="26"/>
      <c r="N1150" s="26"/>
      <c r="O1150" s="93"/>
      <c r="P1150" s="95"/>
      <c r="Q1150" s="197"/>
    </row>
    <row r="1151" spans="3:17" x14ac:dyDescent="0.25">
      <c r="C1151" s="199"/>
      <c r="D1151" s="112"/>
      <c r="E1151" s="33"/>
      <c r="F1151" s="105"/>
      <c r="H1151" s="116"/>
      <c r="I1151" s="26"/>
      <c r="J1151" s="98"/>
      <c r="K1151" s="36"/>
      <c r="L1151" s="26"/>
      <c r="M1151" s="26"/>
      <c r="N1151" s="26"/>
      <c r="O1151" s="93"/>
      <c r="P1151" s="95"/>
      <c r="Q1151" s="197"/>
    </row>
    <row r="1152" spans="3:17" x14ac:dyDescent="0.25">
      <c r="C1152" s="199"/>
      <c r="D1152" s="112"/>
      <c r="E1152" s="33"/>
      <c r="F1152" s="105"/>
      <c r="H1152" s="116"/>
      <c r="I1152" s="26"/>
      <c r="J1152" s="98"/>
      <c r="K1152" s="36"/>
      <c r="L1152" s="26"/>
      <c r="M1152" s="26"/>
      <c r="N1152" s="26"/>
      <c r="O1152" s="93"/>
      <c r="P1152" s="95"/>
      <c r="Q1152" s="197"/>
    </row>
    <row r="1153" spans="3:17" x14ac:dyDescent="0.25">
      <c r="C1153" s="199"/>
      <c r="D1153" s="112"/>
      <c r="E1153" s="33"/>
      <c r="F1153" s="105"/>
      <c r="H1153" s="116"/>
      <c r="I1153" s="26"/>
      <c r="J1153" s="98"/>
      <c r="K1153" s="36"/>
      <c r="L1153" s="26"/>
      <c r="M1153" s="26"/>
      <c r="N1153" s="26"/>
      <c r="O1153" s="93"/>
      <c r="P1153" s="95"/>
      <c r="Q1153" s="197"/>
    </row>
    <row r="1154" spans="3:17" x14ac:dyDescent="0.25">
      <c r="C1154" s="199"/>
      <c r="D1154" s="112"/>
      <c r="E1154" s="33"/>
      <c r="F1154" s="105"/>
      <c r="H1154" s="116"/>
      <c r="I1154" s="26"/>
      <c r="J1154" s="98"/>
      <c r="K1154" s="36"/>
      <c r="L1154" s="26"/>
      <c r="M1154" s="26"/>
      <c r="N1154" s="26"/>
      <c r="O1154" s="93"/>
      <c r="P1154" s="95"/>
      <c r="Q1154" s="197"/>
    </row>
    <row r="1155" spans="3:17" x14ac:dyDescent="0.25">
      <c r="C1155" s="199"/>
      <c r="D1155" s="112"/>
      <c r="E1155" s="33"/>
      <c r="F1155" s="105"/>
      <c r="H1155" s="116"/>
      <c r="I1155" s="26"/>
      <c r="J1155" s="98"/>
      <c r="K1155" s="36"/>
      <c r="L1155" s="26"/>
      <c r="M1155" s="26"/>
      <c r="N1155" s="26"/>
      <c r="O1155" s="93"/>
      <c r="P1155" s="95"/>
      <c r="Q1155" s="197"/>
    </row>
    <row r="1156" spans="3:17" x14ac:dyDescent="0.25">
      <c r="C1156" s="199"/>
      <c r="D1156" s="112"/>
      <c r="E1156" s="33"/>
      <c r="F1156" s="105"/>
      <c r="H1156" s="116"/>
      <c r="I1156" s="26"/>
      <c r="J1156" s="98"/>
      <c r="K1156" s="36"/>
      <c r="L1156" s="26"/>
      <c r="M1156" s="26"/>
      <c r="N1156" s="26"/>
      <c r="O1156" s="93"/>
      <c r="P1156" s="95"/>
      <c r="Q1156" s="197"/>
    </row>
    <row r="1157" spans="3:17" x14ac:dyDescent="0.25">
      <c r="C1157" s="199"/>
      <c r="D1157" s="112"/>
      <c r="E1157" s="33"/>
      <c r="F1157" s="105"/>
      <c r="H1157" s="116"/>
      <c r="I1157" s="26"/>
      <c r="J1157" s="98"/>
      <c r="K1157" s="36"/>
      <c r="L1157" s="26"/>
      <c r="M1157" s="26"/>
      <c r="N1157" s="26"/>
      <c r="O1157" s="93"/>
      <c r="P1157" s="95"/>
      <c r="Q1157" s="197"/>
    </row>
    <row r="1158" spans="3:17" x14ac:dyDescent="0.25">
      <c r="C1158" s="199"/>
      <c r="D1158" s="112"/>
      <c r="E1158" s="33"/>
      <c r="F1158" s="105"/>
      <c r="H1158" s="116"/>
      <c r="I1158" s="26"/>
      <c r="J1158" s="98"/>
      <c r="K1158" s="36"/>
      <c r="L1158" s="26"/>
      <c r="M1158" s="26"/>
      <c r="N1158" s="26"/>
      <c r="O1158" s="93"/>
      <c r="P1158" s="95"/>
      <c r="Q1158" s="197"/>
    </row>
    <row r="1159" spans="3:17" x14ac:dyDescent="0.25">
      <c r="C1159" s="199"/>
      <c r="D1159" s="112"/>
      <c r="E1159" s="33"/>
      <c r="F1159" s="105"/>
      <c r="H1159" s="116"/>
      <c r="I1159" s="26"/>
      <c r="J1159" s="98"/>
      <c r="K1159" s="36"/>
      <c r="L1159" s="26"/>
      <c r="M1159" s="26"/>
      <c r="N1159" s="26"/>
      <c r="O1159" s="93"/>
      <c r="P1159" s="95"/>
      <c r="Q1159" s="197"/>
    </row>
    <row r="1160" spans="3:17" x14ac:dyDescent="0.25">
      <c r="C1160" s="199"/>
      <c r="D1160" s="112"/>
      <c r="E1160" s="33"/>
      <c r="F1160" s="105"/>
      <c r="H1160" s="116"/>
      <c r="I1160" s="26"/>
      <c r="J1160" s="98"/>
      <c r="K1160" s="36"/>
      <c r="L1160" s="26"/>
      <c r="M1160" s="26"/>
      <c r="N1160" s="26"/>
      <c r="O1160" s="93"/>
      <c r="P1160" s="95"/>
      <c r="Q1160" s="197"/>
    </row>
    <row r="1161" spans="3:17" x14ac:dyDescent="0.25">
      <c r="C1161" s="199"/>
      <c r="D1161" s="112"/>
      <c r="E1161" s="33"/>
      <c r="F1161" s="105"/>
      <c r="H1161" s="116"/>
      <c r="I1161" s="26"/>
      <c r="J1161" s="98"/>
      <c r="K1161" s="36"/>
      <c r="L1161" s="26"/>
      <c r="M1161" s="26"/>
      <c r="N1161" s="26"/>
      <c r="O1161" s="93"/>
      <c r="P1161" s="95"/>
      <c r="Q1161" s="197"/>
    </row>
    <row r="1162" spans="3:17" x14ac:dyDescent="0.25">
      <c r="C1162" s="199"/>
      <c r="D1162" s="112"/>
      <c r="E1162" s="33"/>
      <c r="F1162" s="105"/>
      <c r="H1162" s="116"/>
      <c r="I1162" s="26"/>
      <c r="J1162" s="98"/>
      <c r="K1162" s="36"/>
      <c r="L1162" s="26"/>
      <c r="M1162" s="26"/>
      <c r="N1162" s="26"/>
      <c r="O1162" s="93"/>
      <c r="P1162" s="95"/>
      <c r="Q1162" s="197"/>
    </row>
    <row r="1163" spans="3:17" x14ac:dyDescent="0.25">
      <c r="C1163" s="199"/>
      <c r="D1163" s="112"/>
      <c r="E1163" s="33"/>
      <c r="F1163" s="105"/>
      <c r="H1163" s="116"/>
      <c r="I1163" s="26"/>
      <c r="J1163" s="98"/>
      <c r="K1163" s="36"/>
      <c r="L1163" s="26"/>
      <c r="M1163" s="26"/>
      <c r="N1163" s="26"/>
      <c r="O1163" s="93"/>
      <c r="P1163" s="95"/>
      <c r="Q1163" s="197"/>
    </row>
    <row r="1164" spans="3:17" x14ac:dyDescent="0.25">
      <c r="C1164" s="199"/>
      <c r="D1164" s="112"/>
      <c r="E1164" s="33"/>
      <c r="F1164" s="105"/>
      <c r="H1164" s="116"/>
      <c r="I1164" s="26"/>
      <c r="J1164" s="98"/>
      <c r="K1164" s="36"/>
      <c r="L1164" s="26"/>
      <c r="M1164" s="26"/>
      <c r="N1164" s="26"/>
      <c r="O1164" s="93"/>
      <c r="P1164" s="95"/>
      <c r="Q1164" s="197"/>
    </row>
    <row r="1165" spans="3:17" x14ac:dyDescent="0.25">
      <c r="C1165" s="199"/>
      <c r="D1165" s="112"/>
      <c r="E1165" s="33"/>
      <c r="F1165" s="105"/>
      <c r="H1165" s="116"/>
      <c r="I1165" s="26"/>
      <c r="J1165" s="98"/>
      <c r="K1165" s="36"/>
      <c r="L1165" s="26"/>
      <c r="M1165" s="26"/>
      <c r="N1165" s="26"/>
      <c r="O1165" s="93"/>
      <c r="P1165" s="95"/>
      <c r="Q1165" s="197"/>
    </row>
    <row r="1166" spans="3:17" x14ac:dyDescent="0.25">
      <c r="C1166" s="199"/>
      <c r="D1166" s="112"/>
      <c r="E1166" s="33"/>
      <c r="F1166" s="105"/>
      <c r="H1166" s="116"/>
      <c r="I1166" s="26"/>
      <c r="J1166" s="98"/>
      <c r="K1166" s="36"/>
      <c r="L1166" s="26"/>
      <c r="M1166" s="26"/>
      <c r="N1166" s="26"/>
      <c r="O1166" s="93"/>
      <c r="P1166" s="95"/>
      <c r="Q1166" s="197"/>
    </row>
    <row r="1167" spans="3:17" x14ac:dyDescent="0.25">
      <c r="C1167" s="199"/>
      <c r="D1167" s="112"/>
      <c r="E1167" s="33"/>
      <c r="F1167" s="105"/>
      <c r="H1167" s="116"/>
      <c r="I1167" s="26"/>
      <c r="J1167" s="98"/>
      <c r="K1167" s="36"/>
      <c r="L1167" s="26"/>
      <c r="M1167" s="26"/>
      <c r="N1167" s="26"/>
      <c r="O1167" s="93"/>
      <c r="P1167" s="95"/>
      <c r="Q1167" s="197"/>
    </row>
    <row r="1168" spans="3:17" x14ac:dyDescent="0.25">
      <c r="C1168" s="199"/>
      <c r="D1168" s="112"/>
      <c r="E1168" s="33"/>
      <c r="F1168" s="105"/>
      <c r="H1168" s="116"/>
      <c r="I1168" s="26"/>
      <c r="J1168" s="98"/>
      <c r="K1168" s="36"/>
      <c r="L1168" s="26"/>
      <c r="M1168" s="26"/>
      <c r="N1168" s="26"/>
      <c r="O1168" s="93"/>
      <c r="P1168" s="95"/>
      <c r="Q1168" s="197"/>
    </row>
    <row r="1169" spans="3:17" x14ac:dyDescent="0.25">
      <c r="C1169" s="199"/>
      <c r="D1169" s="112"/>
      <c r="E1169" s="33"/>
      <c r="F1169" s="105"/>
      <c r="H1169" s="116"/>
      <c r="I1169" s="26"/>
      <c r="J1169" s="98"/>
      <c r="K1169" s="36"/>
      <c r="L1169" s="26"/>
      <c r="M1169" s="26"/>
      <c r="N1169" s="26"/>
      <c r="O1169" s="93"/>
      <c r="P1169" s="95"/>
      <c r="Q1169" s="197"/>
    </row>
    <row r="1170" spans="3:17" x14ac:dyDescent="0.25">
      <c r="C1170" s="199"/>
      <c r="D1170" s="112"/>
      <c r="E1170" s="33"/>
      <c r="F1170" s="105"/>
      <c r="H1170" s="116"/>
      <c r="I1170" s="26"/>
      <c r="J1170" s="98"/>
      <c r="K1170" s="36"/>
      <c r="L1170" s="26"/>
      <c r="M1170" s="26"/>
      <c r="N1170" s="26"/>
      <c r="O1170" s="93"/>
      <c r="P1170" s="95"/>
      <c r="Q1170" s="197"/>
    </row>
    <row r="1171" spans="3:17" x14ac:dyDescent="0.25">
      <c r="C1171" s="199"/>
      <c r="D1171" s="112"/>
      <c r="E1171" s="33"/>
      <c r="F1171" s="105"/>
      <c r="H1171" s="116"/>
      <c r="I1171" s="26"/>
      <c r="J1171" s="98"/>
      <c r="K1171" s="36"/>
      <c r="L1171" s="26"/>
      <c r="M1171" s="26"/>
      <c r="N1171" s="26"/>
      <c r="O1171" s="93"/>
      <c r="P1171" s="95"/>
      <c r="Q1171" s="197"/>
    </row>
    <row r="1172" spans="3:17" x14ac:dyDescent="0.25">
      <c r="C1172" s="199"/>
      <c r="D1172" s="112"/>
      <c r="E1172" s="33"/>
      <c r="F1172" s="105"/>
      <c r="H1172" s="116"/>
      <c r="I1172" s="26"/>
      <c r="J1172" s="98"/>
      <c r="K1172" s="36"/>
      <c r="L1172" s="26"/>
      <c r="M1172" s="26"/>
      <c r="N1172" s="26"/>
      <c r="O1172" s="93"/>
      <c r="P1172" s="95"/>
      <c r="Q1172" s="197"/>
    </row>
    <row r="1173" spans="3:17" x14ac:dyDescent="0.25">
      <c r="C1173" s="199"/>
      <c r="D1173" s="112"/>
      <c r="E1173" s="33"/>
      <c r="F1173" s="105"/>
      <c r="H1173" s="116"/>
      <c r="I1173" s="26"/>
      <c r="J1173" s="98"/>
      <c r="K1173" s="36"/>
      <c r="L1173" s="26"/>
      <c r="M1173" s="26"/>
      <c r="N1173" s="26"/>
      <c r="O1173" s="93"/>
      <c r="P1173" s="95"/>
      <c r="Q1173" s="197"/>
    </row>
    <row r="1174" spans="3:17" x14ac:dyDescent="0.25">
      <c r="C1174" s="199"/>
      <c r="D1174" s="112"/>
      <c r="E1174" s="33"/>
      <c r="F1174" s="105"/>
      <c r="H1174" s="116"/>
      <c r="I1174" s="26"/>
      <c r="J1174" s="98"/>
      <c r="K1174" s="36"/>
      <c r="L1174" s="26"/>
      <c r="M1174" s="26"/>
      <c r="N1174" s="26"/>
      <c r="O1174" s="93"/>
      <c r="P1174" s="95"/>
      <c r="Q1174" s="197"/>
    </row>
    <row r="1175" spans="3:17" x14ac:dyDescent="0.25">
      <c r="C1175" s="199"/>
      <c r="D1175" s="112"/>
      <c r="E1175" s="33"/>
      <c r="F1175" s="105"/>
      <c r="H1175" s="116"/>
      <c r="I1175" s="26"/>
      <c r="J1175" s="98"/>
      <c r="K1175" s="36"/>
      <c r="L1175" s="26"/>
      <c r="M1175" s="26"/>
      <c r="N1175" s="26"/>
      <c r="O1175" s="93"/>
      <c r="P1175" s="95"/>
      <c r="Q1175" s="197"/>
    </row>
    <row r="1176" spans="3:17" x14ac:dyDescent="0.25">
      <c r="C1176" s="199"/>
      <c r="D1176" s="112"/>
      <c r="E1176" s="33"/>
      <c r="F1176" s="105"/>
      <c r="H1176" s="116"/>
      <c r="I1176" s="26"/>
      <c r="J1176" s="98"/>
      <c r="K1176" s="36"/>
      <c r="L1176" s="26"/>
      <c r="M1176" s="26"/>
      <c r="N1176" s="26"/>
      <c r="O1176" s="93"/>
      <c r="P1176" s="95"/>
      <c r="Q1176" s="197"/>
    </row>
    <row r="1177" spans="3:17" x14ac:dyDescent="0.25">
      <c r="C1177" s="199"/>
      <c r="D1177" s="112"/>
      <c r="E1177" s="33"/>
      <c r="F1177" s="105"/>
      <c r="H1177" s="116"/>
      <c r="I1177" s="26"/>
      <c r="J1177" s="98"/>
      <c r="K1177" s="36"/>
      <c r="L1177" s="26"/>
      <c r="M1177" s="26"/>
      <c r="N1177" s="26"/>
      <c r="O1177" s="93"/>
      <c r="P1177" s="95"/>
      <c r="Q1177" s="197"/>
    </row>
    <row r="1178" spans="3:17" x14ac:dyDescent="0.25">
      <c r="C1178" s="199"/>
      <c r="D1178" s="112"/>
      <c r="E1178" s="33"/>
      <c r="F1178" s="105"/>
      <c r="H1178" s="116"/>
      <c r="I1178" s="26"/>
      <c r="J1178" s="98"/>
      <c r="K1178" s="36"/>
      <c r="L1178" s="26"/>
      <c r="M1178" s="26"/>
      <c r="N1178" s="26"/>
      <c r="O1178" s="93"/>
      <c r="P1178" s="95"/>
      <c r="Q1178" s="197"/>
    </row>
    <row r="1179" spans="3:17" x14ac:dyDescent="0.25">
      <c r="C1179" s="199"/>
      <c r="D1179" s="112"/>
      <c r="E1179" s="33"/>
      <c r="F1179" s="105"/>
      <c r="H1179" s="116"/>
      <c r="I1179" s="26"/>
      <c r="J1179" s="98"/>
      <c r="K1179" s="36"/>
      <c r="L1179" s="26"/>
      <c r="M1179" s="26"/>
      <c r="N1179" s="26"/>
      <c r="O1179" s="93"/>
      <c r="P1179" s="95"/>
      <c r="Q1179" s="197"/>
    </row>
    <row r="1180" spans="3:17" x14ac:dyDescent="0.25">
      <c r="C1180" s="199"/>
      <c r="D1180" s="112"/>
      <c r="E1180" s="33"/>
      <c r="F1180" s="105"/>
      <c r="H1180" s="116"/>
      <c r="I1180" s="26"/>
      <c r="J1180" s="98"/>
      <c r="K1180" s="36"/>
      <c r="L1180" s="26"/>
      <c r="M1180" s="26"/>
      <c r="N1180" s="26"/>
      <c r="O1180" s="93"/>
      <c r="P1180" s="95"/>
      <c r="Q1180" s="197"/>
    </row>
    <row r="1181" spans="3:17" x14ac:dyDescent="0.25">
      <c r="C1181" s="199"/>
      <c r="D1181" s="112"/>
      <c r="E1181" s="33"/>
      <c r="F1181" s="105"/>
      <c r="H1181" s="116"/>
      <c r="I1181" s="26"/>
      <c r="J1181" s="98"/>
      <c r="K1181" s="36"/>
      <c r="L1181" s="26"/>
      <c r="M1181" s="26"/>
      <c r="N1181" s="26"/>
      <c r="O1181" s="93"/>
      <c r="P1181" s="95"/>
      <c r="Q1181" s="197"/>
    </row>
    <row r="1182" spans="3:17" x14ac:dyDescent="0.25">
      <c r="C1182" s="199"/>
      <c r="D1182" s="112"/>
      <c r="E1182" s="33"/>
      <c r="F1182" s="105"/>
      <c r="H1182" s="116"/>
      <c r="I1182" s="26"/>
      <c r="J1182" s="98"/>
      <c r="K1182" s="36"/>
      <c r="L1182" s="26"/>
      <c r="M1182" s="26"/>
      <c r="N1182" s="26"/>
      <c r="O1182" s="93"/>
      <c r="P1182" s="95"/>
      <c r="Q1182" s="197"/>
    </row>
    <row r="1183" spans="3:17" x14ac:dyDescent="0.25">
      <c r="C1183" s="199"/>
      <c r="D1183" s="112"/>
      <c r="E1183" s="33"/>
      <c r="F1183" s="105"/>
      <c r="H1183" s="116"/>
      <c r="I1183" s="26"/>
      <c r="J1183" s="98"/>
      <c r="K1183" s="36"/>
      <c r="L1183" s="26"/>
      <c r="M1183" s="26"/>
      <c r="N1183" s="26"/>
      <c r="O1183" s="93"/>
      <c r="P1183" s="95"/>
      <c r="Q1183" s="197"/>
    </row>
    <row r="1184" spans="3:17" x14ac:dyDescent="0.25">
      <c r="C1184" s="199"/>
      <c r="D1184" s="112"/>
      <c r="E1184" s="33"/>
      <c r="F1184" s="105"/>
      <c r="H1184" s="116"/>
      <c r="I1184" s="26"/>
      <c r="J1184" s="98"/>
      <c r="K1184" s="36"/>
      <c r="L1184" s="26"/>
      <c r="M1184" s="26"/>
      <c r="N1184" s="26"/>
      <c r="O1184" s="93"/>
      <c r="P1184" s="95"/>
      <c r="Q1184" s="197"/>
    </row>
    <row r="1185" spans="3:17" x14ac:dyDescent="0.25">
      <c r="C1185" s="199"/>
      <c r="D1185" s="112"/>
      <c r="E1185" s="33"/>
      <c r="F1185" s="105"/>
      <c r="H1185" s="116"/>
      <c r="I1185" s="26"/>
      <c r="J1185" s="98"/>
      <c r="K1185" s="36"/>
      <c r="L1185" s="26"/>
      <c r="M1185" s="26"/>
      <c r="N1185" s="26"/>
      <c r="O1185" s="93"/>
      <c r="P1185" s="95"/>
      <c r="Q1185" s="197"/>
    </row>
    <row r="1186" spans="3:17" x14ac:dyDescent="0.25">
      <c r="C1186" s="199"/>
      <c r="D1186" s="112"/>
      <c r="E1186" s="33"/>
      <c r="F1186" s="105"/>
      <c r="H1186" s="116"/>
      <c r="I1186" s="26"/>
      <c r="J1186" s="98"/>
      <c r="K1186" s="36"/>
      <c r="L1186" s="26"/>
      <c r="M1186" s="26"/>
      <c r="N1186" s="26"/>
      <c r="O1186" s="93"/>
      <c r="P1186" s="95"/>
      <c r="Q1186" s="197"/>
    </row>
    <row r="1187" spans="3:17" x14ac:dyDescent="0.25">
      <c r="C1187" s="199"/>
      <c r="D1187" s="112"/>
      <c r="E1187" s="33"/>
      <c r="F1187" s="105"/>
      <c r="H1187" s="116"/>
      <c r="I1187" s="26"/>
      <c r="J1187" s="98"/>
      <c r="K1187" s="36"/>
      <c r="L1187" s="26"/>
      <c r="M1187" s="26"/>
      <c r="N1187" s="26"/>
      <c r="O1187" s="93"/>
      <c r="P1187" s="95"/>
      <c r="Q1187" s="197"/>
    </row>
    <row r="1188" spans="3:17" x14ac:dyDescent="0.25">
      <c r="C1188" s="199"/>
      <c r="D1188" s="112"/>
      <c r="E1188" s="33"/>
      <c r="F1188" s="105"/>
      <c r="H1188" s="116"/>
      <c r="I1188" s="26"/>
      <c r="J1188" s="98"/>
      <c r="K1188" s="36"/>
      <c r="L1188" s="26"/>
      <c r="M1188" s="26"/>
      <c r="N1188" s="26"/>
      <c r="O1188" s="93"/>
      <c r="P1188" s="95"/>
      <c r="Q1188" s="197"/>
    </row>
    <row r="1189" spans="3:17" x14ac:dyDescent="0.25">
      <c r="C1189" s="199"/>
      <c r="D1189" s="112"/>
      <c r="E1189" s="33"/>
      <c r="F1189" s="105"/>
      <c r="H1189" s="116"/>
      <c r="I1189" s="26"/>
      <c r="J1189" s="98"/>
      <c r="K1189" s="36"/>
      <c r="L1189" s="26"/>
      <c r="M1189" s="26"/>
      <c r="N1189" s="26"/>
      <c r="O1189" s="93"/>
      <c r="P1189" s="95"/>
      <c r="Q1189" s="197"/>
    </row>
    <row r="1190" spans="3:17" x14ac:dyDescent="0.25">
      <c r="C1190" s="199"/>
      <c r="D1190" s="112"/>
      <c r="E1190" s="33"/>
      <c r="F1190" s="105"/>
      <c r="H1190" s="116"/>
      <c r="I1190" s="26"/>
      <c r="J1190" s="98"/>
      <c r="K1190" s="36"/>
      <c r="L1190" s="26"/>
      <c r="M1190" s="26"/>
      <c r="N1190" s="26"/>
      <c r="O1190" s="93"/>
      <c r="P1190" s="95"/>
      <c r="Q1190" s="197"/>
    </row>
    <row r="1191" spans="3:17" x14ac:dyDescent="0.25">
      <c r="C1191" s="199"/>
      <c r="D1191" s="112"/>
      <c r="E1191" s="33"/>
      <c r="F1191" s="105"/>
      <c r="H1191" s="116"/>
      <c r="I1191" s="26"/>
      <c r="J1191" s="98"/>
      <c r="K1191" s="36"/>
      <c r="L1191" s="26"/>
      <c r="M1191" s="26"/>
      <c r="N1191" s="26"/>
      <c r="O1191" s="93"/>
      <c r="P1191" s="95"/>
      <c r="Q1191" s="197"/>
    </row>
    <row r="1192" spans="3:17" x14ac:dyDescent="0.25">
      <c r="C1192" s="199"/>
      <c r="D1192" s="112"/>
      <c r="E1192" s="33"/>
      <c r="F1192" s="105"/>
      <c r="H1192" s="116"/>
      <c r="I1192" s="26"/>
      <c r="J1192" s="98"/>
      <c r="K1192" s="36"/>
      <c r="L1192" s="26"/>
      <c r="M1192" s="26"/>
      <c r="N1192" s="26"/>
      <c r="O1192" s="93"/>
      <c r="P1192" s="95"/>
      <c r="Q1192" s="197"/>
    </row>
    <row r="1193" spans="3:17" x14ac:dyDescent="0.25">
      <c r="C1193" s="199"/>
      <c r="D1193" s="112"/>
      <c r="E1193" s="33"/>
      <c r="F1193" s="105"/>
      <c r="H1193" s="116"/>
      <c r="I1193" s="26"/>
      <c r="J1193" s="98"/>
      <c r="K1193" s="36"/>
      <c r="L1193" s="26"/>
      <c r="M1193" s="26"/>
      <c r="N1193" s="26"/>
      <c r="O1193" s="93"/>
      <c r="P1193" s="95"/>
      <c r="Q1193" s="197"/>
    </row>
    <row r="1194" spans="3:17" x14ac:dyDescent="0.25">
      <c r="C1194" s="199"/>
      <c r="D1194" s="112"/>
      <c r="E1194" s="33"/>
      <c r="F1194" s="105"/>
      <c r="H1194" s="116"/>
      <c r="I1194" s="26"/>
      <c r="J1194" s="98"/>
      <c r="K1194" s="36"/>
      <c r="L1194" s="26"/>
      <c r="M1194" s="26"/>
      <c r="N1194" s="26"/>
      <c r="O1194" s="93"/>
      <c r="P1194" s="95"/>
      <c r="Q1194" s="197"/>
    </row>
    <row r="1195" spans="3:17" x14ac:dyDescent="0.25">
      <c r="C1195" s="199"/>
      <c r="D1195" s="112"/>
      <c r="E1195" s="33"/>
      <c r="F1195" s="105"/>
      <c r="H1195" s="116"/>
      <c r="I1195" s="26"/>
      <c r="J1195" s="98"/>
      <c r="K1195" s="36"/>
      <c r="L1195" s="26"/>
      <c r="M1195" s="26"/>
      <c r="N1195" s="26"/>
      <c r="O1195" s="93"/>
      <c r="P1195" s="95"/>
      <c r="Q1195" s="197"/>
    </row>
    <row r="1196" spans="3:17" x14ac:dyDescent="0.25">
      <c r="C1196" s="199"/>
      <c r="D1196" s="112"/>
      <c r="E1196" s="33"/>
      <c r="F1196" s="105"/>
      <c r="H1196" s="116"/>
      <c r="I1196" s="26"/>
      <c r="J1196" s="98"/>
      <c r="K1196" s="36"/>
      <c r="L1196" s="26"/>
      <c r="M1196" s="26"/>
      <c r="N1196" s="26"/>
      <c r="O1196" s="93"/>
      <c r="P1196" s="95"/>
      <c r="Q1196" s="197"/>
    </row>
    <row r="1197" spans="3:17" x14ac:dyDescent="0.25">
      <c r="C1197" s="199"/>
      <c r="D1197" s="112"/>
      <c r="E1197" s="33"/>
      <c r="F1197" s="105"/>
      <c r="H1197" s="116"/>
      <c r="I1197" s="26"/>
      <c r="J1197" s="98"/>
      <c r="K1197" s="36"/>
      <c r="L1197" s="26"/>
      <c r="M1197" s="26"/>
      <c r="N1197" s="26"/>
      <c r="O1197" s="93"/>
      <c r="P1197" s="95"/>
      <c r="Q1197" s="197"/>
    </row>
    <row r="1198" spans="3:17" x14ac:dyDescent="0.25">
      <c r="C1198" s="199"/>
      <c r="D1198" s="112"/>
      <c r="E1198" s="33"/>
      <c r="F1198" s="105"/>
      <c r="H1198" s="116"/>
      <c r="I1198" s="26"/>
      <c r="J1198" s="98"/>
      <c r="K1198" s="36"/>
      <c r="L1198" s="26"/>
      <c r="M1198" s="26"/>
      <c r="N1198" s="26"/>
      <c r="O1198" s="93"/>
      <c r="P1198" s="95"/>
      <c r="Q1198" s="197"/>
    </row>
    <row r="1199" spans="3:17" x14ac:dyDescent="0.25">
      <c r="C1199" s="199"/>
      <c r="D1199" s="112"/>
      <c r="E1199" s="33"/>
      <c r="F1199" s="105"/>
      <c r="H1199" s="116"/>
      <c r="I1199" s="26"/>
      <c r="J1199" s="98"/>
      <c r="K1199" s="36"/>
      <c r="L1199" s="26"/>
      <c r="M1199" s="26"/>
      <c r="N1199" s="26"/>
      <c r="O1199" s="93"/>
      <c r="P1199" s="95"/>
      <c r="Q1199" s="197"/>
    </row>
    <row r="1200" spans="3:17" x14ac:dyDescent="0.25">
      <c r="C1200" s="199"/>
      <c r="D1200" s="112"/>
      <c r="E1200" s="33"/>
      <c r="F1200" s="105"/>
      <c r="H1200" s="116"/>
      <c r="I1200" s="26"/>
      <c r="J1200" s="98"/>
      <c r="K1200" s="36"/>
      <c r="L1200" s="26"/>
      <c r="M1200" s="26"/>
      <c r="N1200" s="26"/>
      <c r="O1200" s="93"/>
      <c r="P1200" s="95"/>
      <c r="Q1200" s="197"/>
    </row>
    <row r="1201" spans="3:17" x14ac:dyDescent="0.25">
      <c r="C1201" s="199"/>
      <c r="D1201" s="112"/>
      <c r="E1201" s="33"/>
      <c r="F1201" s="105"/>
      <c r="H1201" s="116"/>
      <c r="I1201" s="26"/>
      <c r="J1201" s="98"/>
      <c r="K1201" s="36"/>
      <c r="L1201" s="26"/>
      <c r="M1201" s="26"/>
      <c r="N1201" s="26"/>
      <c r="O1201" s="93"/>
      <c r="P1201" s="95"/>
      <c r="Q1201" s="197"/>
    </row>
    <row r="1202" spans="3:17" x14ac:dyDescent="0.25">
      <c r="C1202" s="199"/>
      <c r="D1202" s="112"/>
      <c r="E1202" s="33"/>
      <c r="F1202" s="105"/>
      <c r="H1202" s="116"/>
      <c r="I1202" s="26"/>
      <c r="J1202" s="98"/>
      <c r="K1202" s="36"/>
      <c r="L1202" s="26"/>
      <c r="M1202" s="26"/>
      <c r="N1202" s="26"/>
      <c r="O1202" s="93"/>
      <c r="P1202" s="95"/>
      <c r="Q1202" s="197"/>
    </row>
    <row r="1203" spans="3:17" x14ac:dyDescent="0.25">
      <c r="C1203" s="199"/>
      <c r="D1203" s="112"/>
      <c r="E1203" s="33"/>
      <c r="F1203" s="105"/>
      <c r="H1203" s="116"/>
      <c r="I1203" s="26"/>
      <c r="J1203" s="98"/>
      <c r="K1203" s="36"/>
      <c r="L1203" s="26"/>
      <c r="M1203" s="26"/>
      <c r="N1203" s="26"/>
      <c r="O1203" s="93"/>
      <c r="P1203" s="95"/>
      <c r="Q1203" s="197"/>
    </row>
    <row r="1204" spans="3:17" x14ac:dyDescent="0.25">
      <c r="C1204" s="199"/>
      <c r="D1204" s="112"/>
      <c r="E1204" s="33"/>
      <c r="F1204" s="105"/>
      <c r="H1204" s="116"/>
      <c r="I1204" s="26"/>
      <c r="J1204" s="98"/>
      <c r="K1204" s="36"/>
      <c r="L1204" s="26"/>
      <c r="M1204" s="26"/>
      <c r="N1204" s="26"/>
      <c r="O1204" s="93"/>
      <c r="P1204" s="95"/>
      <c r="Q1204" s="197"/>
    </row>
    <row r="1205" spans="3:17" x14ac:dyDescent="0.25">
      <c r="C1205" s="199"/>
      <c r="D1205" s="112"/>
      <c r="E1205" s="33"/>
      <c r="F1205" s="105"/>
      <c r="H1205" s="116"/>
      <c r="I1205" s="26"/>
      <c r="J1205" s="98"/>
      <c r="K1205" s="36"/>
      <c r="L1205" s="26"/>
      <c r="M1205" s="26"/>
      <c r="N1205" s="26"/>
      <c r="O1205" s="93"/>
      <c r="P1205" s="95"/>
      <c r="Q1205" s="197"/>
    </row>
    <row r="1206" spans="3:17" x14ac:dyDescent="0.25">
      <c r="C1206" s="199"/>
      <c r="D1206" s="112"/>
      <c r="E1206" s="33"/>
      <c r="F1206" s="105"/>
      <c r="H1206" s="116"/>
      <c r="I1206" s="26"/>
      <c r="J1206" s="98"/>
      <c r="K1206" s="36"/>
      <c r="L1206" s="26"/>
      <c r="M1206" s="26"/>
      <c r="N1206" s="26"/>
      <c r="O1206" s="93"/>
      <c r="P1206" s="95"/>
      <c r="Q1206" s="197"/>
    </row>
    <row r="1207" spans="3:17" x14ac:dyDescent="0.25">
      <c r="C1207" s="199"/>
      <c r="D1207" s="112"/>
      <c r="E1207" s="33"/>
      <c r="F1207" s="105"/>
      <c r="H1207" s="116"/>
      <c r="I1207" s="26"/>
      <c r="J1207" s="98"/>
      <c r="K1207" s="36"/>
      <c r="L1207" s="26"/>
      <c r="M1207" s="26"/>
      <c r="N1207" s="26"/>
      <c r="O1207" s="93"/>
      <c r="P1207" s="95"/>
      <c r="Q1207" s="197"/>
    </row>
    <row r="1208" spans="3:17" x14ac:dyDescent="0.25">
      <c r="C1208" s="199"/>
      <c r="D1208" s="112"/>
      <c r="E1208" s="33"/>
      <c r="F1208" s="105"/>
      <c r="H1208" s="116"/>
      <c r="I1208" s="26"/>
      <c r="J1208" s="98"/>
      <c r="K1208" s="36"/>
      <c r="L1208" s="26"/>
      <c r="M1208" s="26"/>
      <c r="N1208" s="26"/>
      <c r="O1208" s="93"/>
      <c r="P1208" s="95"/>
      <c r="Q1208" s="197"/>
    </row>
    <row r="1209" spans="3:17" x14ac:dyDescent="0.25">
      <c r="C1209" s="199"/>
      <c r="D1209" s="112"/>
      <c r="E1209" s="33"/>
      <c r="F1209" s="105"/>
      <c r="H1209" s="116"/>
      <c r="I1209" s="26"/>
      <c r="J1209" s="98"/>
      <c r="K1209" s="36"/>
      <c r="L1209" s="26"/>
      <c r="M1209" s="26"/>
      <c r="N1209" s="26"/>
      <c r="O1209" s="93"/>
      <c r="P1209" s="95"/>
      <c r="Q1209" s="197"/>
    </row>
    <row r="1210" spans="3:17" x14ac:dyDescent="0.25">
      <c r="C1210" s="199"/>
      <c r="D1210" s="112"/>
      <c r="E1210" s="33"/>
      <c r="F1210" s="105"/>
      <c r="H1210" s="116"/>
      <c r="I1210" s="26"/>
      <c r="J1210" s="98"/>
      <c r="K1210" s="36"/>
      <c r="L1210" s="26"/>
      <c r="M1210" s="26"/>
      <c r="N1210" s="26"/>
      <c r="O1210" s="93"/>
      <c r="P1210" s="95"/>
      <c r="Q1210" s="197"/>
    </row>
    <row r="1211" spans="3:17" x14ac:dyDescent="0.25">
      <c r="C1211" s="199"/>
      <c r="D1211" s="112"/>
      <c r="E1211" s="33"/>
      <c r="F1211" s="105"/>
      <c r="H1211" s="116"/>
      <c r="I1211" s="26"/>
      <c r="J1211" s="98"/>
      <c r="K1211" s="36"/>
      <c r="L1211" s="26"/>
      <c r="M1211" s="26"/>
      <c r="N1211" s="26"/>
      <c r="O1211" s="93"/>
      <c r="P1211" s="95"/>
      <c r="Q1211" s="197"/>
    </row>
    <row r="1212" spans="3:17" x14ac:dyDescent="0.25">
      <c r="C1212" s="199"/>
      <c r="D1212" s="112"/>
      <c r="E1212" s="33"/>
      <c r="F1212" s="105"/>
      <c r="H1212" s="116"/>
      <c r="I1212" s="26"/>
      <c r="J1212" s="98"/>
      <c r="K1212" s="36"/>
      <c r="L1212" s="26"/>
      <c r="M1212" s="26"/>
      <c r="N1212" s="26"/>
      <c r="O1212" s="93"/>
      <c r="P1212" s="95"/>
      <c r="Q1212" s="197"/>
    </row>
    <row r="1213" spans="3:17" x14ac:dyDescent="0.25">
      <c r="C1213" s="199"/>
      <c r="D1213" s="112"/>
      <c r="E1213" s="33"/>
      <c r="F1213" s="105"/>
      <c r="H1213" s="116"/>
      <c r="I1213" s="26"/>
      <c r="J1213" s="98"/>
      <c r="K1213" s="36"/>
      <c r="L1213" s="26"/>
      <c r="M1213" s="26"/>
      <c r="N1213" s="26"/>
      <c r="O1213" s="93"/>
      <c r="P1213" s="95"/>
      <c r="Q1213" s="197"/>
    </row>
    <row r="1214" spans="3:17" x14ac:dyDescent="0.25">
      <c r="C1214" s="199"/>
      <c r="D1214" s="112"/>
      <c r="E1214" s="33"/>
      <c r="F1214" s="105"/>
      <c r="H1214" s="116"/>
      <c r="I1214" s="26"/>
      <c r="J1214" s="98"/>
      <c r="K1214" s="36"/>
      <c r="L1214" s="26"/>
      <c r="M1214" s="26"/>
      <c r="N1214" s="26"/>
      <c r="O1214" s="93"/>
      <c r="P1214" s="95"/>
      <c r="Q1214" s="197"/>
    </row>
    <row r="1215" spans="3:17" x14ac:dyDescent="0.25">
      <c r="C1215" s="199"/>
      <c r="D1215" s="112"/>
      <c r="E1215" s="33"/>
      <c r="F1215" s="105"/>
      <c r="H1215" s="116"/>
      <c r="I1215" s="26"/>
      <c r="J1215" s="98"/>
      <c r="K1215" s="36"/>
      <c r="L1215" s="26"/>
      <c r="M1215" s="26"/>
      <c r="N1215" s="26"/>
      <c r="O1215" s="93"/>
      <c r="P1215" s="95"/>
      <c r="Q1215" s="197"/>
    </row>
    <row r="1216" spans="3:17" x14ac:dyDescent="0.25">
      <c r="C1216" s="199"/>
      <c r="D1216" s="112"/>
      <c r="E1216" s="33"/>
      <c r="F1216" s="105"/>
      <c r="H1216" s="116"/>
      <c r="I1216" s="26"/>
      <c r="J1216" s="98"/>
      <c r="K1216" s="36"/>
      <c r="L1216" s="26"/>
      <c r="M1216" s="26"/>
      <c r="N1216" s="26"/>
      <c r="O1216" s="93"/>
      <c r="P1216" s="95"/>
      <c r="Q1216" s="197"/>
    </row>
    <row r="1217" spans="3:17" x14ac:dyDescent="0.25">
      <c r="C1217" s="199"/>
      <c r="D1217" s="112"/>
      <c r="E1217" s="33"/>
      <c r="F1217" s="105"/>
      <c r="H1217" s="116"/>
      <c r="I1217" s="26"/>
      <c r="J1217" s="98"/>
      <c r="K1217" s="36"/>
      <c r="L1217" s="26"/>
      <c r="M1217" s="26"/>
      <c r="N1217" s="26"/>
      <c r="O1217" s="93"/>
      <c r="P1217" s="95"/>
      <c r="Q1217" s="197"/>
    </row>
    <row r="1218" spans="3:17" x14ac:dyDescent="0.25">
      <c r="C1218" s="199"/>
      <c r="D1218" s="112"/>
      <c r="E1218" s="33"/>
      <c r="F1218" s="105"/>
      <c r="H1218" s="116"/>
      <c r="I1218" s="26"/>
      <c r="J1218" s="98"/>
      <c r="K1218" s="36"/>
      <c r="L1218" s="26"/>
      <c r="M1218" s="26"/>
      <c r="N1218" s="26"/>
      <c r="O1218" s="93"/>
      <c r="P1218" s="95"/>
      <c r="Q1218" s="197"/>
    </row>
    <row r="1219" spans="3:17" x14ac:dyDescent="0.25">
      <c r="C1219" s="199"/>
      <c r="D1219" s="112"/>
      <c r="E1219" s="33"/>
      <c r="F1219" s="105"/>
      <c r="H1219" s="116"/>
      <c r="I1219" s="26"/>
      <c r="J1219" s="98"/>
      <c r="K1219" s="36"/>
      <c r="L1219" s="26"/>
      <c r="M1219" s="26"/>
      <c r="N1219" s="26"/>
      <c r="O1219" s="93"/>
      <c r="P1219" s="95"/>
      <c r="Q1219" s="197"/>
    </row>
    <row r="1220" spans="3:17" x14ac:dyDescent="0.25">
      <c r="C1220" s="199"/>
      <c r="D1220" s="112"/>
      <c r="E1220" s="33"/>
      <c r="F1220" s="105"/>
      <c r="H1220" s="116"/>
      <c r="I1220" s="26"/>
      <c r="J1220" s="98"/>
      <c r="K1220" s="36"/>
      <c r="L1220" s="26"/>
      <c r="M1220" s="26"/>
      <c r="N1220" s="26"/>
      <c r="O1220" s="93"/>
      <c r="P1220" s="95"/>
      <c r="Q1220" s="197"/>
    </row>
    <row r="1221" spans="3:17" x14ac:dyDescent="0.25">
      <c r="C1221" s="199"/>
      <c r="D1221" s="112"/>
      <c r="E1221" s="33"/>
      <c r="F1221" s="105"/>
      <c r="H1221" s="116"/>
      <c r="I1221" s="26"/>
      <c r="J1221" s="98"/>
      <c r="K1221" s="36"/>
      <c r="L1221" s="26"/>
      <c r="M1221" s="26"/>
      <c r="N1221" s="26"/>
      <c r="O1221" s="93"/>
      <c r="P1221" s="95"/>
      <c r="Q1221" s="197"/>
    </row>
    <row r="1222" spans="3:17" x14ac:dyDescent="0.25">
      <c r="C1222" s="199"/>
      <c r="D1222" s="112"/>
      <c r="E1222" s="33"/>
      <c r="F1222" s="105"/>
      <c r="H1222" s="116"/>
      <c r="I1222" s="26"/>
      <c r="J1222" s="98"/>
      <c r="K1222" s="36"/>
      <c r="L1222" s="26"/>
      <c r="M1222" s="26"/>
      <c r="N1222" s="26"/>
      <c r="O1222" s="93"/>
      <c r="P1222" s="95"/>
      <c r="Q1222" s="197"/>
    </row>
    <row r="1223" spans="3:17" x14ac:dyDescent="0.25">
      <c r="C1223" s="199"/>
      <c r="D1223" s="112"/>
      <c r="E1223" s="33"/>
      <c r="F1223" s="105"/>
      <c r="H1223" s="116"/>
      <c r="I1223" s="26"/>
      <c r="J1223" s="98"/>
      <c r="K1223" s="36"/>
      <c r="L1223" s="26"/>
      <c r="M1223" s="26"/>
      <c r="N1223" s="26"/>
      <c r="O1223" s="93"/>
      <c r="P1223" s="95"/>
      <c r="Q1223" s="197"/>
    </row>
    <row r="1224" spans="3:17" x14ac:dyDescent="0.25">
      <c r="C1224" s="199"/>
      <c r="D1224" s="112"/>
      <c r="E1224" s="33"/>
      <c r="F1224" s="105"/>
      <c r="H1224" s="116"/>
      <c r="I1224" s="26"/>
      <c r="J1224" s="98"/>
      <c r="K1224" s="36"/>
      <c r="L1224" s="26"/>
      <c r="M1224" s="26"/>
      <c r="N1224" s="26"/>
      <c r="O1224" s="93"/>
      <c r="P1224" s="95"/>
      <c r="Q1224" s="197"/>
    </row>
    <row r="1225" spans="3:17" x14ac:dyDescent="0.25">
      <c r="C1225" s="199"/>
      <c r="D1225" s="112"/>
      <c r="E1225" s="33"/>
      <c r="F1225" s="105"/>
      <c r="H1225" s="116"/>
      <c r="I1225" s="26"/>
      <c r="J1225" s="98"/>
      <c r="K1225" s="36"/>
      <c r="L1225" s="26"/>
      <c r="M1225" s="26"/>
      <c r="N1225" s="26"/>
      <c r="O1225" s="93"/>
      <c r="P1225" s="95"/>
      <c r="Q1225" s="197"/>
    </row>
    <row r="1226" spans="3:17" x14ac:dyDescent="0.25">
      <c r="C1226" s="199"/>
      <c r="D1226" s="112"/>
      <c r="E1226" s="33"/>
      <c r="F1226" s="105"/>
      <c r="H1226" s="116"/>
      <c r="I1226" s="26"/>
      <c r="J1226" s="98"/>
      <c r="K1226" s="36"/>
      <c r="L1226" s="26"/>
      <c r="M1226" s="26"/>
      <c r="N1226" s="26"/>
      <c r="O1226" s="93"/>
      <c r="P1226" s="95"/>
      <c r="Q1226" s="197"/>
    </row>
    <row r="1227" spans="3:17" x14ac:dyDescent="0.25">
      <c r="C1227" s="199"/>
      <c r="D1227" s="112"/>
      <c r="E1227" s="33"/>
      <c r="F1227" s="105"/>
      <c r="H1227" s="116"/>
      <c r="I1227" s="26"/>
      <c r="J1227" s="98"/>
      <c r="K1227" s="36"/>
      <c r="L1227" s="26"/>
      <c r="M1227" s="26"/>
      <c r="N1227" s="26"/>
      <c r="O1227" s="93"/>
      <c r="P1227" s="95"/>
      <c r="Q1227" s="197"/>
    </row>
    <row r="1228" spans="3:17" x14ac:dyDescent="0.25">
      <c r="C1228" s="199"/>
      <c r="D1228" s="112"/>
      <c r="E1228" s="33"/>
      <c r="F1228" s="105"/>
      <c r="H1228" s="116"/>
      <c r="I1228" s="26"/>
      <c r="J1228" s="98"/>
      <c r="K1228" s="36"/>
      <c r="L1228" s="26"/>
      <c r="M1228" s="26"/>
      <c r="N1228" s="26"/>
      <c r="O1228" s="93"/>
      <c r="P1228" s="95"/>
      <c r="Q1228" s="197"/>
    </row>
    <row r="1229" spans="3:17" x14ac:dyDescent="0.25">
      <c r="C1229" s="199"/>
      <c r="D1229" s="112"/>
      <c r="E1229" s="33"/>
      <c r="F1229" s="105"/>
      <c r="H1229" s="116"/>
      <c r="I1229" s="26"/>
      <c r="J1229" s="98"/>
      <c r="K1229" s="36"/>
      <c r="L1229" s="26"/>
      <c r="M1229" s="26"/>
      <c r="N1229" s="26"/>
      <c r="O1229" s="93"/>
      <c r="P1229" s="95"/>
      <c r="Q1229" s="197"/>
    </row>
    <row r="1230" spans="3:17" x14ac:dyDescent="0.25">
      <c r="C1230" s="199"/>
      <c r="D1230" s="112"/>
      <c r="E1230" s="33"/>
      <c r="F1230" s="105"/>
      <c r="H1230" s="116"/>
      <c r="I1230" s="26"/>
      <c r="J1230" s="98"/>
      <c r="K1230" s="36"/>
      <c r="L1230" s="26"/>
      <c r="M1230" s="26"/>
      <c r="N1230" s="26"/>
      <c r="O1230" s="93"/>
      <c r="P1230" s="95"/>
      <c r="Q1230" s="197"/>
    </row>
    <row r="1231" spans="3:17" x14ac:dyDescent="0.25">
      <c r="C1231" s="199"/>
      <c r="D1231" s="112"/>
      <c r="E1231" s="33"/>
      <c r="F1231" s="105"/>
      <c r="H1231" s="116"/>
      <c r="I1231" s="26"/>
      <c r="J1231" s="98"/>
      <c r="K1231" s="36"/>
      <c r="L1231" s="26"/>
      <c r="M1231" s="26"/>
      <c r="N1231" s="26"/>
      <c r="O1231" s="93"/>
      <c r="P1231" s="95"/>
      <c r="Q1231" s="197"/>
    </row>
    <row r="1232" spans="3:17" x14ac:dyDescent="0.25">
      <c r="C1232" s="199"/>
      <c r="D1232" s="112"/>
      <c r="E1232" s="33"/>
      <c r="F1232" s="105"/>
      <c r="H1232" s="116"/>
      <c r="I1232" s="26"/>
      <c r="J1232" s="98"/>
      <c r="K1232" s="36"/>
      <c r="L1232" s="26"/>
      <c r="M1232" s="26"/>
      <c r="N1232" s="26"/>
      <c r="O1232" s="93"/>
      <c r="P1232" s="95"/>
      <c r="Q1232" s="197"/>
    </row>
    <row r="1233" spans="3:17" x14ac:dyDescent="0.25">
      <c r="C1233" s="199"/>
      <c r="D1233" s="112"/>
      <c r="E1233" s="33"/>
      <c r="F1233" s="105"/>
      <c r="H1233" s="116"/>
      <c r="I1233" s="26"/>
      <c r="J1233" s="98"/>
      <c r="K1233" s="36"/>
      <c r="L1233" s="26"/>
      <c r="M1233" s="26"/>
      <c r="N1233" s="26"/>
      <c r="O1233" s="93"/>
      <c r="P1233" s="95"/>
      <c r="Q1233" s="197"/>
    </row>
    <row r="1234" spans="3:17" x14ac:dyDescent="0.25">
      <c r="C1234" s="199"/>
      <c r="D1234" s="112"/>
      <c r="E1234" s="33"/>
      <c r="F1234" s="105"/>
      <c r="H1234" s="116"/>
      <c r="I1234" s="26"/>
      <c r="J1234" s="98"/>
      <c r="K1234" s="36"/>
      <c r="L1234" s="26"/>
      <c r="M1234" s="26"/>
      <c r="N1234" s="26"/>
      <c r="O1234" s="93"/>
      <c r="P1234" s="95"/>
      <c r="Q1234" s="197"/>
    </row>
    <row r="1235" spans="3:17" x14ac:dyDescent="0.25">
      <c r="C1235" s="199"/>
      <c r="D1235" s="112"/>
      <c r="E1235" s="33"/>
      <c r="F1235" s="105"/>
      <c r="H1235" s="116"/>
      <c r="I1235" s="26"/>
      <c r="J1235" s="98"/>
      <c r="K1235" s="36"/>
      <c r="L1235" s="26"/>
      <c r="M1235" s="26"/>
      <c r="N1235" s="26"/>
      <c r="O1235" s="93"/>
      <c r="P1235" s="95"/>
      <c r="Q1235" s="197"/>
    </row>
    <row r="1236" spans="3:17" x14ac:dyDescent="0.25">
      <c r="C1236" s="199"/>
      <c r="D1236" s="112"/>
      <c r="E1236" s="33"/>
      <c r="F1236" s="105"/>
      <c r="H1236" s="116"/>
      <c r="I1236" s="26"/>
      <c r="J1236" s="98"/>
      <c r="K1236" s="36"/>
      <c r="L1236" s="26"/>
      <c r="M1236" s="26"/>
      <c r="N1236" s="26"/>
      <c r="O1236" s="93"/>
      <c r="P1236" s="95"/>
      <c r="Q1236" s="197"/>
    </row>
    <row r="1237" spans="3:17" x14ac:dyDescent="0.25">
      <c r="C1237" s="199"/>
      <c r="D1237" s="112"/>
      <c r="E1237" s="33"/>
      <c r="F1237" s="105"/>
      <c r="H1237" s="116"/>
      <c r="I1237" s="26"/>
      <c r="J1237" s="98"/>
      <c r="K1237" s="36"/>
      <c r="L1237" s="26"/>
      <c r="M1237" s="26"/>
      <c r="N1237" s="26"/>
      <c r="O1237" s="93"/>
      <c r="P1237" s="95"/>
      <c r="Q1237" s="197"/>
    </row>
    <row r="1238" spans="3:17" x14ac:dyDescent="0.25">
      <c r="C1238" s="199"/>
      <c r="D1238" s="112"/>
      <c r="E1238" s="33"/>
      <c r="F1238" s="105"/>
      <c r="H1238" s="116"/>
      <c r="I1238" s="26"/>
      <c r="J1238" s="98"/>
      <c r="K1238" s="36"/>
      <c r="L1238" s="26"/>
      <c r="M1238" s="26"/>
      <c r="N1238" s="26"/>
      <c r="O1238" s="93"/>
      <c r="P1238" s="95"/>
      <c r="Q1238" s="197"/>
    </row>
    <row r="1239" spans="3:17" x14ac:dyDescent="0.25">
      <c r="C1239" s="199"/>
      <c r="D1239" s="112"/>
      <c r="E1239" s="33"/>
      <c r="F1239" s="105"/>
      <c r="H1239" s="116"/>
      <c r="I1239" s="26"/>
      <c r="J1239" s="98"/>
      <c r="K1239" s="36"/>
      <c r="L1239" s="26"/>
      <c r="M1239" s="26"/>
      <c r="N1239" s="26"/>
      <c r="O1239" s="93"/>
      <c r="P1239" s="95"/>
      <c r="Q1239" s="197"/>
    </row>
    <row r="1240" spans="3:17" x14ac:dyDescent="0.25">
      <c r="C1240" s="199"/>
      <c r="D1240" s="112"/>
      <c r="E1240" s="33"/>
      <c r="F1240" s="105"/>
      <c r="H1240" s="116"/>
      <c r="I1240" s="26"/>
      <c r="J1240" s="98"/>
      <c r="K1240" s="36"/>
      <c r="L1240" s="26"/>
      <c r="M1240" s="26"/>
      <c r="N1240" s="26"/>
      <c r="O1240" s="93"/>
      <c r="P1240" s="95"/>
      <c r="Q1240" s="197"/>
    </row>
    <row r="1241" spans="3:17" x14ac:dyDescent="0.25">
      <c r="C1241" s="199"/>
      <c r="D1241" s="112"/>
      <c r="E1241" s="33"/>
      <c r="F1241" s="105"/>
      <c r="H1241" s="116"/>
      <c r="I1241" s="26"/>
      <c r="J1241" s="98"/>
      <c r="K1241" s="36"/>
      <c r="L1241" s="26"/>
      <c r="M1241" s="26"/>
      <c r="N1241" s="26"/>
      <c r="O1241" s="93"/>
      <c r="P1241" s="95"/>
      <c r="Q1241" s="197"/>
    </row>
    <row r="1242" spans="3:17" x14ac:dyDescent="0.25">
      <c r="C1242" s="199"/>
      <c r="D1242" s="112"/>
      <c r="E1242" s="33"/>
      <c r="F1242" s="105"/>
      <c r="H1242" s="116"/>
      <c r="I1242" s="26"/>
      <c r="J1242" s="98"/>
      <c r="K1242" s="36"/>
      <c r="L1242" s="26"/>
      <c r="M1242" s="26"/>
      <c r="N1242" s="26"/>
      <c r="O1242" s="93"/>
      <c r="P1242" s="95"/>
      <c r="Q1242" s="197"/>
    </row>
    <row r="1243" spans="3:17" x14ac:dyDescent="0.25">
      <c r="C1243" s="199"/>
      <c r="D1243" s="112"/>
      <c r="E1243" s="33"/>
      <c r="F1243" s="105"/>
      <c r="H1243" s="116"/>
      <c r="I1243" s="26"/>
      <c r="J1243" s="98"/>
      <c r="K1243" s="36"/>
      <c r="L1243" s="26"/>
      <c r="M1243" s="26"/>
      <c r="N1243" s="26"/>
      <c r="O1243" s="93"/>
      <c r="P1243" s="95"/>
      <c r="Q1243" s="197"/>
    </row>
    <row r="1244" spans="3:17" x14ac:dyDescent="0.25">
      <c r="C1244" s="199"/>
      <c r="D1244" s="112"/>
      <c r="E1244" s="33"/>
      <c r="F1244" s="105"/>
      <c r="H1244" s="116"/>
      <c r="I1244" s="26"/>
      <c r="J1244" s="98"/>
      <c r="K1244" s="36"/>
      <c r="L1244" s="26"/>
      <c r="M1244" s="26"/>
      <c r="N1244" s="26"/>
      <c r="O1244" s="93"/>
      <c r="P1244" s="95"/>
      <c r="Q1244" s="197"/>
    </row>
    <row r="1245" spans="3:17" x14ac:dyDescent="0.25">
      <c r="C1245" s="199"/>
      <c r="D1245" s="112"/>
      <c r="E1245" s="33"/>
      <c r="F1245" s="105"/>
      <c r="H1245" s="116"/>
      <c r="I1245" s="26"/>
      <c r="J1245" s="98"/>
      <c r="K1245" s="36"/>
      <c r="L1245" s="26"/>
      <c r="M1245" s="26"/>
      <c r="N1245" s="26"/>
      <c r="O1245" s="93"/>
      <c r="P1245" s="95"/>
      <c r="Q1245" s="197"/>
    </row>
    <row r="1246" spans="3:17" x14ac:dyDescent="0.25">
      <c r="C1246" s="199"/>
      <c r="D1246" s="112"/>
      <c r="E1246" s="33"/>
      <c r="F1246" s="105"/>
      <c r="H1246" s="116"/>
      <c r="I1246" s="26"/>
      <c r="J1246" s="98"/>
      <c r="K1246" s="36"/>
      <c r="L1246" s="26"/>
      <c r="M1246" s="26"/>
      <c r="N1246" s="26"/>
      <c r="O1246" s="93"/>
      <c r="P1246" s="95"/>
      <c r="Q1246" s="197"/>
    </row>
    <row r="1247" spans="3:17" x14ac:dyDescent="0.25">
      <c r="C1247" s="199"/>
      <c r="D1247" s="112"/>
      <c r="E1247" s="33"/>
      <c r="F1247" s="105"/>
      <c r="H1247" s="116"/>
      <c r="I1247" s="26"/>
      <c r="J1247" s="98"/>
      <c r="K1247" s="36"/>
      <c r="L1247" s="26"/>
      <c r="M1247" s="26"/>
      <c r="N1247" s="26"/>
      <c r="O1247" s="93"/>
      <c r="P1247" s="95"/>
      <c r="Q1247" s="197"/>
    </row>
    <row r="1248" spans="3:17" x14ac:dyDescent="0.25">
      <c r="C1248" s="199"/>
      <c r="D1248" s="112"/>
      <c r="E1248" s="33"/>
      <c r="F1248" s="105"/>
      <c r="H1248" s="116"/>
      <c r="I1248" s="26"/>
      <c r="J1248" s="98"/>
      <c r="K1248" s="36"/>
      <c r="L1248" s="26"/>
      <c r="M1248" s="26"/>
      <c r="N1248" s="26"/>
      <c r="O1248" s="93"/>
      <c r="P1248" s="95"/>
      <c r="Q1248" s="197"/>
    </row>
    <row r="1249" spans="3:17" x14ac:dyDescent="0.25">
      <c r="C1249" s="199"/>
      <c r="D1249" s="112"/>
      <c r="E1249" s="33"/>
      <c r="F1249" s="105"/>
      <c r="H1249" s="116"/>
      <c r="I1249" s="26"/>
      <c r="J1249" s="98"/>
      <c r="K1249" s="36"/>
      <c r="L1249" s="26"/>
      <c r="M1249" s="26"/>
      <c r="N1249" s="26"/>
      <c r="O1249" s="93"/>
      <c r="P1249" s="95"/>
      <c r="Q1249" s="197"/>
    </row>
    <row r="1250" spans="3:17" x14ac:dyDescent="0.25">
      <c r="C1250" s="199"/>
      <c r="D1250" s="112"/>
      <c r="E1250" s="33"/>
      <c r="F1250" s="105"/>
      <c r="H1250" s="116"/>
      <c r="I1250" s="26"/>
      <c r="J1250" s="98"/>
      <c r="K1250" s="36"/>
      <c r="L1250" s="26"/>
      <c r="M1250" s="26"/>
      <c r="N1250" s="26"/>
      <c r="O1250" s="93"/>
      <c r="P1250" s="95"/>
      <c r="Q1250" s="197"/>
    </row>
    <row r="1251" spans="3:17" x14ac:dyDescent="0.25">
      <c r="C1251" s="199"/>
      <c r="D1251" s="112"/>
      <c r="E1251" s="33"/>
      <c r="F1251" s="105"/>
      <c r="H1251" s="116"/>
      <c r="I1251" s="26"/>
      <c r="J1251" s="98"/>
      <c r="K1251" s="36"/>
      <c r="L1251" s="26"/>
      <c r="M1251" s="26"/>
      <c r="N1251" s="26"/>
      <c r="O1251" s="93"/>
      <c r="P1251" s="95"/>
      <c r="Q1251" s="197"/>
    </row>
    <row r="1252" spans="3:17" x14ac:dyDescent="0.25">
      <c r="C1252" s="199"/>
      <c r="D1252" s="112"/>
      <c r="E1252" s="33"/>
      <c r="F1252" s="105"/>
      <c r="H1252" s="116"/>
      <c r="I1252" s="26"/>
      <c r="J1252" s="98"/>
      <c r="K1252" s="36"/>
      <c r="L1252" s="26"/>
      <c r="M1252" s="26"/>
      <c r="N1252" s="26"/>
      <c r="O1252" s="93"/>
      <c r="P1252" s="95"/>
      <c r="Q1252" s="197"/>
    </row>
    <row r="1253" spans="3:17" x14ac:dyDescent="0.25">
      <c r="C1253" s="199"/>
      <c r="D1253" s="112"/>
      <c r="E1253" s="33"/>
      <c r="F1253" s="105"/>
      <c r="H1253" s="116"/>
      <c r="I1253" s="26"/>
      <c r="J1253" s="98"/>
      <c r="K1253" s="36"/>
      <c r="L1253" s="26"/>
      <c r="M1253" s="26"/>
      <c r="N1253" s="26"/>
      <c r="O1253" s="93"/>
      <c r="P1253" s="95"/>
      <c r="Q1253" s="197"/>
    </row>
    <row r="1254" spans="3:17" x14ac:dyDescent="0.25">
      <c r="C1254" s="199"/>
      <c r="D1254" s="112"/>
      <c r="E1254" s="33"/>
      <c r="F1254" s="105"/>
      <c r="H1254" s="116"/>
      <c r="I1254" s="26"/>
      <c r="J1254" s="98"/>
      <c r="K1254" s="36"/>
      <c r="L1254" s="26"/>
      <c r="M1254" s="26"/>
      <c r="N1254" s="26"/>
      <c r="O1254" s="93"/>
      <c r="P1254" s="95"/>
      <c r="Q1254" s="197"/>
    </row>
    <row r="1255" spans="3:17" x14ac:dyDescent="0.25">
      <c r="C1255" s="199"/>
      <c r="D1255" s="112"/>
      <c r="E1255" s="33"/>
      <c r="F1255" s="105"/>
      <c r="H1255" s="116"/>
      <c r="I1255" s="26"/>
      <c r="J1255" s="98"/>
      <c r="K1255" s="36"/>
      <c r="L1255" s="26"/>
      <c r="M1255" s="26"/>
      <c r="N1255" s="26"/>
      <c r="O1255" s="93"/>
      <c r="P1255" s="95"/>
      <c r="Q1255" s="197"/>
    </row>
    <row r="1256" spans="3:17" x14ac:dyDescent="0.25">
      <c r="C1256" s="199"/>
      <c r="D1256" s="112"/>
      <c r="E1256" s="33"/>
      <c r="F1256" s="105"/>
      <c r="H1256" s="116"/>
      <c r="I1256" s="26"/>
      <c r="J1256" s="98"/>
      <c r="K1256" s="36"/>
      <c r="L1256" s="26"/>
      <c r="M1256" s="26"/>
      <c r="N1256" s="26"/>
      <c r="O1256" s="93"/>
      <c r="P1256" s="95"/>
      <c r="Q1256" s="197"/>
    </row>
    <row r="1257" spans="3:17" x14ac:dyDescent="0.25">
      <c r="C1257" s="199"/>
      <c r="D1257" s="112"/>
      <c r="E1257" s="33"/>
      <c r="F1257" s="105"/>
      <c r="H1257" s="116"/>
      <c r="I1257" s="26"/>
      <c r="J1257" s="98"/>
      <c r="K1257" s="36"/>
      <c r="L1257" s="26"/>
      <c r="M1257" s="26"/>
      <c r="N1257" s="26"/>
      <c r="O1257" s="93"/>
      <c r="P1257" s="95"/>
      <c r="Q1257" s="197"/>
    </row>
    <row r="1258" spans="3:17" x14ac:dyDescent="0.25">
      <c r="C1258" s="199"/>
      <c r="D1258" s="112"/>
      <c r="E1258" s="33"/>
      <c r="F1258" s="105"/>
      <c r="H1258" s="116"/>
      <c r="I1258" s="26"/>
      <c r="J1258" s="98"/>
      <c r="K1258" s="36"/>
      <c r="L1258" s="26"/>
      <c r="M1258" s="26"/>
      <c r="N1258" s="26"/>
      <c r="O1258" s="93"/>
      <c r="P1258" s="95"/>
      <c r="Q1258" s="197"/>
    </row>
    <row r="1259" spans="3:17" x14ac:dyDescent="0.25">
      <c r="C1259" s="199"/>
      <c r="D1259" s="112"/>
      <c r="E1259" s="33"/>
      <c r="F1259" s="105"/>
      <c r="H1259" s="116"/>
      <c r="I1259" s="26"/>
      <c r="J1259" s="98"/>
      <c r="K1259" s="36"/>
      <c r="L1259" s="26"/>
      <c r="M1259" s="26"/>
      <c r="N1259" s="26"/>
      <c r="O1259" s="93"/>
      <c r="P1259" s="95"/>
      <c r="Q1259" s="197"/>
    </row>
    <row r="1260" spans="3:17" x14ac:dyDescent="0.25">
      <c r="C1260" s="199"/>
      <c r="D1260" s="112"/>
      <c r="E1260" s="33"/>
      <c r="F1260" s="105"/>
      <c r="H1260" s="116"/>
      <c r="I1260" s="26"/>
      <c r="J1260" s="98"/>
      <c r="K1260" s="36"/>
      <c r="L1260" s="26"/>
      <c r="M1260" s="26"/>
      <c r="N1260" s="26"/>
      <c r="O1260" s="93"/>
      <c r="P1260" s="95"/>
      <c r="Q1260" s="197"/>
    </row>
    <row r="1261" spans="3:17" x14ac:dyDescent="0.25">
      <c r="C1261" s="199"/>
      <c r="D1261" s="112"/>
      <c r="E1261" s="33"/>
      <c r="F1261" s="105"/>
      <c r="H1261" s="116"/>
      <c r="I1261" s="26"/>
      <c r="J1261" s="98"/>
      <c r="K1261" s="36"/>
      <c r="L1261" s="26"/>
      <c r="M1261" s="26"/>
      <c r="N1261" s="26"/>
      <c r="O1261" s="93"/>
      <c r="P1261" s="95"/>
      <c r="Q1261" s="197"/>
    </row>
    <row r="1262" spans="3:17" x14ac:dyDescent="0.25">
      <c r="C1262" s="199"/>
      <c r="D1262" s="112"/>
      <c r="E1262" s="33"/>
      <c r="F1262" s="105"/>
      <c r="H1262" s="116"/>
      <c r="I1262" s="26"/>
      <c r="J1262" s="98"/>
      <c r="K1262" s="36"/>
      <c r="L1262" s="26"/>
      <c r="M1262" s="26"/>
      <c r="N1262" s="26"/>
      <c r="O1262" s="93"/>
      <c r="P1262" s="95"/>
      <c r="Q1262" s="197"/>
    </row>
    <row r="1263" spans="3:17" x14ac:dyDescent="0.25">
      <c r="C1263" s="199"/>
      <c r="D1263" s="112"/>
      <c r="E1263" s="33"/>
      <c r="F1263" s="105"/>
      <c r="H1263" s="116"/>
      <c r="I1263" s="26"/>
      <c r="J1263" s="98"/>
      <c r="K1263" s="36"/>
      <c r="L1263" s="26"/>
      <c r="M1263" s="26"/>
      <c r="N1263" s="26"/>
      <c r="O1263" s="93"/>
      <c r="P1263" s="95"/>
      <c r="Q1263" s="197"/>
    </row>
    <row r="1264" spans="3:17" x14ac:dyDescent="0.25">
      <c r="C1264" s="199"/>
      <c r="D1264" s="112"/>
      <c r="E1264" s="33"/>
      <c r="F1264" s="105"/>
      <c r="H1264" s="116"/>
      <c r="I1264" s="26"/>
      <c r="J1264" s="98"/>
      <c r="K1264" s="36"/>
      <c r="L1264" s="26"/>
      <c r="M1264" s="26"/>
      <c r="N1264" s="26"/>
      <c r="O1264" s="93"/>
      <c r="P1264" s="95"/>
      <c r="Q1264" s="197"/>
    </row>
    <row r="1265" spans="3:17" x14ac:dyDescent="0.25">
      <c r="C1265" s="199"/>
      <c r="D1265" s="112"/>
      <c r="E1265" s="33"/>
      <c r="F1265" s="105"/>
      <c r="H1265" s="116"/>
      <c r="I1265" s="26"/>
      <c r="J1265" s="98"/>
      <c r="K1265" s="36"/>
      <c r="L1265" s="26"/>
      <c r="M1265" s="26"/>
      <c r="N1265" s="26"/>
      <c r="O1265" s="93"/>
      <c r="P1265" s="95"/>
      <c r="Q1265" s="197"/>
    </row>
    <row r="1266" spans="3:17" x14ac:dyDescent="0.25">
      <c r="C1266" s="199"/>
      <c r="D1266" s="112"/>
      <c r="E1266" s="33"/>
      <c r="F1266" s="105"/>
      <c r="H1266" s="116"/>
      <c r="I1266" s="26"/>
      <c r="J1266" s="98"/>
      <c r="K1266" s="36"/>
      <c r="L1266" s="26"/>
      <c r="M1266" s="26"/>
      <c r="N1266" s="26"/>
      <c r="O1266" s="93"/>
      <c r="P1266" s="95"/>
      <c r="Q1266" s="197"/>
    </row>
    <row r="1267" spans="3:17" x14ac:dyDescent="0.25">
      <c r="C1267" s="199"/>
      <c r="D1267" s="112"/>
      <c r="E1267" s="33"/>
      <c r="F1267" s="105"/>
      <c r="H1267" s="116"/>
      <c r="I1267" s="26"/>
      <c r="J1267" s="98"/>
      <c r="K1267" s="36"/>
      <c r="L1267" s="26"/>
      <c r="M1267" s="26"/>
      <c r="N1267" s="26"/>
      <c r="O1267" s="93"/>
      <c r="P1267" s="95"/>
      <c r="Q1267" s="197"/>
    </row>
    <row r="1268" spans="3:17" x14ac:dyDescent="0.25">
      <c r="C1268" s="199"/>
      <c r="D1268" s="112"/>
      <c r="E1268" s="33"/>
      <c r="F1268" s="105"/>
      <c r="H1268" s="116"/>
      <c r="I1268" s="26"/>
      <c r="J1268" s="98"/>
      <c r="K1268" s="36"/>
      <c r="L1268" s="26"/>
      <c r="M1268" s="26"/>
      <c r="N1268" s="26"/>
      <c r="O1268" s="93"/>
      <c r="P1268" s="95"/>
      <c r="Q1268" s="197"/>
    </row>
    <row r="1269" spans="3:17" x14ac:dyDescent="0.25">
      <c r="C1269" s="199"/>
      <c r="D1269" s="112"/>
      <c r="E1269" s="33"/>
      <c r="F1269" s="105"/>
      <c r="H1269" s="116"/>
      <c r="I1269" s="26"/>
      <c r="J1269" s="98"/>
      <c r="K1269" s="36"/>
      <c r="L1269" s="26"/>
      <c r="M1269" s="26"/>
      <c r="N1269" s="26"/>
      <c r="O1269" s="93"/>
      <c r="P1269" s="95"/>
      <c r="Q1269" s="197"/>
    </row>
    <row r="1270" spans="3:17" x14ac:dyDescent="0.25">
      <c r="C1270" s="199"/>
      <c r="D1270" s="112"/>
      <c r="E1270" s="33"/>
      <c r="F1270" s="105"/>
      <c r="H1270" s="116"/>
      <c r="I1270" s="26"/>
      <c r="J1270" s="98"/>
      <c r="K1270" s="36"/>
      <c r="L1270" s="26"/>
      <c r="M1270" s="26"/>
      <c r="N1270" s="26"/>
      <c r="O1270" s="93"/>
      <c r="P1270" s="95"/>
      <c r="Q1270" s="197"/>
    </row>
    <row r="1271" spans="3:17" x14ac:dyDescent="0.25">
      <c r="C1271" s="199"/>
      <c r="D1271" s="112"/>
      <c r="E1271" s="33"/>
      <c r="F1271" s="105"/>
      <c r="H1271" s="116"/>
      <c r="I1271" s="26"/>
      <c r="J1271" s="98"/>
      <c r="K1271" s="36"/>
      <c r="L1271" s="26"/>
      <c r="M1271" s="26"/>
      <c r="N1271" s="26"/>
      <c r="O1271" s="93"/>
      <c r="P1271" s="95"/>
      <c r="Q1271" s="197"/>
    </row>
    <row r="1272" spans="3:17" x14ac:dyDescent="0.25">
      <c r="C1272" s="199"/>
      <c r="D1272" s="112"/>
      <c r="E1272" s="33"/>
      <c r="F1272" s="105"/>
      <c r="H1272" s="116"/>
      <c r="I1272" s="26"/>
      <c r="J1272" s="98"/>
      <c r="K1272" s="36"/>
      <c r="L1272" s="26"/>
      <c r="M1272" s="26"/>
      <c r="N1272" s="26"/>
      <c r="O1272" s="93"/>
      <c r="P1272" s="95"/>
      <c r="Q1272" s="197"/>
    </row>
    <row r="1273" spans="3:17" x14ac:dyDescent="0.25">
      <c r="C1273" s="199"/>
      <c r="D1273" s="112"/>
      <c r="E1273" s="33"/>
      <c r="F1273" s="105"/>
      <c r="H1273" s="116"/>
      <c r="I1273" s="26"/>
      <c r="J1273" s="98"/>
      <c r="K1273" s="36"/>
      <c r="L1273" s="26"/>
      <c r="M1273" s="26"/>
      <c r="N1273" s="26"/>
      <c r="O1273" s="93"/>
      <c r="P1273" s="95"/>
      <c r="Q1273" s="197"/>
    </row>
    <row r="1274" spans="3:17" x14ac:dyDescent="0.25">
      <c r="C1274" s="199"/>
      <c r="D1274" s="112"/>
      <c r="E1274" s="33"/>
      <c r="F1274" s="105"/>
      <c r="H1274" s="116"/>
      <c r="I1274" s="26"/>
      <c r="J1274" s="98"/>
      <c r="K1274" s="36"/>
      <c r="L1274" s="26"/>
      <c r="M1274" s="26"/>
      <c r="N1274" s="26"/>
      <c r="O1274" s="93"/>
      <c r="P1274" s="95"/>
      <c r="Q1274" s="197"/>
    </row>
    <row r="1275" spans="3:17" x14ac:dyDescent="0.25">
      <c r="C1275" s="199"/>
      <c r="D1275" s="112"/>
      <c r="E1275" s="33"/>
      <c r="F1275" s="105"/>
      <c r="H1275" s="116"/>
      <c r="I1275" s="26"/>
      <c r="J1275" s="98"/>
      <c r="K1275" s="36"/>
      <c r="L1275" s="26"/>
      <c r="M1275" s="26"/>
      <c r="N1275" s="26"/>
      <c r="O1275" s="93"/>
      <c r="P1275" s="95"/>
      <c r="Q1275" s="197"/>
    </row>
    <row r="1276" spans="3:17" x14ac:dyDescent="0.25">
      <c r="C1276" s="199"/>
      <c r="D1276" s="112"/>
      <c r="E1276" s="33"/>
      <c r="F1276" s="105"/>
      <c r="H1276" s="116"/>
      <c r="I1276" s="26"/>
      <c r="J1276" s="98"/>
      <c r="K1276" s="36"/>
      <c r="L1276" s="26"/>
      <c r="M1276" s="26"/>
      <c r="N1276" s="26"/>
      <c r="O1276" s="93"/>
      <c r="P1276" s="95"/>
      <c r="Q1276" s="197"/>
    </row>
    <row r="1277" spans="3:17" x14ac:dyDescent="0.25">
      <c r="C1277" s="199"/>
      <c r="D1277" s="112"/>
      <c r="E1277" s="33"/>
      <c r="F1277" s="105"/>
      <c r="H1277" s="116"/>
      <c r="I1277" s="26"/>
      <c r="J1277" s="98"/>
      <c r="K1277" s="36"/>
      <c r="L1277" s="26"/>
      <c r="M1277" s="26"/>
      <c r="N1277" s="26"/>
      <c r="O1277" s="93"/>
      <c r="P1277" s="95"/>
      <c r="Q1277" s="197"/>
    </row>
    <row r="1278" spans="3:17" x14ac:dyDescent="0.25">
      <c r="C1278" s="199"/>
      <c r="D1278" s="112"/>
      <c r="E1278" s="33"/>
      <c r="F1278" s="105"/>
      <c r="H1278" s="116"/>
      <c r="I1278" s="26"/>
      <c r="J1278" s="98"/>
      <c r="K1278" s="36"/>
      <c r="L1278" s="26"/>
      <c r="M1278" s="26"/>
      <c r="N1278" s="26"/>
      <c r="O1278" s="93"/>
      <c r="P1278" s="95"/>
      <c r="Q1278" s="197"/>
    </row>
    <row r="1279" spans="3:17" x14ac:dyDescent="0.25">
      <c r="C1279" s="199"/>
      <c r="D1279" s="112"/>
      <c r="E1279" s="33"/>
      <c r="F1279" s="105"/>
      <c r="H1279" s="116"/>
      <c r="I1279" s="26"/>
      <c r="J1279" s="98"/>
      <c r="K1279" s="36"/>
      <c r="L1279" s="26"/>
      <c r="M1279" s="26"/>
      <c r="N1279" s="26"/>
      <c r="O1279" s="93"/>
      <c r="P1279" s="95"/>
      <c r="Q1279" s="197"/>
    </row>
    <row r="1280" spans="3:17" x14ac:dyDescent="0.25">
      <c r="C1280" s="199"/>
      <c r="D1280" s="112"/>
      <c r="E1280" s="33"/>
      <c r="F1280" s="105"/>
      <c r="H1280" s="116"/>
      <c r="I1280" s="26"/>
      <c r="J1280" s="98"/>
      <c r="K1280" s="36"/>
      <c r="L1280" s="26"/>
      <c r="M1280" s="26"/>
      <c r="N1280" s="26"/>
      <c r="O1280" s="93"/>
      <c r="P1280" s="95"/>
      <c r="Q1280" s="197"/>
    </row>
    <row r="1281" spans="3:17" x14ac:dyDescent="0.25">
      <c r="C1281" s="199"/>
      <c r="D1281" s="112"/>
      <c r="E1281" s="33"/>
      <c r="F1281" s="105"/>
      <c r="H1281" s="116"/>
      <c r="I1281" s="26"/>
      <c r="J1281" s="98"/>
      <c r="K1281" s="36"/>
      <c r="L1281" s="26"/>
      <c r="M1281" s="26"/>
      <c r="N1281" s="26"/>
      <c r="O1281" s="93"/>
      <c r="P1281" s="95"/>
      <c r="Q1281" s="197"/>
    </row>
    <row r="1282" spans="3:17" x14ac:dyDescent="0.25">
      <c r="C1282" s="199"/>
      <c r="D1282" s="112"/>
      <c r="E1282" s="33"/>
      <c r="F1282" s="105"/>
      <c r="H1282" s="116"/>
      <c r="I1282" s="26"/>
      <c r="J1282" s="98"/>
      <c r="K1282" s="36"/>
      <c r="L1282" s="26"/>
      <c r="M1282" s="26"/>
      <c r="N1282" s="26"/>
      <c r="O1282" s="93"/>
      <c r="P1282" s="95"/>
      <c r="Q1282" s="197"/>
    </row>
    <row r="1283" spans="3:17" x14ac:dyDescent="0.25">
      <c r="C1283" s="199"/>
      <c r="D1283" s="112"/>
      <c r="E1283" s="33"/>
      <c r="F1283" s="105"/>
      <c r="H1283" s="116"/>
      <c r="I1283" s="26"/>
      <c r="J1283" s="98"/>
      <c r="K1283" s="36"/>
      <c r="L1283" s="26"/>
      <c r="M1283" s="26"/>
      <c r="N1283" s="26"/>
      <c r="O1283" s="93"/>
      <c r="P1283" s="95"/>
      <c r="Q1283" s="197"/>
    </row>
    <row r="1284" spans="3:17" x14ac:dyDescent="0.25">
      <c r="C1284" s="199"/>
      <c r="D1284" s="112"/>
      <c r="E1284" s="33"/>
      <c r="F1284" s="105"/>
      <c r="H1284" s="116"/>
      <c r="I1284" s="26"/>
      <c r="J1284" s="98"/>
      <c r="K1284" s="36"/>
      <c r="L1284" s="26"/>
      <c r="M1284" s="26"/>
      <c r="N1284" s="26"/>
      <c r="O1284" s="93"/>
      <c r="P1284" s="95"/>
      <c r="Q1284" s="197"/>
    </row>
    <row r="1285" spans="3:17" x14ac:dyDescent="0.25">
      <c r="C1285" s="199"/>
      <c r="D1285" s="112"/>
      <c r="E1285" s="33"/>
      <c r="F1285" s="105"/>
      <c r="H1285" s="116"/>
      <c r="I1285" s="26"/>
      <c r="J1285" s="98"/>
      <c r="K1285" s="36"/>
      <c r="L1285" s="26"/>
      <c r="M1285" s="26"/>
      <c r="N1285" s="26"/>
      <c r="O1285" s="93"/>
      <c r="P1285" s="95"/>
      <c r="Q1285" s="197"/>
    </row>
    <row r="1286" spans="3:17" x14ac:dyDescent="0.25">
      <c r="C1286" s="199"/>
      <c r="D1286" s="112"/>
      <c r="E1286" s="33"/>
      <c r="F1286" s="105"/>
      <c r="H1286" s="116"/>
      <c r="I1286" s="26"/>
      <c r="J1286" s="98"/>
      <c r="K1286" s="36"/>
      <c r="L1286" s="26"/>
      <c r="M1286" s="26"/>
      <c r="N1286" s="26"/>
      <c r="O1286" s="93"/>
      <c r="P1286" s="95"/>
      <c r="Q1286" s="197"/>
    </row>
    <row r="1287" spans="3:17" x14ac:dyDescent="0.25">
      <c r="C1287" s="199"/>
      <c r="D1287" s="112"/>
      <c r="E1287" s="33"/>
      <c r="F1287" s="105"/>
      <c r="H1287" s="116"/>
      <c r="I1287" s="26"/>
      <c r="J1287" s="98"/>
      <c r="K1287" s="36"/>
      <c r="L1287" s="26"/>
      <c r="M1287" s="26"/>
      <c r="N1287" s="26"/>
      <c r="O1287" s="93"/>
      <c r="P1287" s="95"/>
      <c r="Q1287" s="197"/>
    </row>
    <row r="1288" spans="3:17" x14ac:dyDescent="0.25">
      <c r="C1288" s="199"/>
      <c r="D1288" s="112"/>
      <c r="E1288" s="33"/>
      <c r="F1288" s="105"/>
      <c r="H1288" s="116"/>
      <c r="I1288" s="26"/>
      <c r="J1288" s="98"/>
      <c r="K1288" s="36"/>
      <c r="L1288" s="26"/>
      <c r="M1288" s="26"/>
      <c r="N1288" s="26"/>
      <c r="O1288" s="93"/>
      <c r="P1288" s="95"/>
      <c r="Q1288" s="197"/>
    </row>
    <row r="1289" spans="3:17" x14ac:dyDescent="0.25">
      <c r="C1289" s="199"/>
      <c r="D1289" s="112"/>
      <c r="E1289" s="33"/>
      <c r="F1289" s="105"/>
      <c r="H1289" s="116"/>
      <c r="I1289" s="26"/>
      <c r="J1289" s="98"/>
      <c r="K1289" s="36"/>
      <c r="L1289" s="26"/>
      <c r="M1289" s="26"/>
      <c r="N1289" s="26"/>
      <c r="O1289" s="93"/>
      <c r="P1289" s="95"/>
      <c r="Q1289" s="197"/>
    </row>
    <row r="1290" spans="3:17" x14ac:dyDescent="0.25">
      <c r="C1290" s="199"/>
      <c r="D1290" s="112"/>
      <c r="E1290" s="33"/>
      <c r="F1290" s="105"/>
      <c r="H1290" s="116"/>
      <c r="I1290" s="26"/>
      <c r="J1290" s="98"/>
      <c r="K1290" s="36"/>
      <c r="L1290" s="26"/>
      <c r="M1290" s="26"/>
      <c r="N1290" s="26"/>
      <c r="O1290" s="93"/>
      <c r="P1290" s="95"/>
      <c r="Q1290" s="197"/>
    </row>
    <row r="1291" spans="3:17" x14ac:dyDescent="0.25">
      <c r="C1291" s="199"/>
      <c r="D1291" s="112"/>
      <c r="E1291" s="33"/>
      <c r="F1291" s="105"/>
      <c r="H1291" s="116"/>
      <c r="I1291" s="26"/>
      <c r="J1291" s="98"/>
      <c r="K1291" s="36"/>
      <c r="L1291" s="26"/>
      <c r="M1291" s="26"/>
      <c r="N1291" s="26"/>
      <c r="O1291" s="93"/>
      <c r="P1291" s="95"/>
      <c r="Q1291" s="197"/>
    </row>
    <row r="1292" spans="3:17" x14ac:dyDescent="0.25">
      <c r="C1292" s="199"/>
      <c r="D1292" s="112"/>
      <c r="E1292" s="33"/>
      <c r="F1292" s="105"/>
      <c r="H1292" s="116"/>
      <c r="I1292" s="26"/>
      <c r="J1292" s="98"/>
      <c r="K1292" s="36"/>
      <c r="L1292" s="26"/>
      <c r="M1292" s="26"/>
      <c r="N1292" s="26"/>
      <c r="O1292" s="93"/>
      <c r="P1292" s="95"/>
      <c r="Q1292" s="197"/>
    </row>
    <row r="1293" spans="3:17" x14ac:dyDescent="0.25">
      <c r="C1293" s="199"/>
      <c r="D1293" s="112"/>
      <c r="E1293" s="33"/>
      <c r="F1293" s="105"/>
      <c r="H1293" s="116"/>
      <c r="I1293" s="26"/>
      <c r="J1293" s="98"/>
      <c r="K1293" s="36"/>
      <c r="L1293" s="26"/>
      <c r="M1293" s="26"/>
      <c r="N1293" s="26"/>
      <c r="O1293" s="93"/>
      <c r="P1293" s="95"/>
      <c r="Q1293" s="197"/>
    </row>
    <row r="1294" spans="3:17" x14ac:dyDescent="0.25">
      <c r="C1294" s="199"/>
      <c r="D1294" s="112"/>
      <c r="E1294" s="33"/>
      <c r="F1294" s="105"/>
      <c r="H1294" s="116"/>
      <c r="I1294" s="26"/>
      <c r="J1294" s="98"/>
      <c r="K1294" s="36"/>
      <c r="L1294" s="26"/>
      <c r="M1294" s="26"/>
      <c r="N1294" s="26"/>
      <c r="O1294" s="93"/>
      <c r="P1294" s="95"/>
      <c r="Q1294" s="197"/>
    </row>
    <row r="1295" spans="3:17" x14ac:dyDescent="0.25">
      <c r="C1295" s="199"/>
      <c r="D1295" s="112"/>
      <c r="E1295" s="33"/>
      <c r="F1295" s="105"/>
      <c r="H1295" s="116"/>
      <c r="I1295" s="26"/>
      <c r="J1295" s="98"/>
      <c r="K1295" s="36"/>
      <c r="L1295" s="26"/>
      <c r="M1295" s="26"/>
      <c r="N1295" s="26"/>
      <c r="O1295" s="93"/>
      <c r="P1295" s="95"/>
      <c r="Q1295" s="197"/>
    </row>
    <row r="1296" spans="3:17" x14ac:dyDescent="0.25">
      <c r="C1296" s="199"/>
      <c r="D1296" s="112"/>
      <c r="E1296" s="33"/>
      <c r="F1296" s="105"/>
      <c r="H1296" s="116"/>
      <c r="I1296" s="26"/>
      <c r="J1296" s="98"/>
      <c r="K1296" s="36"/>
      <c r="L1296" s="26"/>
      <c r="M1296" s="26"/>
      <c r="N1296" s="26"/>
      <c r="O1296" s="93"/>
      <c r="P1296" s="95"/>
      <c r="Q1296" s="197"/>
    </row>
    <row r="1297" spans="3:17" x14ac:dyDescent="0.25">
      <c r="C1297" s="199"/>
      <c r="D1297" s="112"/>
      <c r="E1297" s="33"/>
      <c r="F1297" s="105"/>
      <c r="H1297" s="116"/>
      <c r="I1297" s="26"/>
      <c r="J1297" s="98"/>
      <c r="K1297" s="36"/>
      <c r="L1297" s="26"/>
      <c r="M1297" s="26"/>
      <c r="N1297" s="26"/>
      <c r="O1297" s="93"/>
      <c r="P1297" s="95"/>
      <c r="Q1297" s="197"/>
    </row>
    <row r="1298" spans="3:17" x14ac:dyDescent="0.25">
      <c r="C1298" s="199"/>
      <c r="D1298" s="112"/>
      <c r="E1298" s="33"/>
      <c r="F1298" s="105"/>
      <c r="H1298" s="116"/>
      <c r="I1298" s="26"/>
      <c r="J1298" s="98"/>
      <c r="K1298" s="36"/>
      <c r="L1298" s="26"/>
      <c r="M1298" s="26"/>
      <c r="N1298" s="26"/>
      <c r="O1298" s="93"/>
      <c r="P1298" s="95"/>
      <c r="Q1298" s="197"/>
    </row>
    <row r="1299" spans="3:17" x14ac:dyDescent="0.25">
      <c r="C1299" s="199"/>
      <c r="D1299" s="112"/>
      <c r="E1299" s="33"/>
      <c r="F1299" s="105"/>
      <c r="H1299" s="116"/>
      <c r="I1299" s="26"/>
      <c r="J1299" s="98"/>
      <c r="K1299" s="36"/>
      <c r="L1299" s="26"/>
      <c r="M1299" s="26"/>
      <c r="N1299" s="26"/>
      <c r="O1299" s="93"/>
      <c r="P1299" s="95"/>
      <c r="Q1299" s="197"/>
    </row>
    <row r="1300" spans="3:17" x14ac:dyDescent="0.25">
      <c r="C1300" s="199"/>
      <c r="D1300" s="112"/>
      <c r="E1300" s="33"/>
      <c r="F1300" s="105"/>
      <c r="H1300" s="116"/>
      <c r="I1300" s="26"/>
      <c r="J1300" s="98"/>
      <c r="K1300" s="36"/>
      <c r="L1300" s="26"/>
      <c r="M1300" s="26"/>
      <c r="N1300" s="26"/>
      <c r="O1300" s="93"/>
      <c r="P1300" s="95"/>
      <c r="Q1300" s="197"/>
    </row>
    <row r="1301" spans="3:17" x14ac:dyDescent="0.25">
      <c r="C1301" s="199"/>
      <c r="D1301" s="112"/>
      <c r="E1301" s="33"/>
      <c r="F1301" s="105"/>
      <c r="H1301" s="116"/>
      <c r="I1301" s="26"/>
      <c r="J1301" s="98"/>
      <c r="K1301" s="36"/>
      <c r="L1301" s="26"/>
      <c r="M1301" s="26"/>
      <c r="N1301" s="26"/>
      <c r="O1301" s="93"/>
      <c r="P1301" s="95"/>
      <c r="Q1301" s="197"/>
    </row>
    <row r="1302" spans="3:17" x14ac:dyDescent="0.25">
      <c r="C1302" s="199"/>
      <c r="D1302" s="112"/>
      <c r="E1302" s="33"/>
      <c r="F1302" s="105"/>
      <c r="H1302" s="116"/>
      <c r="I1302" s="26"/>
      <c r="J1302" s="98"/>
      <c r="K1302" s="36"/>
      <c r="L1302" s="26"/>
      <c r="M1302" s="26"/>
      <c r="N1302" s="26"/>
      <c r="O1302" s="93"/>
      <c r="P1302" s="95"/>
      <c r="Q1302" s="197"/>
    </row>
    <row r="1303" spans="3:17" x14ac:dyDescent="0.25">
      <c r="C1303" s="199"/>
      <c r="D1303" s="112"/>
      <c r="E1303" s="33"/>
      <c r="F1303" s="105"/>
      <c r="H1303" s="116"/>
      <c r="I1303" s="26"/>
      <c r="J1303" s="98"/>
      <c r="K1303" s="36"/>
      <c r="L1303" s="26"/>
      <c r="M1303" s="26"/>
      <c r="N1303" s="26"/>
      <c r="O1303" s="93"/>
      <c r="P1303" s="95"/>
      <c r="Q1303" s="197"/>
    </row>
    <row r="1304" spans="3:17" x14ac:dyDescent="0.25">
      <c r="C1304" s="199"/>
      <c r="D1304" s="112"/>
      <c r="E1304" s="33"/>
      <c r="F1304" s="105"/>
      <c r="H1304" s="116"/>
      <c r="I1304" s="26"/>
      <c r="J1304" s="98"/>
      <c r="K1304" s="36"/>
      <c r="L1304" s="26"/>
      <c r="M1304" s="26"/>
      <c r="N1304" s="26"/>
      <c r="O1304" s="93"/>
      <c r="P1304" s="95"/>
      <c r="Q1304" s="197"/>
    </row>
    <row r="1305" spans="3:17" x14ac:dyDescent="0.25">
      <c r="C1305" s="199"/>
      <c r="D1305" s="112"/>
      <c r="E1305" s="33"/>
      <c r="F1305" s="105"/>
      <c r="H1305" s="116"/>
      <c r="I1305" s="26"/>
      <c r="J1305" s="98"/>
      <c r="K1305" s="36"/>
      <c r="L1305" s="26"/>
      <c r="M1305" s="26"/>
      <c r="N1305" s="26"/>
      <c r="O1305" s="93"/>
      <c r="P1305" s="95"/>
      <c r="Q1305" s="197"/>
    </row>
    <row r="1306" spans="3:17" x14ac:dyDescent="0.25">
      <c r="C1306" s="199"/>
      <c r="D1306" s="112"/>
      <c r="E1306" s="33"/>
      <c r="F1306" s="105"/>
      <c r="H1306" s="116"/>
      <c r="I1306" s="26"/>
      <c r="J1306" s="98"/>
      <c r="K1306" s="36"/>
      <c r="L1306" s="26"/>
      <c r="M1306" s="26"/>
      <c r="N1306" s="26"/>
      <c r="O1306" s="93"/>
      <c r="P1306" s="95"/>
      <c r="Q1306" s="197"/>
    </row>
    <row r="1307" spans="3:17" x14ac:dyDescent="0.25">
      <c r="C1307" s="199"/>
      <c r="D1307" s="112"/>
      <c r="E1307" s="33"/>
      <c r="F1307" s="105"/>
      <c r="H1307" s="116"/>
      <c r="I1307" s="26"/>
      <c r="J1307" s="98"/>
      <c r="K1307" s="36"/>
      <c r="L1307" s="26"/>
      <c r="M1307" s="26"/>
      <c r="N1307" s="26"/>
      <c r="O1307" s="93"/>
      <c r="P1307" s="95"/>
      <c r="Q1307" s="197"/>
    </row>
    <row r="1308" spans="3:17" x14ac:dyDescent="0.25">
      <c r="C1308" s="199"/>
      <c r="D1308" s="112"/>
      <c r="E1308" s="33"/>
      <c r="F1308" s="105"/>
      <c r="H1308" s="116"/>
      <c r="I1308" s="26"/>
      <c r="J1308" s="98"/>
      <c r="K1308" s="36"/>
      <c r="L1308" s="26"/>
      <c r="M1308" s="26"/>
      <c r="N1308" s="26"/>
      <c r="O1308" s="93"/>
      <c r="P1308" s="95"/>
      <c r="Q1308" s="197"/>
    </row>
    <row r="1309" spans="3:17" x14ac:dyDescent="0.25">
      <c r="C1309" s="199"/>
      <c r="D1309" s="112"/>
      <c r="E1309" s="33"/>
      <c r="F1309" s="105"/>
      <c r="H1309" s="116"/>
      <c r="I1309" s="26"/>
      <c r="J1309" s="98"/>
      <c r="K1309" s="36"/>
      <c r="L1309" s="26"/>
      <c r="M1309" s="26"/>
      <c r="N1309" s="26"/>
      <c r="O1309" s="93"/>
      <c r="P1309" s="95"/>
      <c r="Q1309" s="197"/>
    </row>
    <row r="1310" spans="3:17" x14ac:dyDescent="0.25">
      <c r="C1310" s="199"/>
      <c r="D1310" s="112"/>
      <c r="E1310" s="33"/>
      <c r="F1310" s="105"/>
      <c r="H1310" s="116"/>
      <c r="I1310" s="26"/>
      <c r="J1310" s="98"/>
      <c r="K1310" s="36"/>
      <c r="L1310" s="26"/>
      <c r="M1310" s="26"/>
      <c r="N1310" s="26"/>
      <c r="O1310" s="93"/>
      <c r="P1310" s="95"/>
      <c r="Q1310" s="197"/>
    </row>
    <row r="1311" spans="3:17" x14ac:dyDescent="0.25">
      <c r="C1311" s="199"/>
      <c r="D1311" s="112"/>
      <c r="E1311" s="33"/>
      <c r="F1311" s="105"/>
      <c r="H1311" s="116"/>
      <c r="I1311" s="26"/>
      <c r="J1311" s="98"/>
      <c r="K1311" s="36"/>
      <c r="L1311" s="26"/>
      <c r="M1311" s="26"/>
      <c r="N1311" s="26"/>
      <c r="O1311" s="93"/>
      <c r="P1311" s="95"/>
      <c r="Q1311" s="197"/>
    </row>
    <row r="1312" spans="3:17" x14ac:dyDescent="0.25">
      <c r="C1312" s="199"/>
      <c r="D1312" s="112"/>
      <c r="E1312" s="33"/>
      <c r="F1312" s="105"/>
      <c r="H1312" s="116"/>
      <c r="I1312" s="26"/>
      <c r="J1312" s="98"/>
      <c r="K1312" s="36"/>
      <c r="L1312" s="26"/>
      <c r="M1312" s="26"/>
      <c r="N1312" s="26"/>
      <c r="O1312" s="93"/>
      <c r="P1312" s="95"/>
      <c r="Q1312" s="197"/>
    </row>
    <row r="1313" spans="3:17" x14ac:dyDescent="0.25">
      <c r="C1313" s="199"/>
      <c r="D1313" s="112"/>
      <c r="E1313" s="33"/>
      <c r="F1313" s="105"/>
      <c r="H1313" s="116"/>
      <c r="I1313" s="26"/>
      <c r="J1313" s="98"/>
      <c r="K1313" s="36"/>
      <c r="L1313" s="26"/>
      <c r="M1313" s="26"/>
      <c r="N1313" s="26"/>
      <c r="O1313" s="93"/>
      <c r="P1313" s="95"/>
      <c r="Q1313" s="197"/>
    </row>
    <row r="1314" spans="3:17" x14ac:dyDescent="0.25">
      <c r="C1314" s="199"/>
      <c r="D1314" s="112"/>
      <c r="E1314" s="33"/>
      <c r="F1314" s="105"/>
      <c r="H1314" s="116"/>
      <c r="I1314" s="26"/>
      <c r="J1314" s="98"/>
      <c r="K1314" s="36"/>
      <c r="L1314" s="26"/>
      <c r="M1314" s="26"/>
      <c r="N1314" s="26"/>
      <c r="O1314" s="93"/>
      <c r="P1314" s="95"/>
      <c r="Q1314" s="197"/>
    </row>
    <row r="1315" spans="3:17" x14ac:dyDescent="0.25">
      <c r="C1315" s="199"/>
      <c r="D1315" s="112"/>
      <c r="E1315" s="33"/>
      <c r="F1315" s="105"/>
      <c r="H1315" s="116"/>
      <c r="I1315" s="26"/>
      <c r="J1315" s="98"/>
      <c r="K1315" s="36"/>
      <c r="L1315" s="26"/>
      <c r="M1315" s="26"/>
      <c r="N1315" s="26"/>
      <c r="O1315" s="93"/>
      <c r="P1315" s="95"/>
      <c r="Q1315" s="197"/>
    </row>
    <row r="1316" spans="3:17" x14ac:dyDescent="0.25">
      <c r="C1316" s="199"/>
      <c r="D1316" s="112"/>
      <c r="E1316" s="33"/>
      <c r="F1316" s="105"/>
      <c r="H1316" s="116"/>
      <c r="I1316" s="26"/>
      <c r="J1316" s="98"/>
      <c r="K1316" s="36"/>
      <c r="L1316" s="26"/>
      <c r="M1316" s="26"/>
      <c r="N1316" s="26"/>
      <c r="O1316" s="93"/>
      <c r="P1316" s="95"/>
      <c r="Q1316" s="197"/>
    </row>
    <row r="1317" spans="3:17" x14ac:dyDescent="0.25">
      <c r="C1317" s="199"/>
      <c r="D1317" s="112"/>
      <c r="E1317" s="33"/>
      <c r="F1317" s="105"/>
      <c r="H1317" s="116"/>
      <c r="I1317" s="26"/>
      <c r="J1317" s="98"/>
      <c r="K1317" s="36"/>
      <c r="L1317" s="26"/>
      <c r="M1317" s="26"/>
      <c r="N1317" s="26"/>
      <c r="O1317" s="93"/>
      <c r="P1317" s="95"/>
      <c r="Q1317" s="197"/>
    </row>
    <row r="1318" spans="3:17" x14ac:dyDescent="0.25">
      <c r="C1318" s="199"/>
      <c r="D1318" s="112"/>
      <c r="E1318" s="33"/>
      <c r="F1318" s="105"/>
      <c r="H1318" s="116"/>
      <c r="I1318" s="26"/>
      <c r="J1318" s="98"/>
      <c r="K1318" s="36"/>
      <c r="L1318" s="26"/>
      <c r="M1318" s="26"/>
      <c r="N1318" s="26"/>
      <c r="O1318" s="93"/>
      <c r="P1318" s="95"/>
      <c r="Q1318" s="197"/>
    </row>
    <row r="1319" spans="3:17" x14ac:dyDescent="0.25">
      <c r="C1319" s="199"/>
      <c r="D1319" s="112"/>
      <c r="E1319" s="33"/>
      <c r="F1319" s="105"/>
      <c r="H1319" s="116"/>
      <c r="I1319" s="26"/>
      <c r="J1319" s="98"/>
      <c r="K1319" s="36"/>
      <c r="L1319" s="26"/>
      <c r="M1319" s="26"/>
      <c r="N1319" s="26"/>
      <c r="O1319" s="93"/>
      <c r="P1319" s="95"/>
      <c r="Q1319" s="197"/>
    </row>
    <row r="1320" spans="3:17" x14ac:dyDescent="0.25">
      <c r="C1320" s="199"/>
      <c r="D1320" s="112"/>
      <c r="E1320" s="33"/>
      <c r="F1320" s="105"/>
      <c r="H1320" s="116"/>
      <c r="I1320" s="26"/>
      <c r="J1320" s="98"/>
      <c r="K1320" s="36"/>
      <c r="L1320" s="26"/>
      <c r="M1320" s="26"/>
      <c r="N1320" s="26"/>
      <c r="O1320" s="93"/>
      <c r="P1320" s="95"/>
      <c r="Q1320" s="197"/>
    </row>
    <row r="1321" spans="3:17" x14ac:dyDescent="0.25">
      <c r="C1321" s="199"/>
      <c r="D1321" s="112"/>
      <c r="E1321" s="33"/>
      <c r="F1321" s="105"/>
      <c r="H1321" s="116"/>
      <c r="I1321" s="26"/>
      <c r="J1321" s="98"/>
      <c r="K1321" s="36"/>
      <c r="L1321" s="26"/>
      <c r="M1321" s="26"/>
      <c r="N1321" s="26"/>
      <c r="O1321" s="93"/>
      <c r="P1321" s="95"/>
      <c r="Q1321" s="197"/>
    </row>
    <row r="1322" spans="3:17" x14ac:dyDescent="0.25">
      <c r="C1322" s="199"/>
      <c r="D1322" s="112"/>
      <c r="E1322" s="33"/>
      <c r="F1322" s="105"/>
      <c r="H1322" s="116"/>
      <c r="I1322" s="26"/>
      <c r="J1322" s="98"/>
      <c r="K1322" s="36"/>
      <c r="L1322" s="26"/>
      <c r="M1322" s="26"/>
      <c r="N1322" s="26"/>
      <c r="O1322" s="93"/>
      <c r="P1322" s="95"/>
      <c r="Q1322" s="197"/>
    </row>
    <row r="1323" spans="3:17" x14ac:dyDescent="0.25">
      <c r="C1323" s="199"/>
      <c r="D1323" s="112"/>
      <c r="E1323" s="33"/>
      <c r="F1323" s="105"/>
      <c r="H1323" s="116"/>
      <c r="I1323" s="26"/>
      <c r="J1323" s="98"/>
      <c r="K1323" s="36"/>
      <c r="L1323" s="26"/>
      <c r="M1323" s="26"/>
      <c r="N1323" s="26"/>
      <c r="O1323" s="93"/>
      <c r="P1323" s="95"/>
      <c r="Q1323" s="197"/>
    </row>
    <row r="1324" spans="3:17" x14ac:dyDescent="0.25">
      <c r="C1324" s="199"/>
      <c r="D1324" s="112"/>
      <c r="E1324" s="33"/>
      <c r="F1324" s="105"/>
      <c r="H1324" s="116"/>
      <c r="I1324" s="26"/>
      <c r="J1324" s="98"/>
      <c r="K1324" s="36"/>
      <c r="L1324" s="26"/>
      <c r="M1324" s="26"/>
      <c r="N1324" s="26"/>
      <c r="O1324" s="93"/>
      <c r="P1324" s="95"/>
      <c r="Q1324" s="197"/>
    </row>
    <row r="1325" spans="3:17" x14ac:dyDescent="0.25">
      <c r="C1325" s="199"/>
      <c r="D1325" s="112"/>
      <c r="E1325" s="33"/>
      <c r="F1325" s="105"/>
      <c r="H1325" s="116"/>
      <c r="I1325" s="26"/>
      <c r="J1325" s="98"/>
      <c r="K1325" s="36"/>
      <c r="L1325" s="26"/>
      <c r="M1325" s="26"/>
      <c r="N1325" s="26"/>
      <c r="O1325" s="93"/>
      <c r="P1325" s="95"/>
      <c r="Q1325" s="197"/>
    </row>
    <row r="1326" spans="3:17" x14ac:dyDescent="0.25">
      <c r="C1326" s="199"/>
      <c r="D1326" s="112"/>
      <c r="E1326" s="33"/>
      <c r="F1326" s="105"/>
      <c r="H1326" s="116"/>
      <c r="I1326" s="26"/>
      <c r="J1326" s="98"/>
      <c r="K1326" s="36"/>
      <c r="L1326" s="26"/>
      <c r="M1326" s="26"/>
      <c r="N1326" s="26"/>
      <c r="O1326" s="93"/>
      <c r="P1326" s="95"/>
      <c r="Q1326" s="197"/>
    </row>
    <row r="1327" spans="3:17" x14ac:dyDescent="0.25">
      <c r="C1327" s="199"/>
      <c r="D1327" s="112"/>
      <c r="E1327" s="33"/>
      <c r="F1327" s="105"/>
      <c r="H1327" s="116"/>
      <c r="I1327" s="26"/>
      <c r="J1327" s="98"/>
      <c r="K1327" s="36"/>
      <c r="L1327" s="26"/>
      <c r="M1327" s="26"/>
      <c r="N1327" s="26"/>
      <c r="O1327" s="93"/>
      <c r="P1327" s="95"/>
      <c r="Q1327" s="197"/>
    </row>
    <row r="1328" spans="3:17" x14ac:dyDescent="0.25">
      <c r="C1328" s="199"/>
      <c r="D1328" s="112"/>
      <c r="E1328" s="33"/>
      <c r="F1328" s="105"/>
      <c r="H1328" s="116"/>
      <c r="I1328" s="26"/>
      <c r="J1328" s="98"/>
      <c r="K1328" s="36"/>
      <c r="L1328" s="26"/>
      <c r="M1328" s="26"/>
      <c r="N1328" s="26"/>
      <c r="O1328" s="93"/>
      <c r="P1328" s="95"/>
      <c r="Q1328" s="197"/>
    </row>
    <row r="1329" spans="3:17" x14ac:dyDescent="0.25">
      <c r="C1329" s="199"/>
      <c r="D1329" s="112"/>
      <c r="E1329" s="33"/>
      <c r="F1329" s="105"/>
      <c r="H1329" s="116"/>
      <c r="I1329" s="26"/>
      <c r="J1329" s="98"/>
      <c r="K1329" s="36"/>
      <c r="L1329" s="26"/>
      <c r="M1329" s="26"/>
      <c r="N1329" s="26"/>
      <c r="O1329" s="93"/>
      <c r="P1329" s="95"/>
      <c r="Q1329" s="197"/>
    </row>
    <row r="1330" spans="3:17" x14ac:dyDescent="0.25">
      <c r="C1330" s="199"/>
      <c r="D1330" s="112"/>
      <c r="E1330" s="33"/>
      <c r="F1330" s="105"/>
      <c r="H1330" s="116"/>
      <c r="I1330" s="26"/>
      <c r="J1330" s="98"/>
      <c r="K1330" s="36"/>
      <c r="L1330" s="26"/>
      <c r="M1330" s="26"/>
      <c r="N1330" s="26"/>
      <c r="O1330" s="93"/>
      <c r="P1330" s="95"/>
      <c r="Q1330" s="197"/>
    </row>
    <row r="1331" spans="3:17" x14ac:dyDescent="0.25">
      <c r="C1331" s="199"/>
      <c r="D1331" s="112"/>
      <c r="E1331" s="33"/>
      <c r="F1331" s="105"/>
      <c r="H1331" s="116"/>
      <c r="I1331" s="26"/>
      <c r="J1331" s="98"/>
      <c r="K1331" s="36"/>
      <c r="L1331" s="26"/>
      <c r="M1331" s="26"/>
      <c r="N1331" s="26"/>
      <c r="O1331" s="93"/>
      <c r="P1331" s="95"/>
      <c r="Q1331" s="197"/>
    </row>
    <row r="1332" spans="3:17" x14ac:dyDescent="0.25">
      <c r="C1332" s="199"/>
      <c r="D1332" s="112"/>
      <c r="E1332" s="33"/>
      <c r="F1332" s="105"/>
      <c r="H1332" s="116"/>
      <c r="I1332" s="26"/>
      <c r="J1332" s="98"/>
      <c r="K1332" s="36"/>
      <c r="L1332" s="26"/>
      <c r="M1332" s="26"/>
      <c r="N1332" s="26"/>
      <c r="O1332" s="93"/>
      <c r="P1332" s="95"/>
      <c r="Q1332" s="197"/>
    </row>
    <row r="1333" spans="3:17" x14ac:dyDescent="0.25">
      <c r="C1333" s="199"/>
      <c r="D1333" s="112"/>
      <c r="E1333" s="33"/>
      <c r="F1333" s="105"/>
      <c r="H1333" s="116"/>
      <c r="I1333" s="26"/>
      <c r="J1333" s="98"/>
      <c r="K1333" s="36"/>
      <c r="L1333" s="26"/>
      <c r="M1333" s="26"/>
      <c r="N1333" s="26"/>
      <c r="O1333" s="93"/>
      <c r="P1333" s="95"/>
      <c r="Q1333" s="197"/>
    </row>
    <row r="1334" spans="3:17" x14ac:dyDescent="0.25">
      <c r="C1334" s="199"/>
      <c r="D1334" s="112"/>
      <c r="E1334" s="33"/>
      <c r="F1334" s="105"/>
      <c r="H1334" s="116"/>
      <c r="I1334" s="26"/>
      <c r="J1334" s="98"/>
      <c r="K1334" s="36"/>
      <c r="L1334" s="26"/>
      <c r="M1334" s="26"/>
      <c r="N1334" s="26"/>
      <c r="O1334" s="93"/>
      <c r="P1334" s="95"/>
      <c r="Q1334" s="197"/>
    </row>
    <row r="1335" spans="3:17" x14ac:dyDescent="0.25">
      <c r="C1335" s="199"/>
      <c r="D1335" s="112"/>
      <c r="E1335" s="33"/>
      <c r="F1335" s="105"/>
      <c r="H1335" s="116"/>
      <c r="I1335" s="26"/>
      <c r="J1335" s="98"/>
      <c r="K1335" s="36"/>
      <c r="L1335" s="26"/>
      <c r="M1335" s="26"/>
      <c r="N1335" s="26"/>
      <c r="O1335" s="93"/>
      <c r="P1335" s="95"/>
      <c r="Q1335" s="197"/>
    </row>
    <row r="1336" spans="3:17" x14ac:dyDescent="0.25">
      <c r="C1336" s="199"/>
      <c r="D1336" s="112"/>
      <c r="E1336" s="33"/>
      <c r="F1336" s="105"/>
      <c r="H1336" s="116"/>
      <c r="I1336" s="26"/>
      <c r="J1336" s="98"/>
      <c r="K1336" s="36"/>
      <c r="L1336" s="26"/>
      <c r="M1336" s="26"/>
      <c r="N1336" s="26"/>
      <c r="O1336" s="93"/>
      <c r="P1336" s="95"/>
      <c r="Q1336" s="197"/>
    </row>
    <row r="1337" spans="3:17" x14ac:dyDescent="0.25">
      <c r="C1337" s="199"/>
      <c r="D1337" s="112"/>
      <c r="E1337" s="33"/>
      <c r="F1337" s="105"/>
      <c r="H1337" s="116"/>
      <c r="I1337" s="26"/>
      <c r="J1337" s="98"/>
      <c r="K1337" s="36"/>
      <c r="L1337" s="26"/>
      <c r="M1337" s="26"/>
      <c r="N1337" s="26"/>
      <c r="O1337" s="93"/>
      <c r="P1337" s="95"/>
      <c r="Q1337" s="197"/>
    </row>
    <row r="1338" spans="3:17" x14ac:dyDescent="0.25">
      <c r="C1338" s="199"/>
      <c r="D1338" s="112"/>
      <c r="E1338" s="33"/>
      <c r="F1338" s="105"/>
      <c r="H1338" s="116"/>
      <c r="I1338" s="26"/>
      <c r="J1338" s="98"/>
      <c r="K1338" s="36"/>
      <c r="L1338" s="26"/>
      <c r="M1338" s="26"/>
      <c r="N1338" s="26"/>
      <c r="O1338" s="93"/>
      <c r="P1338" s="95"/>
      <c r="Q1338" s="197"/>
    </row>
    <row r="1339" spans="3:17" x14ac:dyDescent="0.25">
      <c r="C1339" s="199"/>
      <c r="D1339" s="112"/>
      <c r="E1339" s="33"/>
      <c r="F1339" s="105"/>
      <c r="H1339" s="116"/>
      <c r="I1339" s="26"/>
      <c r="J1339" s="98"/>
      <c r="K1339" s="36"/>
      <c r="L1339" s="26"/>
      <c r="M1339" s="26"/>
      <c r="N1339" s="26"/>
      <c r="O1339" s="93"/>
      <c r="P1339" s="95"/>
      <c r="Q1339" s="197"/>
    </row>
    <row r="1340" spans="3:17" x14ac:dyDescent="0.25">
      <c r="C1340" s="199"/>
      <c r="D1340" s="112"/>
      <c r="E1340" s="33"/>
      <c r="F1340" s="105"/>
      <c r="H1340" s="116"/>
      <c r="I1340" s="26"/>
      <c r="J1340" s="98"/>
      <c r="K1340" s="36"/>
      <c r="L1340" s="26"/>
      <c r="M1340" s="26"/>
      <c r="N1340" s="26"/>
      <c r="O1340" s="93"/>
      <c r="P1340" s="95"/>
      <c r="Q1340" s="197"/>
    </row>
    <row r="1341" spans="3:17" x14ac:dyDescent="0.25">
      <c r="C1341" s="199"/>
      <c r="D1341" s="112"/>
      <c r="E1341" s="33"/>
      <c r="F1341" s="105"/>
      <c r="H1341" s="116"/>
      <c r="I1341" s="26"/>
      <c r="J1341" s="98"/>
      <c r="K1341" s="36"/>
      <c r="L1341" s="26"/>
      <c r="M1341" s="26"/>
      <c r="N1341" s="26"/>
      <c r="O1341" s="93"/>
      <c r="P1341" s="95"/>
      <c r="Q1341" s="197"/>
    </row>
    <row r="1342" spans="3:17" x14ac:dyDescent="0.25">
      <c r="C1342" s="199"/>
      <c r="D1342" s="112"/>
      <c r="E1342" s="33"/>
      <c r="F1342" s="105"/>
      <c r="H1342" s="116"/>
      <c r="I1342" s="26"/>
      <c r="J1342" s="98"/>
      <c r="K1342" s="36"/>
      <c r="L1342" s="26"/>
      <c r="M1342" s="26"/>
      <c r="N1342" s="26"/>
      <c r="O1342" s="93"/>
      <c r="P1342" s="95"/>
      <c r="Q1342" s="197"/>
    </row>
    <row r="1343" spans="3:17" x14ac:dyDescent="0.25">
      <c r="C1343" s="199"/>
      <c r="D1343" s="112"/>
      <c r="E1343" s="33"/>
      <c r="F1343" s="105"/>
      <c r="H1343" s="116"/>
      <c r="I1343" s="26"/>
      <c r="J1343" s="98"/>
      <c r="K1343" s="36"/>
      <c r="L1343" s="26"/>
      <c r="M1343" s="26"/>
      <c r="N1343" s="26"/>
      <c r="O1343" s="93"/>
      <c r="P1343" s="95"/>
      <c r="Q1343" s="197"/>
    </row>
    <row r="1344" spans="3:17" x14ac:dyDescent="0.25">
      <c r="C1344" s="199"/>
      <c r="D1344" s="112"/>
      <c r="E1344" s="33"/>
      <c r="F1344" s="105"/>
      <c r="H1344" s="116"/>
      <c r="I1344" s="26"/>
      <c r="J1344" s="98"/>
      <c r="K1344" s="36"/>
      <c r="L1344" s="26"/>
      <c r="M1344" s="26"/>
      <c r="N1344" s="26"/>
      <c r="O1344" s="93"/>
      <c r="P1344" s="95"/>
      <c r="Q1344" s="197"/>
    </row>
    <row r="1345" spans="3:17" x14ac:dyDescent="0.25">
      <c r="C1345" s="199"/>
      <c r="D1345" s="112"/>
      <c r="E1345" s="33"/>
      <c r="F1345" s="105"/>
      <c r="H1345" s="116"/>
      <c r="I1345" s="26"/>
      <c r="J1345" s="98"/>
      <c r="K1345" s="36"/>
      <c r="L1345" s="26"/>
      <c r="M1345" s="26"/>
      <c r="N1345" s="26"/>
      <c r="O1345" s="93"/>
      <c r="P1345" s="95"/>
      <c r="Q1345" s="197"/>
    </row>
    <row r="1346" spans="3:17" x14ac:dyDescent="0.25">
      <c r="C1346" s="199"/>
      <c r="D1346" s="112"/>
      <c r="E1346" s="33"/>
      <c r="F1346" s="105"/>
      <c r="H1346" s="116"/>
      <c r="I1346" s="26"/>
      <c r="J1346" s="98"/>
      <c r="K1346" s="36"/>
      <c r="L1346" s="26"/>
      <c r="M1346" s="26"/>
      <c r="N1346" s="26"/>
      <c r="O1346" s="93"/>
      <c r="P1346" s="95"/>
      <c r="Q1346" s="197"/>
    </row>
    <row r="1347" spans="3:17" x14ac:dyDescent="0.25">
      <c r="C1347" s="199"/>
      <c r="D1347" s="112"/>
      <c r="E1347" s="33"/>
      <c r="F1347" s="105"/>
      <c r="H1347" s="116"/>
      <c r="I1347" s="26"/>
      <c r="J1347" s="98"/>
      <c r="K1347" s="36"/>
      <c r="L1347" s="26"/>
      <c r="M1347" s="26"/>
      <c r="N1347" s="26"/>
      <c r="O1347" s="93"/>
      <c r="P1347" s="95"/>
      <c r="Q1347" s="197"/>
    </row>
    <row r="1348" spans="3:17" x14ac:dyDescent="0.25">
      <c r="C1348" s="199"/>
      <c r="D1348" s="112"/>
      <c r="E1348" s="33"/>
      <c r="F1348" s="105"/>
      <c r="H1348" s="116"/>
      <c r="I1348" s="26"/>
      <c r="J1348" s="98"/>
      <c r="K1348" s="36"/>
      <c r="L1348" s="26"/>
      <c r="M1348" s="26"/>
      <c r="N1348" s="26"/>
      <c r="O1348" s="93"/>
      <c r="P1348" s="95"/>
      <c r="Q1348" s="197"/>
    </row>
    <row r="1349" spans="3:17" x14ac:dyDescent="0.25">
      <c r="C1349" s="199"/>
      <c r="D1349" s="112"/>
      <c r="E1349" s="33"/>
      <c r="F1349" s="105"/>
      <c r="H1349" s="116"/>
      <c r="I1349" s="26"/>
      <c r="J1349" s="98"/>
      <c r="K1349" s="36"/>
      <c r="L1349" s="26"/>
      <c r="M1349" s="26"/>
      <c r="N1349" s="26"/>
      <c r="O1349" s="93"/>
      <c r="P1349" s="95"/>
      <c r="Q1349" s="197"/>
    </row>
    <row r="1350" spans="3:17" x14ac:dyDescent="0.25">
      <c r="C1350" s="199"/>
      <c r="D1350" s="112"/>
      <c r="E1350" s="33"/>
      <c r="F1350" s="105"/>
      <c r="H1350" s="116"/>
      <c r="I1350" s="26"/>
      <c r="J1350" s="98"/>
      <c r="K1350" s="36"/>
      <c r="L1350" s="26"/>
      <c r="M1350" s="26"/>
      <c r="N1350" s="26"/>
      <c r="O1350" s="93"/>
      <c r="P1350" s="95"/>
      <c r="Q1350" s="197"/>
    </row>
    <row r="1351" spans="3:17" x14ac:dyDescent="0.25">
      <c r="C1351" s="199"/>
      <c r="D1351" s="112"/>
      <c r="E1351" s="33"/>
      <c r="F1351" s="105"/>
      <c r="H1351" s="116"/>
      <c r="I1351" s="26"/>
      <c r="J1351" s="98"/>
      <c r="K1351" s="36"/>
      <c r="L1351" s="26"/>
      <c r="M1351" s="26"/>
      <c r="N1351" s="26"/>
      <c r="O1351" s="93"/>
      <c r="P1351" s="95"/>
      <c r="Q1351" s="197"/>
    </row>
    <row r="1352" spans="3:17" x14ac:dyDescent="0.25">
      <c r="C1352" s="199"/>
      <c r="D1352" s="112"/>
      <c r="E1352" s="33"/>
      <c r="F1352" s="105"/>
      <c r="H1352" s="116"/>
      <c r="I1352" s="26"/>
      <c r="J1352" s="98"/>
      <c r="K1352" s="36"/>
      <c r="L1352" s="26"/>
      <c r="M1352" s="26"/>
      <c r="N1352" s="26"/>
      <c r="O1352" s="93"/>
      <c r="P1352" s="95"/>
      <c r="Q1352" s="197"/>
    </row>
    <row r="1353" spans="3:17" x14ac:dyDescent="0.25">
      <c r="C1353" s="199"/>
      <c r="D1353" s="112"/>
      <c r="E1353" s="33"/>
      <c r="F1353" s="105"/>
      <c r="H1353" s="116"/>
      <c r="I1353" s="26"/>
      <c r="J1353" s="98"/>
      <c r="K1353" s="36"/>
      <c r="L1353" s="26"/>
      <c r="M1353" s="26"/>
      <c r="N1353" s="26"/>
      <c r="O1353" s="93"/>
      <c r="P1353" s="95"/>
      <c r="Q1353" s="197"/>
    </row>
    <row r="1354" spans="3:17" x14ac:dyDescent="0.25">
      <c r="C1354" s="199"/>
      <c r="D1354" s="112"/>
      <c r="E1354" s="33"/>
      <c r="F1354" s="105"/>
      <c r="H1354" s="116"/>
      <c r="I1354" s="26"/>
      <c r="J1354" s="98"/>
      <c r="K1354" s="36"/>
      <c r="L1354" s="26"/>
      <c r="M1354" s="26"/>
      <c r="N1354" s="26"/>
      <c r="O1354" s="93"/>
      <c r="P1354" s="95"/>
      <c r="Q1354" s="197"/>
    </row>
    <row r="1355" spans="3:17" x14ac:dyDescent="0.25">
      <c r="C1355" s="199"/>
      <c r="D1355" s="112"/>
      <c r="E1355" s="33"/>
      <c r="F1355" s="105"/>
      <c r="H1355" s="116"/>
      <c r="I1355" s="26"/>
      <c r="J1355" s="98"/>
      <c r="K1355" s="36"/>
      <c r="L1355" s="26"/>
      <c r="M1355" s="26"/>
      <c r="N1355" s="26"/>
      <c r="O1355" s="93"/>
      <c r="P1355" s="95"/>
      <c r="Q1355" s="197"/>
    </row>
    <row r="1356" spans="3:17" x14ac:dyDescent="0.25">
      <c r="C1356" s="199"/>
      <c r="D1356" s="112"/>
      <c r="E1356" s="33"/>
      <c r="F1356" s="105"/>
      <c r="H1356" s="116"/>
      <c r="I1356" s="26"/>
      <c r="J1356" s="98"/>
      <c r="K1356" s="36"/>
      <c r="L1356" s="26"/>
      <c r="M1356" s="26"/>
      <c r="N1356" s="26"/>
      <c r="O1356" s="93"/>
      <c r="P1356" s="95"/>
      <c r="Q1356" s="197"/>
    </row>
    <row r="1357" spans="3:17" x14ac:dyDescent="0.25">
      <c r="C1357" s="199"/>
      <c r="D1357" s="112"/>
      <c r="E1357" s="33"/>
      <c r="F1357" s="105"/>
      <c r="H1357" s="116"/>
      <c r="I1357" s="26"/>
      <c r="J1357" s="98"/>
      <c r="K1357" s="36"/>
      <c r="L1357" s="26"/>
      <c r="M1357" s="26"/>
      <c r="N1357" s="26"/>
      <c r="O1357" s="93"/>
      <c r="P1357" s="95"/>
      <c r="Q1357" s="197"/>
    </row>
    <row r="1358" spans="3:17" x14ac:dyDescent="0.25">
      <c r="C1358" s="199"/>
      <c r="D1358" s="112"/>
      <c r="E1358" s="33"/>
      <c r="F1358" s="105"/>
      <c r="H1358" s="116"/>
      <c r="I1358" s="26"/>
      <c r="J1358" s="98"/>
      <c r="K1358" s="36"/>
      <c r="L1358" s="26"/>
      <c r="M1358" s="26"/>
      <c r="N1358" s="26"/>
      <c r="O1358" s="93"/>
      <c r="P1358" s="95"/>
      <c r="Q1358" s="197"/>
    </row>
    <row r="1359" spans="3:17" x14ac:dyDescent="0.25">
      <c r="C1359" s="199"/>
      <c r="D1359" s="112"/>
      <c r="E1359" s="33"/>
      <c r="F1359" s="105"/>
      <c r="H1359" s="116"/>
      <c r="I1359" s="26"/>
      <c r="J1359" s="98"/>
      <c r="K1359" s="36"/>
      <c r="L1359" s="26"/>
      <c r="M1359" s="26"/>
      <c r="N1359" s="26"/>
      <c r="O1359" s="93"/>
      <c r="P1359" s="95"/>
      <c r="Q1359" s="197"/>
    </row>
    <row r="1360" spans="3:17" x14ac:dyDescent="0.25">
      <c r="C1360" s="199"/>
      <c r="D1360" s="112"/>
      <c r="E1360" s="33"/>
      <c r="F1360" s="105"/>
      <c r="H1360" s="116"/>
      <c r="I1360" s="26"/>
      <c r="J1360" s="98"/>
      <c r="K1360" s="36"/>
      <c r="L1360" s="26"/>
      <c r="M1360" s="26"/>
      <c r="N1360" s="26"/>
      <c r="O1360" s="93"/>
      <c r="P1360" s="95"/>
      <c r="Q1360" s="197"/>
    </row>
    <row r="1361" spans="3:17" x14ac:dyDescent="0.25">
      <c r="C1361" s="199"/>
      <c r="D1361" s="112"/>
      <c r="E1361" s="33"/>
      <c r="F1361" s="105"/>
      <c r="H1361" s="116"/>
      <c r="I1361" s="26"/>
      <c r="J1361" s="98"/>
      <c r="K1361" s="36"/>
      <c r="L1361" s="26"/>
      <c r="M1361" s="26"/>
      <c r="N1361" s="26"/>
      <c r="O1361" s="93"/>
      <c r="P1361" s="95"/>
      <c r="Q1361" s="197"/>
    </row>
    <row r="1362" spans="3:17" x14ac:dyDescent="0.25">
      <c r="C1362" s="199"/>
      <c r="D1362" s="112"/>
      <c r="E1362" s="33"/>
      <c r="F1362" s="105"/>
      <c r="H1362" s="116"/>
      <c r="I1362" s="26"/>
      <c r="J1362" s="98"/>
      <c r="K1362" s="36"/>
      <c r="L1362" s="26"/>
      <c r="M1362" s="26"/>
      <c r="N1362" s="26"/>
      <c r="O1362" s="93"/>
      <c r="P1362" s="95"/>
      <c r="Q1362" s="197"/>
    </row>
    <row r="1363" spans="3:17" x14ac:dyDescent="0.25">
      <c r="C1363" s="199"/>
      <c r="D1363" s="112"/>
      <c r="E1363" s="33"/>
      <c r="F1363" s="105"/>
      <c r="H1363" s="116"/>
      <c r="I1363" s="26"/>
      <c r="J1363" s="98"/>
      <c r="K1363" s="36"/>
      <c r="L1363" s="26"/>
      <c r="M1363" s="26"/>
      <c r="N1363" s="26"/>
      <c r="O1363" s="93"/>
      <c r="P1363" s="95"/>
      <c r="Q1363" s="197"/>
    </row>
    <row r="1364" spans="3:17" x14ac:dyDescent="0.25">
      <c r="C1364" s="199"/>
      <c r="D1364" s="112"/>
      <c r="E1364" s="33"/>
      <c r="F1364" s="105"/>
      <c r="H1364" s="116"/>
      <c r="I1364" s="26"/>
      <c r="J1364" s="98"/>
      <c r="K1364" s="36"/>
      <c r="L1364" s="26"/>
      <c r="M1364" s="26"/>
      <c r="N1364" s="26"/>
      <c r="O1364" s="93"/>
      <c r="P1364" s="95"/>
      <c r="Q1364" s="197"/>
    </row>
    <row r="1365" spans="3:17" x14ac:dyDescent="0.25">
      <c r="C1365" s="199"/>
      <c r="D1365" s="112"/>
      <c r="E1365" s="33"/>
      <c r="F1365" s="105"/>
      <c r="H1365" s="116"/>
      <c r="I1365" s="26"/>
      <c r="J1365" s="98"/>
      <c r="K1365" s="36"/>
      <c r="L1365" s="26"/>
      <c r="M1365" s="26"/>
      <c r="N1365" s="26"/>
      <c r="O1365" s="93"/>
      <c r="P1365" s="95"/>
      <c r="Q1365" s="197"/>
    </row>
    <row r="1366" spans="3:17" x14ac:dyDescent="0.25">
      <c r="C1366" s="199"/>
      <c r="D1366" s="112"/>
      <c r="E1366" s="33"/>
      <c r="F1366" s="105"/>
      <c r="H1366" s="116"/>
      <c r="I1366" s="26"/>
      <c r="J1366" s="98"/>
      <c r="K1366" s="36"/>
      <c r="L1366" s="26"/>
      <c r="M1366" s="26"/>
      <c r="N1366" s="26"/>
      <c r="O1366" s="93"/>
      <c r="P1366" s="95"/>
      <c r="Q1366" s="197"/>
    </row>
    <row r="1367" spans="3:17" x14ac:dyDescent="0.25">
      <c r="C1367" s="199"/>
      <c r="D1367" s="112"/>
      <c r="E1367" s="33"/>
      <c r="F1367" s="105"/>
      <c r="H1367" s="116"/>
      <c r="I1367" s="26"/>
      <c r="J1367" s="98"/>
      <c r="K1367" s="36"/>
      <c r="L1367" s="26"/>
      <c r="M1367" s="26"/>
      <c r="N1367" s="26"/>
      <c r="O1367" s="93"/>
      <c r="P1367" s="95"/>
      <c r="Q1367" s="197"/>
    </row>
    <row r="1368" spans="3:17" x14ac:dyDescent="0.25">
      <c r="C1368" s="199"/>
      <c r="D1368" s="112"/>
      <c r="E1368" s="33"/>
      <c r="F1368" s="105"/>
      <c r="H1368" s="116"/>
      <c r="I1368" s="26"/>
      <c r="J1368" s="98"/>
      <c r="K1368" s="36"/>
      <c r="L1368" s="26"/>
      <c r="M1368" s="26"/>
      <c r="N1368" s="26"/>
      <c r="O1368" s="93"/>
      <c r="P1368" s="95"/>
      <c r="Q1368" s="197"/>
    </row>
    <row r="1369" spans="3:17" x14ac:dyDescent="0.25">
      <c r="C1369" s="199"/>
      <c r="D1369" s="112"/>
      <c r="E1369" s="33"/>
      <c r="F1369" s="105"/>
      <c r="H1369" s="116"/>
      <c r="I1369" s="26"/>
      <c r="J1369" s="98"/>
      <c r="K1369" s="36"/>
      <c r="L1369" s="26"/>
      <c r="M1369" s="26"/>
      <c r="N1369" s="26"/>
      <c r="O1369" s="93"/>
      <c r="P1369" s="95"/>
      <c r="Q1369" s="197"/>
    </row>
    <row r="1370" spans="3:17" x14ac:dyDescent="0.25">
      <c r="C1370" s="199"/>
      <c r="D1370" s="112"/>
      <c r="E1370" s="33"/>
      <c r="F1370" s="105"/>
      <c r="H1370" s="116"/>
      <c r="I1370" s="26"/>
      <c r="J1370" s="98"/>
      <c r="K1370" s="36"/>
      <c r="L1370" s="26"/>
      <c r="M1370" s="26"/>
      <c r="N1370" s="26"/>
      <c r="O1370" s="93"/>
      <c r="P1370" s="95"/>
      <c r="Q1370" s="197"/>
    </row>
    <row r="1371" spans="3:17" x14ac:dyDescent="0.25">
      <c r="C1371" s="199"/>
      <c r="D1371" s="112"/>
      <c r="E1371" s="33"/>
      <c r="F1371" s="105"/>
      <c r="H1371" s="116"/>
      <c r="I1371" s="26"/>
      <c r="J1371" s="98"/>
      <c r="K1371" s="36"/>
      <c r="L1371" s="26"/>
      <c r="M1371" s="26"/>
      <c r="N1371" s="26"/>
      <c r="O1371" s="93"/>
      <c r="P1371" s="95"/>
      <c r="Q1371" s="197"/>
    </row>
    <row r="1372" spans="3:17" x14ac:dyDescent="0.25">
      <c r="C1372" s="199"/>
      <c r="D1372" s="112"/>
      <c r="E1372" s="33"/>
      <c r="F1372" s="105"/>
      <c r="H1372" s="116"/>
      <c r="I1372" s="26"/>
      <c r="J1372" s="98"/>
      <c r="K1372" s="36"/>
      <c r="L1372" s="26"/>
      <c r="M1372" s="26"/>
      <c r="N1372" s="26"/>
      <c r="O1372" s="93"/>
      <c r="P1372" s="95"/>
      <c r="Q1372" s="197"/>
    </row>
    <row r="1373" spans="3:17" x14ac:dyDescent="0.25">
      <c r="C1373" s="199"/>
      <c r="D1373" s="112"/>
      <c r="E1373" s="33"/>
      <c r="F1373" s="105"/>
      <c r="H1373" s="116"/>
      <c r="I1373" s="26"/>
      <c r="J1373" s="98"/>
      <c r="K1373" s="36"/>
      <c r="L1373" s="26"/>
      <c r="M1373" s="26"/>
      <c r="N1373" s="26"/>
      <c r="O1373" s="93"/>
      <c r="P1373" s="95"/>
      <c r="Q1373" s="197"/>
    </row>
    <row r="1374" spans="3:17" x14ac:dyDescent="0.25">
      <c r="C1374" s="199"/>
      <c r="D1374" s="112"/>
      <c r="E1374" s="33"/>
      <c r="F1374" s="105"/>
      <c r="H1374" s="116"/>
      <c r="I1374" s="26"/>
      <c r="J1374" s="98"/>
      <c r="K1374" s="36"/>
      <c r="L1374" s="26"/>
      <c r="M1374" s="26"/>
      <c r="N1374" s="26"/>
      <c r="O1374" s="93"/>
      <c r="P1374" s="95"/>
      <c r="Q1374" s="197"/>
    </row>
    <row r="1375" spans="3:17" x14ac:dyDescent="0.25">
      <c r="C1375" s="199"/>
      <c r="D1375" s="112"/>
      <c r="E1375" s="33"/>
      <c r="F1375" s="105"/>
      <c r="H1375" s="116"/>
      <c r="I1375" s="26"/>
      <c r="J1375" s="98"/>
      <c r="K1375" s="36"/>
      <c r="L1375" s="26"/>
      <c r="M1375" s="26"/>
      <c r="N1375" s="26"/>
      <c r="O1375" s="93"/>
      <c r="P1375" s="95"/>
      <c r="Q1375" s="197"/>
    </row>
    <row r="1376" spans="3:17" x14ac:dyDescent="0.25">
      <c r="C1376" s="199"/>
      <c r="D1376" s="112"/>
      <c r="E1376" s="33"/>
      <c r="F1376" s="105"/>
      <c r="H1376" s="116"/>
      <c r="I1376" s="26"/>
      <c r="J1376" s="98"/>
      <c r="K1376" s="36"/>
      <c r="L1376" s="26"/>
      <c r="M1376" s="26"/>
      <c r="N1376" s="26"/>
      <c r="O1376" s="93"/>
      <c r="P1376" s="95"/>
      <c r="Q1376" s="197"/>
    </row>
    <row r="1377" spans="3:17" x14ac:dyDescent="0.25">
      <c r="C1377" s="199"/>
      <c r="D1377" s="112"/>
      <c r="E1377" s="33"/>
      <c r="F1377" s="105"/>
      <c r="H1377" s="116"/>
      <c r="I1377" s="26"/>
      <c r="J1377" s="98"/>
      <c r="K1377" s="36"/>
      <c r="L1377" s="26"/>
      <c r="M1377" s="26"/>
      <c r="N1377" s="26"/>
      <c r="O1377" s="93"/>
      <c r="P1377" s="95"/>
      <c r="Q1377" s="197"/>
    </row>
    <row r="1378" spans="3:17" x14ac:dyDescent="0.25">
      <c r="C1378" s="199"/>
      <c r="D1378" s="112"/>
      <c r="E1378" s="33"/>
      <c r="F1378" s="105"/>
      <c r="H1378" s="116"/>
      <c r="I1378" s="26"/>
      <c r="J1378" s="98"/>
      <c r="K1378" s="36"/>
      <c r="L1378" s="26"/>
      <c r="M1378" s="26"/>
      <c r="N1378" s="26"/>
      <c r="O1378" s="93"/>
      <c r="P1378" s="95"/>
      <c r="Q1378" s="197"/>
    </row>
    <row r="1379" spans="3:17" x14ac:dyDescent="0.25">
      <c r="C1379" s="199"/>
      <c r="D1379" s="112"/>
      <c r="E1379" s="33"/>
      <c r="F1379" s="105"/>
      <c r="H1379" s="116"/>
      <c r="I1379" s="26"/>
      <c r="J1379" s="98"/>
      <c r="K1379" s="36"/>
      <c r="L1379" s="26"/>
      <c r="M1379" s="26"/>
      <c r="N1379" s="26"/>
      <c r="O1379" s="93"/>
      <c r="P1379" s="95"/>
      <c r="Q1379" s="197"/>
    </row>
    <row r="1380" spans="3:17" x14ac:dyDescent="0.25">
      <c r="C1380" s="199"/>
      <c r="D1380" s="112"/>
      <c r="E1380" s="33"/>
      <c r="F1380" s="105"/>
      <c r="H1380" s="116"/>
      <c r="I1380" s="26"/>
      <c r="J1380" s="98"/>
      <c r="K1380" s="36"/>
      <c r="L1380" s="26"/>
      <c r="M1380" s="26"/>
      <c r="N1380" s="26"/>
      <c r="O1380" s="93"/>
      <c r="P1380" s="95"/>
      <c r="Q1380" s="197"/>
    </row>
    <row r="1381" spans="3:17" x14ac:dyDescent="0.25">
      <c r="C1381" s="199"/>
      <c r="D1381" s="112"/>
      <c r="E1381" s="33"/>
      <c r="F1381" s="105"/>
      <c r="H1381" s="116"/>
      <c r="I1381" s="26"/>
      <c r="J1381" s="98"/>
      <c r="K1381" s="36"/>
      <c r="L1381" s="26"/>
      <c r="M1381" s="26"/>
      <c r="N1381" s="26"/>
      <c r="O1381" s="93"/>
      <c r="P1381" s="95"/>
      <c r="Q1381" s="197"/>
    </row>
    <row r="1382" spans="3:17" x14ac:dyDescent="0.25">
      <c r="C1382" s="199"/>
      <c r="D1382" s="112"/>
      <c r="E1382" s="33"/>
      <c r="F1382" s="105"/>
      <c r="H1382" s="116"/>
      <c r="I1382" s="26"/>
      <c r="J1382" s="98"/>
      <c r="K1382" s="36"/>
      <c r="L1382" s="26"/>
      <c r="M1382" s="26"/>
      <c r="N1382" s="26"/>
      <c r="O1382" s="93"/>
      <c r="P1382" s="95"/>
      <c r="Q1382" s="197"/>
    </row>
    <row r="1383" spans="3:17" x14ac:dyDescent="0.25">
      <c r="C1383" s="199"/>
      <c r="D1383" s="112"/>
      <c r="E1383" s="33"/>
      <c r="F1383" s="105"/>
      <c r="H1383" s="116"/>
      <c r="I1383" s="26"/>
      <c r="J1383" s="98"/>
      <c r="K1383" s="36"/>
      <c r="L1383" s="26"/>
      <c r="M1383" s="26"/>
      <c r="N1383" s="26"/>
      <c r="O1383" s="93"/>
      <c r="P1383" s="95"/>
      <c r="Q1383" s="197"/>
    </row>
    <row r="1384" spans="3:17" x14ac:dyDescent="0.25">
      <c r="C1384" s="199"/>
      <c r="D1384" s="112"/>
      <c r="E1384" s="33"/>
      <c r="F1384" s="105"/>
      <c r="H1384" s="116"/>
      <c r="I1384" s="26"/>
      <c r="J1384" s="98"/>
      <c r="K1384" s="36"/>
      <c r="L1384" s="26"/>
      <c r="M1384" s="26"/>
      <c r="N1384" s="26"/>
      <c r="O1384" s="93"/>
      <c r="P1384" s="95"/>
      <c r="Q1384" s="197"/>
    </row>
    <row r="1385" spans="3:17" x14ac:dyDescent="0.25">
      <c r="C1385" s="199"/>
      <c r="D1385" s="112"/>
      <c r="E1385" s="33"/>
      <c r="F1385" s="105"/>
      <c r="H1385" s="116"/>
      <c r="I1385" s="26"/>
      <c r="J1385" s="98"/>
      <c r="K1385" s="36"/>
      <c r="L1385" s="26"/>
      <c r="M1385" s="26"/>
      <c r="N1385" s="26"/>
      <c r="O1385" s="93"/>
      <c r="P1385" s="95"/>
      <c r="Q1385" s="197"/>
    </row>
    <row r="1386" spans="3:17" x14ac:dyDescent="0.25">
      <c r="C1386" s="199"/>
      <c r="D1386" s="112"/>
      <c r="E1386" s="33"/>
      <c r="F1386" s="105"/>
      <c r="H1386" s="116"/>
      <c r="I1386" s="26"/>
      <c r="J1386" s="98"/>
      <c r="K1386" s="36"/>
      <c r="L1386" s="26"/>
      <c r="M1386" s="26"/>
      <c r="N1386" s="26"/>
      <c r="O1386" s="93"/>
      <c r="P1386" s="95"/>
      <c r="Q1386" s="197"/>
    </row>
    <row r="1387" spans="3:17" x14ac:dyDescent="0.25">
      <c r="C1387" s="199"/>
      <c r="D1387" s="112"/>
      <c r="E1387" s="33"/>
      <c r="F1387" s="105"/>
      <c r="H1387" s="116"/>
      <c r="I1387" s="26"/>
      <c r="J1387" s="98"/>
      <c r="K1387" s="36"/>
      <c r="L1387" s="26"/>
      <c r="M1387" s="26"/>
      <c r="N1387" s="26"/>
      <c r="O1387" s="93"/>
      <c r="P1387" s="95"/>
      <c r="Q1387" s="197"/>
    </row>
    <row r="1388" spans="3:17" x14ac:dyDescent="0.25">
      <c r="C1388" s="199"/>
      <c r="D1388" s="112"/>
      <c r="E1388" s="33"/>
      <c r="F1388" s="105"/>
      <c r="H1388" s="116"/>
      <c r="I1388" s="26"/>
      <c r="J1388" s="98"/>
      <c r="K1388" s="36"/>
      <c r="L1388" s="26"/>
      <c r="M1388" s="26"/>
      <c r="N1388" s="26"/>
      <c r="O1388" s="93"/>
      <c r="P1388" s="95"/>
      <c r="Q1388" s="197"/>
    </row>
    <row r="1389" spans="3:17" x14ac:dyDescent="0.25">
      <c r="C1389" s="199"/>
      <c r="D1389" s="112"/>
      <c r="E1389" s="33"/>
      <c r="F1389" s="105"/>
      <c r="H1389" s="116"/>
      <c r="I1389" s="26"/>
      <c r="J1389" s="98"/>
      <c r="K1389" s="36"/>
      <c r="L1389" s="26"/>
      <c r="M1389" s="26"/>
      <c r="N1389" s="26"/>
      <c r="O1389" s="93"/>
      <c r="P1389" s="95"/>
      <c r="Q1389" s="197"/>
    </row>
    <row r="1390" spans="3:17" x14ac:dyDescent="0.25">
      <c r="C1390" s="199"/>
      <c r="D1390" s="112"/>
      <c r="E1390" s="33"/>
      <c r="F1390" s="105"/>
      <c r="H1390" s="116"/>
      <c r="I1390" s="26"/>
      <c r="J1390" s="98"/>
      <c r="K1390" s="36"/>
      <c r="L1390" s="26"/>
      <c r="M1390" s="26"/>
      <c r="N1390" s="26"/>
      <c r="O1390" s="93"/>
      <c r="P1390" s="95"/>
      <c r="Q1390" s="197"/>
    </row>
    <row r="1391" spans="3:17" x14ac:dyDescent="0.25">
      <c r="C1391" s="199"/>
      <c r="D1391" s="112"/>
      <c r="E1391" s="33"/>
      <c r="F1391" s="105"/>
      <c r="H1391" s="116"/>
      <c r="I1391" s="26"/>
      <c r="J1391" s="98"/>
      <c r="K1391" s="36"/>
      <c r="L1391" s="26"/>
      <c r="M1391" s="26"/>
      <c r="N1391" s="26"/>
      <c r="O1391" s="93"/>
      <c r="P1391" s="95"/>
      <c r="Q1391" s="197"/>
    </row>
    <row r="1392" spans="3:17" x14ac:dyDescent="0.25">
      <c r="C1392" s="199"/>
      <c r="D1392" s="112"/>
      <c r="E1392" s="33"/>
      <c r="F1392" s="105"/>
      <c r="H1392" s="116"/>
      <c r="I1392" s="26"/>
      <c r="J1392" s="98"/>
      <c r="K1392" s="36"/>
      <c r="L1392" s="26"/>
      <c r="M1392" s="26"/>
      <c r="N1392" s="26"/>
      <c r="O1392" s="93"/>
      <c r="P1392" s="95"/>
      <c r="Q1392" s="197"/>
    </row>
    <row r="1393" spans="3:17" x14ac:dyDescent="0.25">
      <c r="C1393" s="199"/>
      <c r="D1393" s="112"/>
      <c r="E1393" s="33"/>
      <c r="F1393" s="105"/>
      <c r="H1393" s="116"/>
      <c r="I1393" s="26"/>
      <c r="J1393" s="98"/>
      <c r="K1393" s="36"/>
      <c r="L1393" s="26"/>
      <c r="M1393" s="26"/>
      <c r="N1393" s="26"/>
      <c r="O1393" s="93"/>
      <c r="P1393" s="95"/>
      <c r="Q1393" s="197"/>
    </row>
    <row r="1394" spans="3:17" x14ac:dyDescent="0.25">
      <c r="C1394" s="199"/>
      <c r="D1394" s="112"/>
      <c r="E1394" s="33"/>
      <c r="F1394" s="105"/>
      <c r="H1394" s="116"/>
      <c r="I1394" s="26"/>
      <c r="J1394" s="98"/>
      <c r="K1394" s="36"/>
      <c r="L1394" s="26"/>
      <c r="M1394" s="26"/>
      <c r="N1394" s="26"/>
      <c r="O1394" s="93"/>
      <c r="P1394" s="95"/>
      <c r="Q1394" s="197"/>
    </row>
    <row r="1395" spans="3:17" x14ac:dyDescent="0.25">
      <c r="C1395" s="199"/>
      <c r="D1395" s="112"/>
      <c r="E1395" s="33"/>
      <c r="F1395" s="105"/>
      <c r="H1395" s="116"/>
      <c r="I1395" s="26"/>
      <c r="J1395" s="98"/>
      <c r="K1395" s="36"/>
      <c r="L1395" s="26"/>
      <c r="M1395" s="26"/>
      <c r="N1395" s="26"/>
      <c r="O1395" s="93"/>
      <c r="P1395" s="95"/>
      <c r="Q1395" s="197"/>
    </row>
    <row r="1396" spans="3:17" x14ac:dyDescent="0.25">
      <c r="C1396" s="199"/>
      <c r="D1396" s="112"/>
      <c r="E1396" s="33"/>
      <c r="F1396" s="105"/>
      <c r="H1396" s="116"/>
      <c r="I1396" s="26"/>
      <c r="J1396" s="98"/>
      <c r="K1396" s="36"/>
      <c r="L1396" s="26"/>
      <c r="M1396" s="26"/>
      <c r="N1396" s="26"/>
      <c r="O1396" s="93"/>
      <c r="P1396" s="95"/>
      <c r="Q1396" s="197"/>
    </row>
    <row r="1397" spans="3:17" x14ac:dyDescent="0.25">
      <c r="C1397" s="199"/>
      <c r="D1397" s="112"/>
      <c r="E1397" s="33"/>
      <c r="F1397" s="105"/>
      <c r="H1397" s="116"/>
      <c r="I1397" s="26"/>
      <c r="J1397" s="98"/>
      <c r="K1397" s="36"/>
      <c r="L1397" s="26"/>
      <c r="M1397" s="26"/>
      <c r="N1397" s="26"/>
      <c r="O1397" s="93"/>
      <c r="P1397" s="95"/>
      <c r="Q1397" s="197"/>
    </row>
    <row r="1398" spans="3:17" x14ac:dyDescent="0.25">
      <c r="C1398" s="199"/>
      <c r="D1398" s="112"/>
      <c r="E1398" s="33"/>
      <c r="F1398" s="105"/>
      <c r="H1398" s="116"/>
      <c r="I1398" s="26"/>
      <c r="J1398" s="98"/>
      <c r="K1398" s="36"/>
      <c r="L1398" s="26"/>
      <c r="M1398" s="26"/>
      <c r="N1398" s="26"/>
      <c r="O1398" s="93"/>
      <c r="P1398" s="95"/>
      <c r="Q1398" s="197"/>
    </row>
    <row r="1399" spans="3:17" x14ac:dyDescent="0.25">
      <c r="C1399" s="199"/>
      <c r="D1399" s="112"/>
      <c r="E1399" s="33"/>
      <c r="F1399" s="105"/>
      <c r="H1399" s="116"/>
      <c r="I1399" s="26"/>
      <c r="J1399" s="98"/>
      <c r="K1399" s="36"/>
      <c r="L1399" s="26"/>
      <c r="M1399" s="26"/>
      <c r="N1399" s="26"/>
      <c r="O1399" s="93"/>
      <c r="P1399" s="95"/>
      <c r="Q1399" s="197"/>
    </row>
    <row r="1400" spans="3:17" x14ac:dyDescent="0.25">
      <c r="C1400" s="199"/>
      <c r="D1400" s="112"/>
      <c r="E1400" s="33"/>
      <c r="F1400" s="105"/>
      <c r="H1400" s="116"/>
      <c r="I1400" s="26"/>
      <c r="J1400" s="98"/>
      <c r="K1400" s="36"/>
      <c r="L1400" s="26"/>
      <c r="M1400" s="26"/>
      <c r="N1400" s="26"/>
      <c r="O1400" s="93"/>
      <c r="P1400" s="95"/>
      <c r="Q1400" s="197"/>
    </row>
    <row r="1401" spans="3:17" x14ac:dyDescent="0.25">
      <c r="C1401" s="199"/>
      <c r="D1401" s="112"/>
      <c r="E1401" s="33"/>
      <c r="F1401" s="105"/>
      <c r="H1401" s="116"/>
      <c r="I1401" s="26"/>
      <c r="J1401" s="98"/>
      <c r="K1401" s="36"/>
      <c r="L1401" s="26"/>
      <c r="M1401" s="26"/>
      <c r="N1401" s="26"/>
      <c r="O1401" s="93"/>
      <c r="P1401" s="95"/>
      <c r="Q1401" s="197"/>
    </row>
    <row r="1402" spans="3:17" x14ac:dyDescent="0.25">
      <c r="C1402" s="199"/>
      <c r="D1402" s="112"/>
      <c r="E1402" s="33"/>
      <c r="F1402" s="105"/>
      <c r="H1402" s="116"/>
      <c r="I1402" s="26"/>
      <c r="J1402" s="98"/>
      <c r="K1402" s="36"/>
      <c r="L1402" s="26"/>
      <c r="M1402" s="26"/>
      <c r="N1402" s="26"/>
      <c r="O1402" s="93"/>
      <c r="P1402" s="95"/>
      <c r="Q1402" s="197"/>
    </row>
    <row r="1403" spans="3:17" x14ac:dyDescent="0.25">
      <c r="C1403" s="199"/>
      <c r="D1403" s="112"/>
      <c r="E1403" s="33"/>
      <c r="F1403" s="105"/>
      <c r="H1403" s="116"/>
      <c r="I1403" s="26"/>
      <c r="J1403" s="98"/>
      <c r="K1403" s="36"/>
      <c r="L1403" s="26"/>
      <c r="M1403" s="26"/>
      <c r="N1403" s="26"/>
      <c r="O1403" s="93"/>
      <c r="P1403" s="95"/>
      <c r="Q1403" s="197"/>
    </row>
    <row r="1404" spans="3:17" x14ac:dyDescent="0.25">
      <c r="C1404" s="199"/>
      <c r="D1404" s="112"/>
      <c r="E1404" s="33"/>
      <c r="F1404" s="105"/>
      <c r="H1404" s="116"/>
      <c r="I1404" s="26"/>
      <c r="J1404" s="98"/>
      <c r="K1404" s="36"/>
      <c r="L1404" s="26"/>
      <c r="M1404" s="26"/>
      <c r="N1404" s="26"/>
      <c r="O1404" s="93"/>
      <c r="P1404" s="95"/>
      <c r="Q1404" s="197"/>
    </row>
    <row r="1405" spans="3:17" x14ac:dyDescent="0.25">
      <c r="C1405" s="199"/>
      <c r="D1405" s="112"/>
      <c r="E1405" s="33"/>
      <c r="F1405" s="105"/>
      <c r="H1405" s="116"/>
      <c r="I1405" s="26"/>
      <c r="J1405" s="98"/>
      <c r="K1405" s="36"/>
      <c r="L1405" s="26"/>
      <c r="M1405" s="26"/>
      <c r="N1405" s="26"/>
      <c r="O1405" s="93"/>
      <c r="P1405" s="95"/>
      <c r="Q1405" s="197"/>
    </row>
    <row r="1406" spans="3:17" x14ac:dyDescent="0.25">
      <c r="C1406" s="199"/>
      <c r="D1406" s="112"/>
      <c r="E1406" s="33"/>
      <c r="F1406" s="105"/>
      <c r="H1406" s="116"/>
      <c r="I1406" s="26"/>
      <c r="J1406" s="98"/>
      <c r="K1406" s="36"/>
      <c r="L1406" s="26"/>
      <c r="M1406" s="26"/>
      <c r="N1406" s="26"/>
      <c r="O1406" s="93"/>
      <c r="P1406" s="95"/>
      <c r="Q1406" s="197"/>
    </row>
    <row r="1407" spans="3:17" x14ac:dyDescent="0.25">
      <c r="C1407" s="199"/>
      <c r="D1407" s="112"/>
      <c r="E1407" s="33"/>
      <c r="F1407" s="105"/>
      <c r="H1407" s="116"/>
      <c r="I1407" s="26"/>
      <c r="J1407" s="98"/>
      <c r="K1407" s="36"/>
      <c r="L1407" s="26"/>
      <c r="M1407" s="26"/>
      <c r="N1407" s="26"/>
      <c r="O1407" s="93"/>
      <c r="P1407" s="95"/>
      <c r="Q1407" s="197"/>
    </row>
    <row r="1408" spans="3:17" x14ac:dyDescent="0.25">
      <c r="C1408" s="199"/>
      <c r="D1408" s="112"/>
      <c r="E1408" s="33"/>
      <c r="F1408" s="105"/>
      <c r="H1408" s="116"/>
      <c r="I1408" s="26"/>
      <c r="J1408" s="98"/>
      <c r="K1408" s="36"/>
      <c r="L1408" s="26"/>
      <c r="M1408" s="26"/>
      <c r="N1408" s="26"/>
      <c r="O1408" s="93"/>
      <c r="P1408" s="95"/>
      <c r="Q1408" s="197"/>
    </row>
    <row r="1409" spans="3:17" x14ac:dyDescent="0.25">
      <c r="C1409" s="199"/>
      <c r="D1409" s="112"/>
      <c r="E1409" s="33"/>
      <c r="F1409" s="105"/>
      <c r="H1409" s="116"/>
      <c r="I1409" s="26"/>
      <c r="J1409" s="98"/>
      <c r="K1409" s="36"/>
      <c r="L1409" s="26"/>
      <c r="M1409" s="26"/>
      <c r="N1409" s="26"/>
      <c r="O1409" s="93"/>
      <c r="P1409" s="95"/>
      <c r="Q1409" s="197"/>
    </row>
    <row r="1410" spans="3:17" x14ac:dyDescent="0.25">
      <c r="C1410" s="199"/>
      <c r="D1410" s="112"/>
      <c r="E1410" s="33"/>
      <c r="F1410" s="105"/>
      <c r="H1410" s="116"/>
      <c r="I1410" s="26"/>
      <c r="J1410" s="98"/>
      <c r="K1410" s="36"/>
      <c r="L1410" s="26"/>
      <c r="M1410" s="26"/>
      <c r="N1410" s="26"/>
      <c r="O1410" s="93"/>
      <c r="P1410" s="95"/>
      <c r="Q1410" s="197"/>
    </row>
    <row r="1411" spans="3:17" x14ac:dyDescent="0.25">
      <c r="C1411" s="199"/>
      <c r="D1411" s="112"/>
      <c r="E1411" s="33"/>
      <c r="F1411" s="105"/>
      <c r="H1411" s="116"/>
      <c r="I1411" s="26"/>
      <c r="J1411" s="98"/>
      <c r="K1411" s="36"/>
      <c r="L1411" s="26"/>
      <c r="M1411" s="26"/>
      <c r="N1411" s="26"/>
      <c r="O1411" s="93"/>
      <c r="P1411" s="95"/>
      <c r="Q1411" s="197"/>
    </row>
    <row r="1412" spans="3:17" x14ac:dyDescent="0.25">
      <c r="C1412" s="199"/>
      <c r="D1412" s="112"/>
      <c r="E1412" s="33"/>
      <c r="F1412" s="105"/>
      <c r="H1412" s="116"/>
      <c r="I1412" s="26"/>
      <c r="J1412" s="98"/>
      <c r="K1412" s="36"/>
      <c r="L1412" s="26"/>
      <c r="M1412" s="26"/>
      <c r="N1412" s="26"/>
      <c r="O1412" s="93"/>
      <c r="P1412" s="95"/>
      <c r="Q1412" s="197"/>
    </row>
    <row r="1413" spans="3:17" x14ac:dyDescent="0.25">
      <c r="C1413" s="199"/>
      <c r="D1413" s="112"/>
      <c r="E1413" s="33"/>
      <c r="F1413" s="105"/>
      <c r="H1413" s="116"/>
      <c r="I1413" s="26"/>
      <c r="J1413" s="98"/>
      <c r="K1413" s="36"/>
      <c r="L1413" s="26"/>
      <c r="M1413" s="26"/>
      <c r="N1413" s="26"/>
      <c r="O1413" s="93"/>
      <c r="P1413" s="95"/>
      <c r="Q1413" s="197"/>
    </row>
    <row r="1414" spans="3:17" x14ac:dyDescent="0.25">
      <c r="C1414" s="199"/>
      <c r="D1414" s="112"/>
      <c r="E1414" s="33"/>
      <c r="F1414" s="105"/>
      <c r="H1414" s="116"/>
      <c r="I1414" s="26"/>
      <c r="J1414" s="98"/>
      <c r="K1414" s="36"/>
      <c r="L1414" s="26"/>
      <c r="M1414" s="26"/>
      <c r="N1414" s="26"/>
      <c r="O1414" s="93"/>
      <c r="P1414" s="95"/>
      <c r="Q1414" s="197"/>
    </row>
    <row r="1415" spans="3:17" x14ac:dyDescent="0.25">
      <c r="C1415" s="199"/>
      <c r="D1415" s="112"/>
      <c r="E1415" s="33"/>
      <c r="F1415" s="105"/>
      <c r="H1415" s="116"/>
      <c r="I1415" s="26"/>
      <c r="J1415" s="98"/>
      <c r="K1415" s="36"/>
      <c r="L1415" s="26"/>
      <c r="M1415" s="26"/>
      <c r="N1415" s="26"/>
      <c r="O1415" s="93"/>
      <c r="P1415" s="95"/>
      <c r="Q1415" s="197"/>
    </row>
    <row r="1416" spans="3:17" x14ac:dyDescent="0.25">
      <c r="C1416" s="199"/>
      <c r="D1416" s="112"/>
      <c r="E1416" s="33"/>
      <c r="F1416" s="105"/>
      <c r="H1416" s="116"/>
      <c r="I1416" s="26"/>
      <c r="J1416" s="98"/>
      <c r="K1416" s="36"/>
      <c r="L1416" s="26"/>
      <c r="M1416" s="26"/>
      <c r="N1416" s="26"/>
      <c r="O1416" s="93"/>
      <c r="P1416" s="95"/>
      <c r="Q1416" s="197"/>
    </row>
    <row r="1417" spans="3:17" x14ac:dyDescent="0.25">
      <c r="C1417" s="199"/>
      <c r="D1417" s="112"/>
      <c r="E1417" s="33"/>
      <c r="F1417" s="105"/>
      <c r="H1417" s="116"/>
      <c r="I1417" s="26"/>
      <c r="J1417" s="98"/>
      <c r="K1417" s="36"/>
      <c r="L1417" s="26"/>
      <c r="M1417" s="26"/>
      <c r="N1417" s="26"/>
      <c r="O1417" s="93"/>
      <c r="P1417" s="95"/>
      <c r="Q1417" s="197"/>
    </row>
    <row r="1418" spans="3:17" x14ac:dyDescent="0.25">
      <c r="C1418" s="199"/>
      <c r="D1418" s="112"/>
      <c r="E1418" s="33"/>
      <c r="F1418" s="105"/>
      <c r="H1418" s="116"/>
      <c r="I1418" s="26"/>
      <c r="J1418" s="98"/>
      <c r="K1418" s="36"/>
      <c r="L1418" s="26"/>
      <c r="M1418" s="26"/>
      <c r="N1418" s="26"/>
      <c r="O1418" s="93"/>
      <c r="P1418" s="95"/>
      <c r="Q1418" s="197"/>
    </row>
    <row r="1419" spans="3:17" x14ac:dyDescent="0.25">
      <c r="C1419" s="199"/>
      <c r="D1419" s="112"/>
      <c r="E1419" s="33"/>
      <c r="F1419" s="105"/>
      <c r="H1419" s="116"/>
      <c r="I1419" s="26"/>
      <c r="J1419" s="98"/>
      <c r="K1419" s="36"/>
      <c r="L1419" s="26"/>
      <c r="M1419" s="26"/>
      <c r="N1419" s="26"/>
      <c r="O1419" s="93"/>
      <c r="P1419" s="95"/>
      <c r="Q1419" s="197"/>
    </row>
    <row r="1420" spans="3:17" x14ac:dyDescent="0.25">
      <c r="C1420" s="199"/>
      <c r="D1420" s="112"/>
      <c r="E1420" s="33"/>
      <c r="F1420" s="105"/>
      <c r="H1420" s="116"/>
      <c r="I1420" s="26"/>
      <c r="J1420" s="98"/>
      <c r="K1420" s="36"/>
      <c r="L1420" s="26"/>
      <c r="M1420" s="26"/>
      <c r="N1420" s="26"/>
      <c r="O1420" s="93"/>
      <c r="P1420" s="95"/>
      <c r="Q1420" s="197"/>
    </row>
    <row r="1421" spans="3:17" x14ac:dyDescent="0.25">
      <c r="C1421" s="199"/>
      <c r="D1421" s="112"/>
      <c r="E1421" s="33"/>
      <c r="F1421" s="105"/>
      <c r="H1421" s="116"/>
      <c r="I1421" s="26"/>
      <c r="J1421" s="98"/>
      <c r="K1421" s="36"/>
      <c r="L1421" s="26"/>
      <c r="M1421" s="26"/>
      <c r="N1421" s="26"/>
      <c r="O1421" s="93"/>
      <c r="P1421" s="95"/>
      <c r="Q1421" s="197"/>
    </row>
    <row r="1422" spans="3:17" x14ac:dyDescent="0.25">
      <c r="C1422" s="199"/>
      <c r="D1422" s="112"/>
      <c r="E1422" s="33"/>
      <c r="F1422" s="105"/>
      <c r="H1422" s="116"/>
      <c r="I1422" s="26"/>
      <c r="J1422" s="98"/>
      <c r="K1422" s="36"/>
      <c r="L1422" s="26"/>
      <c r="M1422" s="26"/>
      <c r="N1422" s="26"/>
      <c r="O1422" s="93"/>
      <c r="P1422" s="95"/>
      <c r="Q1422" s="197"/>
    </row>
    <row r="1423" spans="3:17" x14ac:dyDescent="0.25">
      <c r="C1423" s="199"/>
      <c r="D1423" s="112"/>
      <c r="E1423" s="33"/>
      <c r="F1423" s="105"/>
      <c r="H1423" s="116"/>
      <c r="I1423" s="26"/>
      <c r="J1423" s="98"/>
      <c r="K1423" s="36"/>
      <c r="L1423" s="26"/>
      <c r="M1423" s="26"/>
      <c r="N1423" s="26"/>
      <c r="O1423" s="93"/>
      <c r="P1423" s="95"/>
      <c r="Q1423" s="197"/>
    </row>
    <row r="1424" spans="3:17" x14ac:dyDescent="0.25">
      <c r="C1424" s="199"/>
      <c r="D1424" s="112"/>
      <c r="E1424" s="33"/>
      <c r="F1424" s="105"/>
      <c r="H1424" s="116"/>
      <c r="I1424" s="26"/>
      <c r="J1424" s="98"/>
      <c r="K1424" s="36"/>
      <c r="L1424" s="26"/>
      <c r="M1424" s="26"/>
      <c r="N1424" s="26"/>
      <c r="O1424" s="93"/>
      <c r="P1424" s="95"/>
      <c r="Q1424" s="197"/>
    </row>
    <row r="1425" spans="3:17" x14ac:dyDescent="0.25">
      <c r="C1425" s="199"/>
      <c r="D1425" s="112"/>
      <c r="E1425" s="33"/>
      <c r="F1425" s="105"/>
      <c r="H1425" s="116"/>
      <c r="I1425" s="26"/>
      <c r="J1425" s="98"/>
      <c r="K1425" s="36"/>
      <c r="L1425" s="26"/>
      <c r="M1425" s="26"/>
      <c r="N1425" s="26"/>
      <c r="O1425" s="93"/>
      <c r="P1425" s="95"/>
      <c r="Q1425" s="197"/>
    </row>
    <row r="1426" spans="3:17" x14ac:dyDescent="0.25">
      <c r="C1426" s="199"/>
      <c r="D1426" s="112"/>
      <c r="E1426" s="33"/>
      <c r="F1426" s="105"/>
      <c r="H1426" s="116"/>
      <c r="I1426" s="26"/>
      <c r="J1426" s="98"/>
      <c r="K1426" s="36"/>
      <c r="L1426" s="26"/>
      <c r="M1426" s="26"/>
      <c r="N1426" s="26"/>
      <c r="O1426" s="93"/>
      <c r="P1426" s="95"/>
      <c r="Q1426" s="197"/>
    </row>
    <row r="1427" spans="3:17" x14ac:dyDescent="0.25">
      <c r="C1427" s="199"/>
      <c r="D1427" s="112"/>
      <c r="E1427" s="33"/>
      <c r="F1427" s="105"/>
      <c r="H1427" s="116"/>
      <c r="I1427" s="26"/>
      <c r="J1427" s="98"/>
      <c r="K1427" s="36"/>
      <c r="L1427" s="26"/>
      <c r="M1427" s="26"/>
      <c r="N1427" s="26"/>
      <c r="O1427" s="93"/>
      <c r="P1427" s="95"/>
      <c r="Q1427" s="197"/>
    </row>
    <row r="1428" spans="3:17" x14ac:dyDescent="0.25">
      <c r="C1428" s="199"/>
      <c r="D1428" s="112"/>
      <c r="E1428" s="33"/>
      <c r="F1428" s="105"/>
      <c r="H1428" s="116"/>
      <c r="I1428" s="26"/>
      <c r="J1428" s="98"/>
      <c r="K1428" s="36"/>
      <c r="L1428" s="26"/>
      <c r="M1428" s="26"/>
      <c r="N1428" s="26"/>
      <c r="O1428" s="93"/>
      <c r="P1428" s="95"/>
      <c r="Q1428" s="197"/>
    </row>
    <row r="1429" spans="3:17" x14ac:dyDescent="0.25">
      <c r="C1429" s="199"/>
      <c r="D1429" s="112"/>
      <c r="E1429" s="33"/>
      <c r="F1429" s="105"/>
      <c r="H1429" s="116"/>
      <c r="I1429" s="26"/>
      <c r="J1429" s="98"/>
      <c r="K1429" s="36"/>
      <c r="L1429" s="26"/>
      <c r="M1429" s="26"/>
      <c r="N1429" s="26"/>
      <c r="O1429" s="93"/>
      <c r="P1429" s="95"/>
      <c r="Q1429" s="197"/>
    </row>
    <row r="1430" spans="3:17" x14ac:dyDescent="0.25">
      <c r="C1430" s="199"/>
      <c r="D1430" s="112"/>
      <c r="E1430" s="33"/>
      <c r="F1430" s="105"/>
      <c r="H1430" s="116"/>
      <c r="I1430" s="26"/>
      <c r="J1430" s="98"/>
      <c r="K1430" s="36"/>
      <c r="L1430" s="26"/>
      <c r="M1430" s="26"/>
      <c r="N1430" s="26"/>
      <c r="O1430" s="93"/>
      <c r="P1430" s="95"/>
      <c r="Q1430" s="197"/>
    </row>
    <row r="1431" spans="3:17" x14ac:dyDescent="0.25">
      <c r="C1431" s="199"/>
      <c r="D1431" s="112"/>
      <c r="E1431" s="33"/>
      <c r="F1431" s="105"/>
      <c r="H1431" s="116"/>
      <c r="I1431" s="26"/>
      <c r="J1431" s="98"/>
      <c r="K1431" s="36"/>
      <c r="L1431" s="26"/>
      <c r="M1431" s="26"/>
      <c r="N1431" s="26"/>
      <c r="O1431" s="93"/>
      <c r="P1431" s="95"/>
      <c r="Q1431" s="197"/>
    </row>
    <row r="1432" spans="3:17" x14ac:dyDescent="0.25">
      <c r="C1432" s="199"/>
      <c r="D1432" s="112"/>
      <c r="E1432" s="33"/>
      <c r="F1432" s="105"/>
      <c r="H1432" s="116"/>
      <c r="I1432" s="26"/>
      <c r="J1432" s="98"/>
      <c r="K1432" s="36"/>
      <c r="L1432" s="26"/>
      <c r="M1432" s="26"/>
      <c r="N1432" s="26"/>
      <c r="O1432" s="93"/>
      <c r="P1432" s="95"/>
      <c r="Q1432" s="197"/>
    </row>
    <row r="1433" spans="3:17" x14ac:dyDescent="0.25">
      <c r="C1433" s="199"/>
      <c r="D1433" s="112"/>
      <c r="E1433" s="33"/>
      <c r="F1433" s="105"/>
      <c r="H1433" s="116"/>
      <c r="I1433" s="26"/>
      <c r="J1433" s="98"/>
      <c r="K1433" s="36"/>
      <c r="L1433" s="26"/>
      <c r="M1433" s="26"/>
      <c r="N1433" s="26"/>
      <c r="O1433" s="93"/>
      <c r="P1433" s="95"/>
      <c r="Q1433" s="197"/>
    </row>
    <row r="1434" spans="3:17" x14ac:dyDescent="0.25">
      <c r="C1434" s="199"/>
      <c r="D1434" s="112"/>
      <c r="E1434" s="33"/>
      <c r="F1434" s="105"/>
      <c r="H1434" s="116"/>
      <c r="I1434" s="26"/>
      <c r="J1434" s="98"/>
      <c r="K1434" s="36"/>
      <c r="L1434" s="26"/>
      <c r="M1434" s="26"/>
      <c r="N1434" s="26"/>
      <c r="O1434" s="93"/>
      <c r="P1434" s="95"/>
      <c r="Q1434" s="197"/>
    </row>
    <row r="1435" spans="3:17" x14ac:dyDescent="0.25">
      <c r="C1435" s="199"/>
      <c r="D1435" s="112"/>
      <c r="E1435" s="33"/>
      <c r="F1435" s="105"/>
      <c r="H1435" s="116"/>
      <c r="I1435" s="26"/>
      <c r="J1435" s="98"/>
      <c r="K1435" s="36"/>
      <c r="L1435" s="26"/>
      <c r="M1435" s="26"/>
      <c r="N1435" s="26"/>
      <c r="O1435" s="93"/>
      <c r="P1435" s="95"/>
      <c r="Q1435" s="197"/>
    </row>
    <row r="1436" spans="3:17" x14ac:dyDescent="0.25">
      <c r="C1436" s="199"/>
      <c r="D1436" s="112"/>
      <c r="E1436" s="33"/>
      <c r="F1436" s="105"/>
      <c r="H1436" s="116"/>
      <c r="I1436" s="26"/>
      <c r="J1436" s="98"/>
      <c r="K1436" s="36"/>
      <c r="L1436" s="26"/>
      <c r="M1436" s="26"/>
      <c r="N1436" s="26"/>
      <c r="O1436" s="93"/>
      <c r="P1436" s="95"/>
      <c r="Q1436" s="197"/>
    </row>
    <row r="1437" spans="3:17" x14ac:dyDescent="0.25">
      <c r="C1437" s="199"/>
      <c r="D1437" s="112"/>
      <c r="E1437" s="33"/>
      <c r="F1437" s="105"/>
      <c r="H1437" s="116"/>
      <c r="I1437" s="26"/>
      <c r="J1437" s="98"/>
      <c r="K1437" s="36"/>
      <c r="L1437" s="26"/>
      <c r="M1437" s="26"/>
      <c r="N1437" s="26"/>
      <c r="O1437" s="93"/>
      <c r="P1437" s="95"/>
      <c r="Q1437" s="197"/>
    </row>
    <row r="1438" spans="3:17" x14ac:dyDescent="0.25">
      <c r="C1438" s="199"/>
      <c r="D1438" s="112"/>
      <c r="E1438" s="33"/>
      <c r="F1438" s="105"/>
      <c r="H1438" s="116"/>
      <c r="I1438" s="26"/>
      <c r="J1438" s="98"/>
      <c r="K1438" s="36"/>
      <c r="L1438" s="26"/>
      <c r="M1438" s="26"/>
      <c r="N1438" s="26"/>
      <c r="O1438" s="93"/>
      <c r="P1438" s="95"/>
      <c r="Q1438" s="197"/>
    </row>
    <row r="1439" spans="3:17" x14ac:dyDescent="0.25">
      <c r="C1439" s="199"/>
      <c r="D1439" s="112"/>
      <c r="E1439" s="33"/>
      <c r="F1439" s="105"/>
      <c r="H1439" s="116"/>
      <c r="I1439" s="26"/>
      <c r="J1439" s="98"/>
      <c r="K1439" s="36"/>
      <c r="L1439" s="26"/>
      <c r="M1439" s="26"/>
      <c r="N1439" s="26"/>
      <c r="O1439" s="93"/>
      <c r="P1439" s="95"/>
      <c r="Q1439" s="197"/>
    </row>
    <row r="1440" spans="3:17" x14ac:dyDescent="0.25">
      <c r="C1440" s="199"/>
      <c r="D1440" s="112"/>
      <c r="E1440" s="33"/>
      <c r="F1440" s="105"/>
      <c r="H1440" s="116"/>
      <c r="I1440" s="26"/>
      <c r="J1440" s="98"/>
      <c r="K1440" s="36"/>
      <c r="L1440" s="26"/>
      <c r="M1440" s="26"/>
      <c r="N1440" s="26"/>
      <c r="O1440" s="93"/>
      <c r="P1440" s="95"/>
      <c r="Q1440" s="197"/>
    </row>
    <row r="1441" spans="3:17" x14ac:dyDescent="0.25">
      <c r="C1441" s="199"/>
      <c r="D1441" s="112"/>
      <c r="E1441" s="33"/>
      <c r="F1441" s="105"/>
      <c r="H1441" s="116"/>
      <c r="I1441" s="26"/>
      <c r="J1441" s="98"/>
      <c r="K1441" s="36"/>
      <c r="L1441" s="26"/>
      <c r="M1441" s="26"/>
      <c r="N1441" s="26"/>
      <c r="O1441" s="93"/>
      <c r="P1441" s="95"/>
      <c r="Q1441" s="197"/>
    </row>
    <row r="1442" spans="3:17" x14ac:dyDescent="0.25">
      <c r="C1442" s="199"/>
      <c r="D1442" s="112"/>
      <c r="E1442" s="33"/>
      <c r="F1442" s="105"/>
      <c r="H1442" s="116"/>
      <c r="I1442" s="26"/>
      <c r="J1442" s="98"/>
      <c r="K1442" s="36"/>
      <c r="L1442" s="26"/>
      <c r="M1442" s="26"/>
      <c r="N1442" s="26"/>
      <c r="O1442" s="93"/>
      <c r="P1442" s="95"/>
      <c r="Q1442" s="197"/>
    </row>
    <row r="1443" spans="3:17" x14ac:dyDescent="0.25">
      <c r="C1443" s="199"/>
      <c r="D1443" s="112"/>
      <c r="E1443" s="33"/>
      <c r="F1443" s="105"/>
      <c r="H1443" s="116"/>
      <c r="I1443" s="26"/>
      <c r="J1443" s="98"/>
      <c r="K1443" s="36"/>
      <c r="L1443" s="26"/>
      <c r="M1443" s="26"/>
      <c r="N1443" s="26"/>
      <c r="O1443" s="93"/>
      <c r="P1443" s="95"/>
      <c r="Q1443" s="197"/>
    </row>
    <row r="1444" spans="3:17" x14ac:dyDescent="0.25">
      <c r="C1444" s="199"/>
      <c r="D1444" s="112"/>
      <c r="E1444" s="33"/>
      <c r="F1444" s="105"/>
      <c r="H1444" s="116"/>
      <c r="I1444" s="26"/>
      <c r="J1444" s="98"/>
      <c r="K1444" s="36"/>
      <c r="L1444" s="26"/>
      <c r="M1444" s="26"/>
      <c r="N1444" s="26"/>
      <c r="O1444" s="93"/>
      <c r="P1444" s="95"/>
      <c r="Q1444" s="197"/>
    </row>
    <row r="1445" spans="3:17" x14ac:dyDescent="0.25">
      <c r="C1445" s="199"/>
      <c r="D1445" s="112"/>
      <c r="E1445" s="33"/>
      <c r="F1445" s="105"/>
      <c r="H1445" s="116"/>
      <c r="I1445" s="26"/>
      <c r="J1445" s="98"/>
      <c r="K1445" s="36"/>
      <c r="L1445" s="26"/>
      <c r="M1445" s="26"/>
      <c r="N1445" s="26"/>
      <c r="O1445" s="93"/>
      <c r="P1445" s="95"/>
      <c r="Q1445" s="197"/>
    </row>
    <row r="1446" spans="3:17" x14ac:dyDescent="0.25">
      <c r="C1446" s="199"/>
      <c r="D1446" s="112"/>
      <c r="E1446" s="33"/>
      <c r="F1446" s="105"/>
      <c r="H1446" s="116"/>
      <c r="I1446" s="26"/>
      <c r="J1446" s="98"/>
      <c r="K1446" s="36"/>
      <c r="L1446" s="26"/>
      <c r="M1446" s="26"/>
      <c r="N1446" s="26"/>
      <c r="O1446" s="93"/>
      <c r="P1446" s="95"/>
      <c r="Q1446" s="197"/>
    </row>
    <row r="1447" spans="3:17" x14ac:dyDescent="0.25">
      <c r="C1447" s="199"/>
      <c r="D1447" s="112"/>
      <c r="E1447" s="33"/>
      <c r="F1447" s="105"/>
      <c r="H1447" s="116"/>
      <c r="I1447" s="26"/>
      <c r="J1447" s="98"/>
      <c r="K1447" s="36"/>
      <c r="L1447" s="26"/>
      <c r="M1447" s="26"/>
      <c r="N1447" s="26"/>
      <c r="O1447" s="93"/>
      <c r="P1447" s="95"/>
      <c r="Q1447" s="197"/>
    </row>
    <row r="1448" spans="3:17" x14ac:dyDescent="0.25">
      <c r="C1448" s="199"/>
      <c r="D1448" s="112"/>
      <c r="E1448" s="33"/>
      <c r="F1448" s="105"/>
      <c r="H1448" s="116"/>
      <c r="I1448" s="26"/>
      <c r="J1448" s="98"/>
      <c r="K1448" s="36"/>
      <c r="L1448" s="26"/>
      <c r="M1448" s="26"/>
      <c r="N1448" s="26"/>
      <c r="O1448" s="93"/>
      <c r="P1448" s="95"/>
      <c r="Q1448" s="197"/>
    </row>
    <row r="1449" spans="3:17" x14ac:dyDescent="0.25">
      <c r="C1449" s="199"/>
      <c r="D1449" s="112"/>
      <c r="E1449" s="33"/>
      <c r="F1449" s="105"/>
      <c r="H1449" s="116"/>
      <c r="I1449" s="26"/>
      <c r="J1449" s="98"/>
      <c r="K1449" s="36"/>
      <c r="L1449" s="26"/>
      <c r="M1449" s="26"/>
      <c r="N1449" s="26"/>
      <c r="O1449" s="93"/>
      <c r="P1449" s="95"/>
      <c r="Q1449" s="197"/>
    </row>
    <row r="1450" spans="3:17" x14ac:dyDescent="0.25">
      <c r="C1450" s="199"/>
      <c r="D1450" s="112"/>
      <c r="E1450" s="33"/>
      <c r="F1450" s="105"/>
      <c r="H1450" s="116"/>
      <c r="I1450" s="26"/>
      <c r="J1450" s="98"/>
      <c r="K1450" s="36"/>
      <c r="L1450" s="26"/>
      <c r="M1450" s="26"/>
      <c r="N1450" s="26"/>
      <c r="O1450" s="93"/>
      <c r="P1450" s="95"/>
      <c r="Q1450" s="197"/>
    </row>
    <row r="1451" spans="3:17" x14ac:dyDescent="0.25">
      <c r="C1451" s="199"/>
      <c r="D1451" s="112"/>
      <c r="E1451" s="33"/>
      <c r="F1451" s="105"/>
      <c r="H1451" s="116"/>
      <c r="I1451" s="26"/>
      <c r="J1451" s="98"/>
      <c r="K1451" s="36"/>
      <c r="L1451" s="26"/>
      <c r="M1451" s="26"/>
      <c r="N1451" s="26"/>
      <c r="O1451" s="93"/>
      <c r="P1451" s="95"/>
      <c r="Q1451" s="197"/>
    </row>
    <row r="1452" spans="3:17" x14ac:dyDescent="0.25">
      <c r="C1452" s="199"/>
      <c r="D1452" s="112"/>
      <c r="E1452" s="33"/>
      <c r="F1452" s="105"/>
      <c r="H1452" s="116"/>
      <c r="I1452" s="26"/>
      <c r="J1452" s="98"/>
      <c r="K1452" s="36"/>
      <c r="L1452" s="26"/>
      <c r="M1452" s="26"/>
      <c r="N1452" s="26"/>
      <c r="O1452" s="93"/>
      <c r="P1452" s="95"/>
      <c r="Q1452" s="197"/>
    </row>
    <row r="1453" spans="3:17" x14ac:dyDescent="0.25">
      <c r="C1453" s="199"/>
      <c r="D1453" s="112"/>
      <c r="E1453" s="33"/>
      <c r="F1453" s="105"/>
      <c r="H1453" s="116"/>
      <c r="I1453" s="26"/>
      <c r="J1453" s="98"/>
      <c r="K1453" s="36"/>
      <c r="L1453" s="26"/>
      <c r="M1453" s="26"/>
      <c r="N1453" s="26"/>
      <c r="O1453" s="93"/>
      <c r="P1453" s="95"/>
      <c r="Q1453" s="197"/>
    </row>
    <row r="1454" spans="3:17" x14ac:dyDescent="0.25">
      <c r="C1454" s="199"/>
      <c r="D1454" s="112"/>
      <c r="E1454" s="33"/>
      <c r="F1454" s="105"/>
      <c r="H1454" s="116"/>
      <c r="I1454" s="26"/>
      <c r="J1454" s="98"/>
      <c r="K1454" s="36"/>
      <c r="L1454" s="26"/>
      <c r="M1454" s="26"/>
      <c r="N1454" s="26"/>
      <c r="O1454" s="93"/>
      <c r="P1454" s="95"/>
      <c r="Q1454" s="197"/>
    </row>
    <row r="1455" spans="3:17" x14ac:dyDescent="0.25">
      <c r="C1455" s="199"/>
      <c r="D1455" s="112"/>
      <c r="E1455" s="33"/>
      <c r="F1455" s="105"/>
      <c r="H1455" s="116"/>
      <c r="I1455" s="26"/>
      <c r="J1455" s="98"/>
      <c r="K1455" s="36"/>
      <c r="L1455" s="26"/>
      <c r="M1455" s="26"/>
      <c r="N1455" s="26"/>
      <c r="O1455" s="93"/>
      <c r="P1455" s="95"/>
      <c r="Q1455" s="197"/>
    </row>
    <row r="1456" spans="3:17" x14ac:dyDescent="0.25">
      <c r="C1456" s="199"/>
      <c r="D1456" s="112"/>
      <c r="E1456" s="33"/>
      <c r="F1456" s="105"/>
      <c r="H1456" s="116"/>
      <c r="I1456" s="26"/>
      <c r="J1456" s="98"/>
      <c r="K1456" s="36"/>
      <c r="L1456" s="26"/>
      <c r="M1456" s="26"/>
      <c r="N1456" s="26"/>
      <c r="O1456" s="93"/>
      <c r="P1456" s="95"/>
      <c r="Q1456" s="197"/>
    </row>
    <row r="1457" spans="3:17" x14ac:dyDescent="0.25">
      <c r="C1457" s="199"/>
      <c r="D1457" s="112"/>
      <c r="E1457" s="33"/>
      <c r="F1457" s="105"/>
      <c r="H1457" s="116"/>
      <c r="I1457" s="26"/>
      <c r="J1457" s="98"/>
      <c r="K1457" s="36"/>
      <c r="L1457" s="26"/>
      <c r="M1457" s="26"/>
      <c r="N1457" s="26"/>
      <c r="O1457" s="93"/>
      <c r="P1457" s="95"/>
      <c r="Q1457" s="197"/>
    </row>
    <row r="1458" spans="3:17" x14ac:dyDescent="0.25">
      <c r="C1458" s="199"/>
      <c r="D1458" s="112"/>
      <c r="E1458" s="33"/>
      <c r="F1458" s="105"/>
      <c r="H1458" s="116"/>
      <c r="I1458" s="26"/>
      <c r="J1458" s="98"/>
      <c r="K1458" s="36"/>
      <c r="L1458" s="26"/>
      <c r="M1458" s="26"/>
      <c r="N1458" s="26"/>
      <c r="O1458" s="93"/>
      <c r="P1458" s="95"/>
      <c r="Q1458" s="197"/>
    </row>
    <row r="1459" spans="3:17" x14ac:dyDescent="0.25">
      <c r="C1459" s="199"/>
      <c r="D1459" s="112"/>
      <c r="E1459" s="33"/>
      <c r="F1459" s="105"/>
      <c r="H1459" s="116"/>
      <c r="I1459" s="26"/>
      <c r="J1459" s="98"/>
      <c r="K1459" s="36"/>
      <c r="L1459" s="26"/>
      <c r="M1459" s="26"/>
      <c r="N1459" s="26"/>
      <c r="O1459" s="93"/>
      <c r="P1459" s="95"/>
      <c r="Q1459" s="197"/>
    </row>
    <row r="1460" spans="3:17" x14ac:dyDescent="0.25">
      <c r="C1460" s="199"/>
      <c r="D1460" s="112"/>
      <c r="E1460" s="33"/>
      <c r="F1460" s="105"/>
      <c r="H1460" s="116"/>
      <c r="I1460" s="26"/>
      <c r="J1460" s="98"/>
      <c r="K1460" s="36"/>
      <c r="L1460" s="26"/>
      <c r="M1460" s="26"/>
      <c r="N1460" s="26"/>
      <c r="O1460" s="93"/>
      <c r="P1460" s="95"/>
      <c r="Q1460" s="197"/>
    </row>
    <row r="1461" spans="3:17" x14ac:dyDescent="0.25">
      <c r="C1461" s="199"/>
      <c r="D1461" s="112"/>
      <c r="E1461" s="33"/>
      <c r="F1461" s="105"/>
      <c r="H1461" s="116"/>
      <c r="I1461" s="26"/>
      <c r="J1461" s="98"/>
      <c r="K1461" s="36"/>
      <c r="L1461" s="26"/>
      <c r="M1461" s="26"/>
      <c r="N1461" s="26"/>
      <c r="O1461" s="93"/>
      <c r="P1461" s="95"/>
      <c r="Q1461" s="197"/>
    </row>
    <row r="1462" spans="3:17" x14ac:dyDescent="0.25">
      <c r="C1462" s="199"/>
      <c r="D1462" s="112"/>
      <c r="E1462" s="33"/>
      <c r="F1462" s="105"/>
      <c r="H1462" s="116"/>
      <c r="I1462" s="26"/>
      <c r="J1462" s="98"/>
      <c r="K1462" s="36"/>
      <c r="L1462" s="26"/>
      <c r="M1462" s="26"/>
      <c r="N1462" s="26"/>
      <c r="O1462" s="93"/>
      <c r="P1462" s="95"/>
      <c r="Q1462" s="197"/>
    </row>
    <row r="1463" spans="3:17" x14ac:dyDescent="0.25">
      <c r="C1463" s="199"/>
      <c r="D1463" s="112"/>
      <c r="E1463" s="33"/>
      <c r="F1463" s="105"/>
      <c r="H1463" s="116"/>
      <c r="I1463" s="26"/>
      <c r="J1463" s="98"/>
      <c r="K1463" s="36"/>
      <c r="L1463" s="26"/>
      <c r="M1463" s="26"/>
      <c r="N1463" s="26"/>
      <c r="O1463" s="93"/>
      <c r="P1463" s="95"/>
      <c r="Q1463" s="197"/>
    </row>
    <row r="1464" spans="3:17" x14ac:dyDescent="0.25">
      <c r="C1464" s="199"/>
      <c r="D1464" s="112"/>
      <c r="E1464" s="33"/>
      <c r="F1464" s="105"/>
      <c r="H1464" s="116"/>
      <c r="I1464" s="26"/>
      <c r="J1464" s="98"/>
      <c r="K1464" s="36"/>
      <c r="L1464" s="26"/>
      <c r="M1464" s="26"/>
      <c r="N1464" s="26"/>
      <c r="O1464" s="93"/>
      <c r="P1464" s="95"/>
      <c r="Q1464" s="197"/>
    </row>
    <row r="1465" spans="3:17" x14ac:dyDescent="0.25">
      <c r="C1465" s="199"/>
      <c r="D1465" s="112"/>
      <c r="E1465" s="33"/>
      <c r="F1465" s="105"/>
      <c r="H1465" s="116"/>
      <c r="I1465" s="26"/>
      <c r="J1465" s="98"/>
      <c r="K1465" s="36"/>
      <c r="L1465" s="26"/>
      <c r="M1465" s="26"/>
      <c r="N1465" s="26"/>
      <c r="O1465" s="93"/>
      <c r="P1465" s="95"/>
      <c r="Q1465" s="197"/>
    </row>
    <row r="1466" spans="3:17" x14ac:dyDescent="0.25">
      <c r="C1466" s="199"/>
      <c r="D1466" s="112"/>
      <c r="E1466" s="33"/>
      <c r="F1466" s="105"/>
      <c r="H1466" s="116"/>
      <c r="I1466" s="26"/>
      <c r="J1466" s="98"/>
      <c r="K1466" s="36"/>
      <c r="L1466" s="26"/>
      <c r="M1466" s="26"/>
      <c r="N1466" s="26"/>
      <c r="O1466" s="93"/>
      <c r="P1466" s="95"/>
      <c r="Q1466" s="197"/>
    </row>
    <row r="1467" spans="3:17" x14ac:dyDescent="0.25">
      <c r="C1467" s="199"/>
      <c r="D1467" s="112"/>
      <c r="E1467" s="33"/>
      <c r="F1467" s="105"/>
      <c r="H1467" s="116"/>
      <c r="I1467" s="26"/>
      <c r="J1467" s="98"/>
      <c r="K1467" s="36"/>
      <c r="L1467" s="26"/>
      <c r="M1467" s="26"/>
      <c r="N1467" s="26"/>
      <c r="O1467" s="93"/>
      <c r="P1467" s="95"/>
      <c r="Q1467" s="197"/>
    </row>
    <row r="1468" spans="3:17" x14ac:dyDescent="0.25">
      <c r="C1468" s="199"/>
      <c r="D1468" s="112"/>
      <c r="E1468" s="33"/>
      <c r="F1468" s="105"/>
      <c r="H1468" s="116"/>
      <c r="I1468" s="26"/>
      <c r="J1468" s="98"/>
      <c r="K1468" s="36"/>
      <c r="L1468" s="26"/>
      <c r="M1468" s="26"/>
      <c r="N1468" s="26"/>
      <c r="O1468" s="93"/>
      <c r="P1468" s="95"/>
      <c r="Q1468" s="197"/>
    </row>
    <row r="1469" spans="3:17" x14ac:dyDescent="0.25">
      <c r="C1469" s="199"/>
      <c r="D1469" s="112"/>
      <c r="E1469" s="33"/>
      <c r="F1469" s="105"/>
      <c r="H1469" s="116"/>
      <c r="I1469" s="26"/>
      <c r="J1469" s="98"/>
      <c r="K1469" s="36"/>
      <c r="L1469" s="26"/>
      <c r="M1469" s="26"/>
      <c r="N1469" s="26"/>
      <c r="O1469" s="93"/>
      <c r="P1469" s="95"/>
      <c r="Q1469" s="197"/>
    </row>
    <row r="1470" spans="3:17" x14ac:dyDescent="0.25">
      <c r="C1470" s="199"/>
      <c r="D1470" s="112"/>
      <c r="E1470" s="33"/>
      <c r="F1470" s="105"/>
      <c r="H1470" s="116"/>
      <c r="I1470" s="26"/>
      <c r="J1470" s="98"/>
      <c r="K1470" s="36"/>
      <c r="L1470" s="26"/>
      <c r="M1470" s="26"/>
      <c r="N1470" s="26"/>
      <c r="O1470" s="93"/>
      <c r="P1470" s="95"/>
      <c r="Q1470" s="197"/>
    </row>
    <row r="1471" spans="3:17" x14ac:dyDescent="0.25">
      <c r="C1471" s="199"/>
      <c r="D1471" s="112"/>
      <c r="E1471" s="33"/>
      <c r="F1471" s="105"/>
      <c r="H1471" s="116"/>
      <c r="I1471" s="26"/>
      <c r="J1471" s="98"/>
      <c r="K1471" s="36"/>
      <c r="L1471" s="26"/>
      <c r="M1471" s="26"/>
      <c r="N1471" s="26"/>
      <c r="O1471" s="93"/>
      <c r="P1471" s="95"/>
      <c r="Q1471" s="197"/>
    </row>
    <row r="1472" spans="3:17" x14ac:dyDescent="0.25">
      <c r="C1472" s="199"/>
      <c r="D1472" s="112"/>
      <c r="E1472" s="33"/>
      <c r="F1472" s="105"/>
      <c r="H1472" s="116"/>
      <c r="I1472" s="26"/>
      <c r="J1472" s="98"/>
      <c r="K1472" s="36"/>
      <c r="L1472" s="26"/>
      <c r="M1472" s="26"/>
      <c r="N1472" s="26"/>
      <c r="O1472" s="93"/>
      <c r="P1472" s="95"/>
      <c r="Q1472" s="197"/>
    </row>
    <row r="1473" spans="3:17" x14ac:dyDescent="0.25">
      <c r="C1473" s="199"/>
      <c r="D1473" s="112"/>
      <c r="E1473" s="33"/>
      <c r="F1473" s="105"/>
      <c r="H1473" s="116"/>
      <c r="I1473" s="26"/>
      <c r="J1473" s="98"/>
      <c r="K1473" s="36"/>
      <c r="L1473" s="26"/>
      <c r="M1473" s="26"/>
      <c r="N1473" s="26"/>
      <c r="O1473" s="93"/>
      <c r="P1473" s="95"/>
      <c r="Q1473" s="197"/>
    </row>
    <row r="1474" spans="3:17" x14ac:dyDescent="0.25">
      <c r="C1474" s="199"/>
      <c r="D1474" s="112"/>
      <c r="E1474" s="33"/>
      <c r="F1474" s="105"/>
      <c r="H1474" s="116"/>
      <c r="I1474" s="26"/>
      <c r="J1474" s="98"/>
      <c r="K1474" s="36"/>
      <c r="L1474" s="26"/>
      <c r="M1474" s="26"/>
      <c r="N1474" s="26"/>
      <c r="O1474" s="93"/>
      <c r="P1474" s="95"/>
      <c r="Q1474" s="197"/>
    </row>
    <row r="1475" spans="3:17" x14ac:dyDescent="0.25">
      <c r="C1475" s="199"/>
      <c r="D1475" s="112"/>
      <c r="E1475" s="33"/>
      <c r="F1475" s="105"/>
      <c r="H1475" s="116"/>
      <c r="I1475" s="26"/>
      <c r="J1475" s="98"/>
      <c r="K1475" s="36"/>
      <c r="L1475" s="26"/>
      <c r="M1475" s="26"/>
      <c r="N1475" s="26"/>
      <c r="O1475" s="93"/>
      <c r="P1475" s="95"/>
      <c r="Q1475" s="197"/>
    </row>
    <row r="1476" spans="3:17" x14ac:dyDescent="0.25">
      <c r="C1476" s="199"/>
      <c r="D1476" s="112"/>
      <c r="E1476" s="33"/>
      <c r="F1476" s="105"/>
      <c r="H1476" s="116"/>
      <c r="I1476" s="26"/>
      <c r="J1476" s="98"/>
      <c r="K1476" s="36"/>
      <c r="L1476" s="26"/>
      <c r="M1476" s="26"/>
      <c r="N1476" s="26"/>
      <c r="O1476" s="93"/>
      <c r="P1476" s="95"/>
      <c r="Q1476" s="197"/>
    </row>
    <row r="1477" spans="3:17" x14ac:dyDescent="0.25">
      <c r="C1477" s="199"/>
      <c r="D1477" s="112"/>
      <c r="E1477" s="33"/>
      <c r="F1477" s="105"/>
      <c r="H1477" s="116"/>
      <c r="I1477" s="26"/>
      <c r="J1477" s="98"/>
      <c r="K1477" s="36"/>
      <c r="L1477" s="26"/>
      <c r="M1477" s="26"/>
      <c r="N1477" s="26"/>
      <c r="O1477" s="93"/>
      <c r="P1477" s="95"/>
      <c r="Q1477" s="197"/>
    </row>
    <row r="1478" spans="3:17" x14ac:dyDescent="0.25">
      <c r="C1478" s="199"/>
      <c r="D1478" s="112"/>
      <c r="E1478" s="33"/>
      <c r="F1478" s="105"/>
      <c r="H1478" s="116"/>
      <c r="I1478" s="26"/>
      <c r="J1478" s="98"/>
      <c r="K1478" s="36"/>
      <c r="L1478" s="26"/>
      <c r="M1478" s="26"/>
      <c r="N1478" s="26"/>
      <c r="O1478" s="93"/>
      <c r="P1478" s="95"/>
      <c r="Q1478" s="197"/>
    </row>
    <row r="1479" spans="3:17" x14ac:dyDescent="0.25">
      <c r="C1479" s="199"/>
      <c r="D1479" s="112"/>
      <c r="E1479" s="33"/>
      <c r="F1479" s="105"/>
      <c r="H1479" s="116"/>
      <c r="I1479" s="26"/>
      <c r="J1479" s="98"/>
      <c r="K1479" s="36"/>
      <c r="L1479" s="26"/>
      <c r="M1479" s="26"/>
      <c r="N1479" s="26"/>
      <c r="O1479" s="93"/>
      <c r="P1479" s="95"/>
      <c r="Q1479" s="197"/>
    </row>
    <row r="1480" spans="3:17" x14ac:dyDescent="0.25">
      <c r="C1480" s="199"/>
      <c r="D1480" s="112"/>
      <c r="E1480" s="33"/>
      <c r="F1480" s="105"/>
      <c r="H1480" s="116"/>
      <c r="I1480" s="26"/>
      <c r="J1480" s="98"/>
      <c r="K1480" s="36"/>
      <c r="L1480" s="26"/>
      <c r="M1480" s="26"/>
      <c r="N1480" s="26"/>
      <c r="O1480" s="93"/>
      <c r="P1480" s="95"/>
      <c r="Q1480" s="197"/>
    </row>
    <row r="1481" spans="3:17" x14ac:dyDescent="0.25">
      <c r="C1481" s="199"/>
      <c r="D1481" s="112"/>
      <c r="E1481" s="33"/>
      <c r="F1481" s="105"/>
      <c r="H1481" s="116"/>
      <c r="I1481" s="26"/>
      <c r="J1481" s="98"/>
      <c r="K1481" s="36"/>
      <c r="L1481" s="26"/>
      <c r="M1481" s="26"/>
      <c r="N1481" s="26"/>
      <c r="O1481" s="93"/>
      <c r="P1481" s="95"/>
      <c r="Q1481" s="197"/>
    </row>
    <row r="1482" spans="3:17" x14ac:dyDescent="0.25">
      <c r="C1482" s="199"/>
      <c r="D1482" s="112"/>
      <c r="E1482" s="33"/>
      <c r="F1482" s="105"/>
      <c r="H1482" s="116"/>
      <c r="I1482" s="26"/>
      <c r="J1482" s="98"/>
      <c r="K1482" s="36"/>
      <c r="L1482" s="26"/>
      <c r="M1482" s="26"/>
      <c r="N1482" s="26"/>
      <c r="O1482" s="93"/>
      <c r="P1482" s="95"/>
      <c r="Q1482" s="197"/>
    </row>
    <row r="1483" spans="3:17" x14ac:dyDescent="0.25">
      <c r="C1483" s="199"/>
      <c r="D1483" s="112"/>
      <c r="E1483" s="33"/>
      <c r="F1483" s="105"/>
      <c r="H1483" s="116"/>
      <c r="I1483" s="26"/>
      <c r="J1483" s="98"/>
      <c r="K1483" s="36"/>
      <c r="L1483" s="26"/>
      <c r="M1483" s="26"/>
      <c r="N1483" s="26"/>
      <c r="O1483" s="93"/>
      <c r="P1483" s="95"/>
      <c r="Q1483" s="197"/>
    </row>
    <row r="1484" spans="3:17" x14ac:dyDescent="0.25">
      <c r="C1484" s="199"/>
      <c r="D1484" s="112"/>
      <c r="E1484" s="33"/>
      <c r="F1484" s="105"/>
      <c r="H1484" s="116"/>
      <c r="I1484" s="26"/>
      <c r="J1484" s="98"/>
      <c r="K1484" s="36"/>
      <c r="L1484" s="26"/>
      <c r="M1484" s="26"/>
      <c r="N1484" s="26"/>
      <c r="O1484" s="93"/>
      <c r="P1484" s="95"/>
      <c r="Q1484" s="197"/>
    </row>
    <row r="1485" spans="3:17" x14ac:dyDescent="0.25">
      <c r="C1485" s="199"/>
      <c r="D1485" s="112"/>
      <c r="E1485" s="33"/>
      <c r="F1485" s="105"/>
      <c r="H1485" s="116"/>
      <c r="I1485" s="26"/>
      <c r="J1485" s="98"/>
      <c r="K1485" s="36"/>
      <c r="L1485" s="26"/>
      <c r="M1485" s="26"/>
      <c r="N1485" s="26"/>
      <c r="O1485" s="93"/>
      <c r="P1485" s="95"/>
      <c r="Q1485" s="197"/>
    </row>
    <row r="1486" spans="3:17" x14ac:dyDescent="0.25">
      <c r="C1486" s="199"/>
      <c r="D1486" s="112"/>
      <c r="E1486" s="33"/>
      <c r="F1486" s="105"/>
      <c r="H1486" s="116"/>
      <c r="I1486" s="26"/>
      <c r="J1486" s="98"/>
      <c r="K1486" s="36"/>
      <c r="L1486" s="26"/>
      <c r="M1486" s="26"/>
      <c r="N1486" s="26"/>
      <c r="O1486" s="93"/>
      <c r="P1486" s="95"/>
      <c r="Q1486" s="197"/>
    </row>
    <row r="1487" spans="3:17" x14ac:dyDescent="0.25">
      <c r="C1487" s="199"/>
      <c r="D1487" s="112"/>
      <c r="E1487" s="33"/>
      <c r="F1487" s="105"/>
      <c r="H1487" s="116"/>
      <c r="I1487" s="26"/>
      <c r="J1487" s="98"/>
      <c r="K1487" s="36"/>
      <c r="L1487" s="26"/>
      <c r="M1487" s="26"/>
      <c r="N1487" s="26"/>
      <c r="O1487" s="93"/>
      <c r="P1487" s="95"/>
      <c r="Q1487" s="197"/>
    </row>
    <row r="1488" spans="3:17" x14ac:dyDescent="0.25">
      <c r="C1488" s="199"/>
      <c r="D1488" s="112"/>
      <c r="E1488" s="33"/>
      <c r="F1488" s="105"/>
      <c r="H1488" s="116"/>
      <c r="I1488" s="26"/>
      <c r="J1488" s="98"/>
      <c r="K1488" s="36"/>
      <c r="L1488" s="26"/>
      <c r="M1488" s="26"/>
      <c r="N1488" s="26"/>
      <c r="O1488" s="93"/>
      <c r="P1488" s="95"/>
      <c r="Q1488" s="197"/>
    </row>
    <row r="1489" spans="3:17" x14ac:dyDescent="0.25">
      <c r="C1489" s="199"/>
      <c r="D1489" s="112"/>
      <c r="E1489" s="33"/>
      <c r="F1489" s="105"/>
      <c r="H1489" s="116"/>
      <c r="I1489" s="26"/>
      <c r="J1489" s="98"/>
      <c r="K1489" s="36"/>
      <c r="L1489" s="26"/>
      <c r="M1489" s="26"/>
      <c r="N1489" s="26"/>
      <c r="O1489" s="93"/>
      <c r="P1489" s="95"/>
      <c r="Q1489" s="197"/>
    </row>
    <row r="1490" spans="3:17" x14ac:dyDescent="0.25">
      <c r="C1490" s="199"/>
      <c r="D1490" s="112"/>
      <c r="E1490" s="33"/>
      <c r="F1490" s="105"/>
      <c r="H1490" s="116"/>
      <c r="I1490" s="26"/>
      <c r="J1490" s="98"/>
      <c r="K1490" s="36"/>
      <c r="L1490" s="26"/>
      <c r="M1490" s="26"/>
      <c r="N1490" s="26"/>
      <c r="O1490" s="93"/>
      <c r="P1490" s="95"/>
      <c r="Q1490" s="197"/>
    </row>
    <row r="1491" spans="3:17" x14ac:dyDescent="0.25">
      <c r="C1491" s="199"/>
      <c r="D1491" s="112"/>
      <c r="E1491" s="33"/>
      <c r="F1491" s="105"/>
      <c r="H1491" s="116"/>
      <c r="I1491" s="26"/>
      <c r="J1491" s="98"/>
      <c r="K1491" s="36"/>
      <c r="L1491" s="26"/>
      <c r="M1491" s="26"/>
      <c r="N1491" s="26"/>
      <c r="O1491" s="93"/>
      <c r="P1491" s="95"/>
      <c r="Q1491" s="197"/>
    </row>
    <row r="1492" spans="3:17" x14ac:dyDescent="0.25">
      <c r="C1492" s="199"/>
      <c r="D1492" s="112"/>
      <c r="E1492" s="33"/>
      <c r="F1492" s="105"/>
      <c r="H1492" s="116"/>
      <c r="I1492" s="26"/>
      <c r="J1492" s="98"/>
      <c r="K1492" s="36"/>
      <c r="L1492" s="26"/>
      <c r="M1492" s="26"/>
      <c r="N1492" s="26"/>
      <c r="O1492" s="93"/>
      <c r="P1492" s="95"/>
      <c r="Q1492" s="197"/>
    </row>
    <row r="1493" spans="3:17" x14ac:dyDescent="0.25">
      <c r="C1493" s="199"/>
      <c r="D1493" s="112"/>
      <c r="E1493" s="33"/>
      <c r="F1493" s="105"/>
      <c r="H1493" s="116"/>
      <c r="I1493" s="26"/>
      <c r="J1493" s="98"/>
      <c r="K1493" s="36"/>
      <c r="L1493" s="26"/>
      <c r="M1493" s="26"/>
      <c r="N1493" s="26"/>
      <c r="O1493" s="93"/>
      <c r="P1493" s="95"/>
      <c r="Q1493" s="197"/>
    </row>
    <row r="1494" spans="3:17" x14ac:dyDescent="0.25">
      <c r="C1494" s="199"/>
      <c r="D1494" s="112"/>
      <c r="E1494" s="33"/>
      <c r="F1494" s="105"/>
      <c r="H1494" s="116"/>
      <c r="I1494" s="26"/>
      <c r="J1494" s="98"/>
      <c r="K1494" s="36"/>
      <c r="L1494" s="26"/>
      <c r="M1494" s="26"/>
      <c r="N1494" s="26"/>
      <c r="O1494" s="93"/>
      <c r="P1494" s="95"/>
      <c r="Q1494" s="197"/>
    </row>
    <row r="1495" spans="3:17" x14ac:dyDescent="0.25">
      <c r="C1495" s="199"/>
      <c r="D1495" s="112"/>
      <c r="E1495" s="33"/>
      <c r="F1495" s="105"/>
      <c r="H1495" s="116"/>
      <c r="I1495" s="26"/>
      <c r="J1495" s="98"/>
      <c r="K1495" s="36"/>
      <c r="L1495" s="26"/>
      <c r="M1495" s="26"/>
      <c r="N1495" s="26"/>
      <c r="O1495" s="93"/>
      <c r="P1495" s="95"/>
      <c r="Q1495" s="197"/>
    </row>
    <row r="1496" spans="3:17" x14ac:dyDescent="0.25">
      <c r="C1496" s="199"/>
      <c r="D1496" s="112"/>
      <c r="E1496" s="33"/>
      <c r="F1496" s="105"/>
      <c r="H1496" s="116"/>
      <c r="I1496" s="26"/>
      <c r="J1496" s="98"/>
      <c r="K1496" s="36"/>
      <c r="L1496" s="26"/>
      <c r="M1496" s="26"/>
      <c r="N1496" s="26"/>
      <c r="O1496" s="93"/>
      <c r="P1496" s="95"/>
      <c r="Q1496" s="197"/>
    </row>
    <row r="1497" spans="3:17" x14ac:dyDescent="0.25">
      <c r="C1497" s="199"/>
      <c r="D1497" s="112"/>
      <c r="E1497" s="33"/>
      <c r="F1497" s="105"/>
      <c r="H1497" s="116"/>
      <c r="I1497" s="26"/>
      <c r="J1497" s="98"/>
      <c r="K1497" s="36"/>
      <c r="L1497" s="26"/>
      <c r="M1497" s="26"/>
      <c r="N1497" s="26"/>
      <c r="O1497" s="93"/>
      <c r="P1497" s="95"/>
      <c r="Q1497" s="197"/>
    </row>
    <row r="1498" spans="3:17" x14ac:dyDescent="0.25">
      <c r="C1498" s="199"/>
      <c r="D1498" s="112"/>
      <c r="E1498" s="33"/>
      <c r="F1498" s="105"/>
      <c r="H1498" s="116"/>
      <c r="I1498" s="26"/>
      <c r="J1498" s="98"/>
      <c r="K1498" s="36"/>
      <c r="L1498" s="26"/>
      <c r="M1498" s="26"/>
      <c r="N1498" s="26"/>
      <c r="O1498" s="93"/>
      <c r="P1498" s="95"/>
      <c r="Q1498" s="197"/>
    </row>
    <row r="1499" spans="3:17" x14ac:dyDescent="0.25">
      <c r="C1499" s="199"/>
      <c r="D1499" s="112"/>
      <c r="E1499" s="33"/>
      <c r="F1499" s="105"/>
      <c r="H1499" s="116"/>
      <c r="I1499" s="26"/>
      <c r="J1499" s="98"/>
      <c r="K1499" s="36"/>
      <c r="L1499" s="26"/>
      <c r="M1499" s="26"/>
      <c r="N1499" s="26"/>
      <c r="O1499" s="93"/>
      <c r="P1499" s="95"/>
      <c r="Q1499" s="197"/>
    </row>
    <row r="1500" spans="3:17" x14ac:dyDescent="0.25">
      <c r="C1500" s="199"/>
      <c r="D1500" s="112"/>
      <c r="E1500" s="33"/>
      <c r="F1500" s="105"/>
      <c r="H1500" s="116"/>
      <c r="I1500" s="26"/>
      <c r="J1500" s="98"/>
      <c r="K1500" s="36"/>
      <c r="L1500" s="26"/>
      <c r="M1500" s="26"/>
      <c r="N1500" s="26"/>
      <c r="O1500" s="93"/>
      <c r="P1500" s="95"/>
      <c r="Q1500" s="197"/>
    </row>
    <row r="1501" spans="3:17" x14ac:dyDescent="0.25">
      <c r="C1501" s="199"/>
      <c r="D1501" s="112"/>
      <c r="E1501" s="33"/>
      <c r="F1501" s="105"/>
      <c r="H1501" s="116"/>
      <c r="I1501" s="26"/>
      <c r="J1501" s="98"/>
      <c r="K1501" s="36"/>
      <c r="L1501" s="26"/>
      <c r="M1501" s="26"/>
      <c r="N1501" s="26"/>
      <c r="O1501" s="93"/>
      <c r="P1501" s="95"/>
      <c r="Q1501" s="197"/>
    </row>
    <row r="1502" spans="3:17" x14ac:dyDescent="0.25">
      <c r="C1502" s="199"/>
      <c r="D1502" s="112"/>
      <c r="E1502" s="33"/>
      <c r="F1502" s="105"/>
      <c r="H1502" s="116"/>
      <c r="I1502" s="26"/>
      <c r="J1502" s="98"/>
      <c r="K1502" s="36"/>
      <c r="L1502" s="26"/>
      <c r="M1502" s="26"/>
      <c r="N1502" s="26"/>
      <c r="O1502" s="93"/>
      <c r="P1502" s="95"/>
      <c r="Q1502" s="197"/>
    </row>
    <row r="1503" spans="3:17" x14ac:dyDescent="0.25">
      <c r="C1503" s="199"/>
      <c r="D1503" s="112"/>
      <c r="E1503" s="33"/>
      <c r="F1503" s="105"/>
      <c r="H1503" s="116"/>
      <c r="I1503" s="26"/>
      <c r="J1503" s="98"/>
      <c r="K1503" s="36"/>
      <c r="L1503" s="26"/>
      <c r="M1503" s="26"/>
      <c r="N1503" s="26"/>
      <c r="O1503" s="93"/>
      <c r="P1503" s="95"/>
      <c r="Q1503" s="197"/>
    </row>
    <row r="1504" spans="3:17" x14ac:dyDescent="0.25">
      <c r="C1504" s="199"/>
      <c r="D1504" s="112"/>
      <c r="E1504" s="33"/>
      <c r="F1504" s="105"/>
      <c r="H1504" s="116"/>
      <c r="I1504" s="26"/>
      <c r="J1504" s="98"/>
      <c r="K1504" s="36"/>
      <c r="L1504" s="26"/>
      <c r="M1504" s="26"/>
      <c r="N1504" s="26"/>
      <c r="O1504" s="93"/>
      <c r="P1504" s="95"/>
      <c r="Q1504" s="197"/>
    </row>
    <row r="1505" spans="3:17" x14ac:dyDescent="0.25">
      <c r="C1505" s="199"/>
      <c r="D1505" s="112"/>
      <c r="E1505" s="33"/>
      <c r="F1505" s="105"/>
      <c r="H1505" s="116"/>
      <c r="I1505" s="26"/>
      <c r="J1505" s="98"/>
      <c r="K1505" s="36"/>
      <c r="L1505" s="26"/>
      <c r="M1505" s="26"/>
      <c r="N1505" s="26"/>
      <c r="O1505" s="93"/>
      <c r="P1505" s="95"/>
      <c r="Q1505" s="197"/>
    </row>
    <row r="1506" spans="3:17" x14ac:dyDescent="0.25">
      <c r="C1506" s="199"/>
      <c r="D1506" s="112"/>
      <c r="E1506" s="33"/>
      <c r="F1506" s="105"/>
      <c r="H1506" s="116"/>
      <c r="I1506" s="26"/>
      <c r="J1506" s="98"/>
      <c r="K1506" s="36"/>
      <c r="L1506" s="26"/>
      <c r="M1506" s="26"/>
      <c r="N1506" s="26"/>
      <c r="O1506" s="93"/>
      <c r="P1506" s="95"/>
      <c r="Q1506" s="197"/>
    </row>
    <row r="1507" spans="3:17" x14ac:dyDescent="0.25">
      <c r="C1507" s="199"/>
      <c r="D1507" s="112"/>
      <c r="E1507" s="33"/>
      <c r="F1507" s="105"/>
      <c r="H1507" s="116"/>
      <c r="I1507" s="26"/>
      <c r="J1507" s="98"/>
      <c r="K1507" s="36"/>
      <c r="L1507" s="26"/>
      <c r="M1507" s="26"/>
      <c r="N1507" s="26"/>
      <c r="O1507" s="93"/>
      <c r="P1507" s="95"/>
      <c r="Q1507" s="197"/>
    </row>
    <row r="1508" spans="3:17" x14ac:dyDescent="0.25">
      <c r="C1508" s="199"/>
      <c r="D1508" s="112"/>
      <c r="E1508" s="33"/>
      <c r="F1508" s="105"/>
      <c r="H1508" s="116"/>
      <c r="I1508" s="26"/>
      <c r="J1508" s="98"/>
      <c r="K1508" s="36"/>
      <c r="L1508" s="26"/>
      <c r="M1508" s="26"/>
      <c r="N1508" s="26"/>
      <c r="O1508" s="93"/>
      <c r="P1508" s="95"/>
      <c r="Q1508" s="197"/>
    </row>
    <row r="1509" spans="3:17" x14ac:dyDescent="0.25">
      <c r="C1509" s="199"/>
      <c r="D1509" s="112"/>
      <c r="E1509" s="33"/>
      <c r="F1509" s="105"/>
      <c r="H1509" s="116"/>
      <c r="I1509" s="26"/>
      <c r="J1509" s="98"/>
      <c r="K1509" s="36"/>
      <c r="L1509" s="26"/>
      <c r="M1509" s="26"/>
      <c r="N1509" s="26"/>
      <c r="O1509" s="93"/>
      <c r="P1509" s="95"/>
      <c r="Q1509" s="197"/>
    </row>
    <row r="1510" spans="3:17" x14ac:dyDescent="0.25">
      <c r="C1510" s="199"/>
      <c r="D1510" s="112"/>
      <c r="E1510" s="33"/>
      <c r="F1510" s="105"/>
      <c r="H1510" s="116"/>
      <c r="I1510" s="26"/>
      <c r="J1510" s="98"/>
      <c r="K1510" s="36"/>
      <c r="L1510" s="26"/>
      <c r="M1510" s="26"/>
      <c r="N1510" s="26"/>
      <c r="O1510" s="93"/>
      <c r="P1510" s="95"/>
      <c r="Q1510" s="197"/>
    </row>
    <row r="1511" spans="3:17" x14ac:dyDescent="0.25">
      <c r="C1511" s="199"/>
      <c r="D1511" s="112"/>
      <c r="E1511" s="33"/>
      <c r="F1511" s="105"/>
      <c r="H1511" s="116"/>
      <c r="I1511" s="26"/>
      <c r="J1511" s="98"/>
      <c r="K1511" s="36"/>
      <c r="L1511" s="26"/>
      <c r="M1511" s="26"/>
      <c r="N1511" s="26"/>
      <c r="O1511" s="93"/>
      <c r="P1511" s="95"/>
      <c r="Q1511" s="197"/>
    </row>
    <row r="1512" spans="3:17" x14ac:dyDescent="0.25">
      <c r="C1512" s="199"/>
      <c r="D1512" s="112"/>
      <c r="E1512" s="33"/>
      <c r="F1512" s="105"/>
      <c r="H1512" s="116"/>
      <c r="I1512" s="26"/>
      <c r="J1512" s="98"/>
      <c r="K1512" s="36"/>
      <c r="L1512" s="26"/>
      <c r="M1512" s="26"/>
      <c r="N1512" s="26"/>
      <c r="O1512" s="93"/>
      <c r="P1512" s="95"/>
      <c r="Q1512" s="197"/>
    </row>
    <row r="1513" spans="3:17" x14ac:dyDescent="0.25">
      <c r="C1513" s="199"/>
      <c r="D1513" s="112"/>
      <c r="E1513" s="33"/>
      <c r="F1513" s="105"/>
      <c r="H1513" s="116"/>
      <c r="I1513" s="26"/>
      <c r="J1513" s="98"/>
      <c r="K1513" s="36"/>
      <c r="L1513" s="26"/>
      <c r="M1513" s="26"/>
      <c r="N1513" s="26"/>
      <c r="O1513" s="93"/>
      <c r="P1513" s="95"/>
      <c r="Q1513" s="197"/>
    </row>
    <row r="1514" spans="3:17" x14ac:dyDescent="0.25">
      <c r="C1514" s="199"/>
      <c r="D1514" s="112"/>
      <c r="E1514" s="33"/>
      <c r="F1514" s="105"/>
      <c r="H1514" s="116"/>
      <c r="I1514" s="26"/>
      <c r="J1514" s="98"/>
      <c r="K1514" s="36"/>
      <c r="L1514" s="26"/>
      <c r="M1514" s="26"/>
      <c r="N1514" s="26"/>
      <c r="O1514" s="93"/>
      <c r="P1514" s="95"/>
      <c r="Q1514" s="197"/>
    </row>
    <row r="1515" spans="3:17" x14ac:dyDescent="0.25">
      <c r="C1515" s="199"/>
      <c r="D1515" s="112"/>
      <c r="E1515" s="33"/>
      <c r="F1515" s="105"/>
      <c r="H1515" s="116"/>
      <c r="I1515" s="26"/>
      <c r="J1515" s="98"/>
      <c r="K1515" s="36"/>
      <c r="L1515" s="26"/>
      <c r="M1515" s="26"/>
      <c r="N1515" s="26"/>
      <c r="O1515" s="93"/>
      <c r="P1515" s="95"/>
      <c r="Q1515" s="197"/>
    </row>
    <row r="1516" spans="3:17" x14ac:dyDescent="0.25">
      <c r="C1516" s="199"/>
      <c r="D1516" s="112"/>
      <c r="E1516" s="33"/>
      <c r="F1516" s="105"/>
      <c r="H1516" s="116"/>
      <c r="I1516" s="26"/>
      <c r="J1516" s="98"/>
      <c r="K1516" s="36"/>
      <c r="L1516" s="26"/>
      <c r="M1516" s="26"/>
      <c r="N1516" s="26"/>
      <c r="O1516" s="93"/>
      <c r="P1516" s="95"/>
      <c r="Q1516" s="197"/>
    </row>
    <row r="1517" spans="3:17" x14ac:dyDescent="0.25">
      <c r="C1517" s="199"/>
      <c r="D1517" s="112"/>
      <c r="E1517" s="33"/>
      <c r="F1517" s="105"/>
      <c r="H1517" s="116"/>
      <c r="I1517" s="26"/>
      <c r="J1517" s="98"/>
      <c r="K1517" s="36"/>
      <c r="L1517" s="26"/>
      <c r="M1517" s="26"/>
      <c r="N1517" s="26"/>
      <c r="O1517" s="93"/>
      <c r="P1517" s="95"/>
      <c r="Q1517" s="197"/>
    </row>
    <row r="1518" spans="3:17" x14ac:dyDescent="0.25">
      <c r="C1518" s="199"/>
      <c r="D1518" s="112"/>
      <c r="E1518" s="33"/>
      <c r="F1518" s="105"/>
      <c r="H1518" s="116"/>
      <c r="I1518" s="26"/>
      <c r="J1518" s="98"/>
      <c r="K1518" s="36"/>
      <c r="L1518" s="26"/>
      <c r="M1518" s="26"/>
      <c r="N1518" s="26"/>
      <c r="O1518" s="93"/>
      <c r="P1518" s="95"/>
      <c r="Q1518" s="197"/>
    </row>
    <row r="1519" spans="3:17" x14ac:dyDescent="0.25">
      <c r="C1519" s="199"/>
      <c r="D1519" s="112"/>
      <c r="E1519" s="33"/>
      <c r="F1519" s="105"/>
      <c r="H1519" s="116"/>
      <c r="I1519" s="26"/>
      <c r="J1519" s="98"/>
      <c r="K1519" s="36"/>
      <c r="L1519" s="26"/>
      <c r="M1519" s="26"/>
      <c r="N1519" s="26"/>
      <c r="O1519" s="93"/>
      <c r="P1519" s="95"/>
      <c r="Q1519" s="197"/>
    </row>
    <row r="1520" spans="3:17" x14ac:dyDescent="0.25">
      <c r="C1520" s="199"/>
      <c r="D1520" s="112"/>
      <c r="E1520" s="33"/>
      <c r="F1520" s="105"/>
      <c r="H1520" s="116"/>
      <c r="I1520" s="26"/>
      <c r="J1520" s="98"/>
      <c r="K1520" s="36"/>
      <c r="L1520" s="26"/>
      <c r="M1520" s="26"/>
      <c r="N1520" s="26"/>
      <c r="O1520" s="93"/>
      <c r="P1520" s="95"/>
      <c r="Q1520" s="197"/>
    </row>
    <row r="1521" spans="3:17" x14ac:dyDescent="0.25">
      <c r="C1521" s="199"/>
      <c r="D1521" s="112"/>
      <c r="E1521" s="33"/>
      <c r="F1521" s="105"/>
      <c r="H1521" s="116"/>
      <c r="I1521" s="26"/>
      <c r="J1521" s="98"/>
      <c r="K1521" s="36"/>
      <c r="L1521" s="26"/>
      <c r="M1521" s="26"/>
      <c r="N1521" s="26"/>
      <c r="O1521" s="93"/>
      <c r="P1521" s="95"/>
      <c r="Q1521" s="197"/>
    </row>
    <row r="1522" spans="3:17" x14ac:dyDescent="0.25">
      <c r="C1522" s="199"/>
      <c r="D1522" s="112"/>
      <c r="E1522" s="33"/>
      <c r="F1522" s="105"/>
      <c r="H1522" s="116"/>
      <c r="I1522" s="26"/>
      <c r="J1522" s="98"/>
      <c r="K1522" s="36"/>
      <c r="L1522" s="26"/>
      <c r="M1522" s="26"/>
      <c r="N1522" s="26"/>
      <c r="O1522" s="93"/>
      <c r="P1522" s="95"/>
      <c r="Q1522" s="197"/>
    </row>
    <row r="1523" spans="3:17" x14ac:dyDescent="0.25">
      <c r="C1523" s="199"/>
      <c r="D1523" s="112"/>
      <c r="E1523" s="33"/>
      <c r="F1523" s="105"/>
      <c r="H1523" s="116"/>
      <c r="I1523" s="26"/>
      <c r="J1523" s="98"/>
      <c r="K1523" s="36"/>
      <c r="L1523" s="26"/>
      <c r="M1523" s="26"/>
      <c r="N1523" s="26"/>
      <c r="O1523" s="93"/>
      <c r="P1523" s="95"/>
      <c r="Q1523" s="197"/>
    </row>
    <row r="1524" spans="3:17" x14ac:dyDescent="0.25">
      <c r="C1524" s="199"/>
      <c r="D1524" s="112"/>
      <c r="E1524" s="33"/>
      <c r="F1524" s="105"/>
      <c r="H1524" s="116"/>
      <c r="I1524" s="26"/>
      <c r="J1524" s="98"/>
      <c r="K1524" s="36"/>
      <c r="L1524" s="26"/>
      <c r="M1524" s="26"/>
      <c r="N1524" s="26"/>
      <c r="O1524" s="93"/>
      <c r="P1524" s="95"/>
      <c r="Q1524" s="197"/>
    </row>
    <row r="1525" spans="3:17" x14ac:dyDescent="0.25">
      <c r="C1525" s="199"/>
      <c r="D1525" s="112"/>
      <c r="E1525" s="33"/>
      <c r="F1525" s="105"/>
      <c r="H1525" s="116"/>
      <c r="I1525" s="26"/>
      <c r="J1525" s="98"/>
      <c r="K1525" s="36"/>
      <c r="L1525" s="26"/>
      <c r="M1525" s="26"/>
      <c r="N1525" s="26"/>
      <c r="O1525" s="93"/>
      <c r="P1525" s="95"/>
      <c r="Q1525" s="197"/>
    </row>
    <row r="1526" spans="3:17" x14ac:dyDescent="0.25">
      <c r="C1526" s="199"/>
      <c r="D1526" s="112"/>
      <c r="E1526" s="33"/>
      <c r="F1526" s="105"/>
      <c r="H1526" s="116"/>
      <c r="I1526" s="26"/>
      <c r="J1526" s="98"/>
      <c r="K1526" s="36"/>
      <c r="L1526" s="26"/>
      <c r="M1526" s="26"/>
      <c r="N1526" s="26"/>
      <c r="O1526" s="93"/>
      <c r="P1526" s="95"/>
      <c r="Q1526" s="197"/>
    </row>
    <row r="1527" spans="3:17" x14ac:dyDescent="0.25">
      <c r="C1527" s="199"/>
      <c r="D1527" s="112"/>
      <c r="E1527" s="33"/>
      <c r="F1527" s="105"/>
      <c r="H1527" s="116"/>
      <c r="I1527" s="26"/>
      <c r="J1527" s="98"/>
      <c r="K1527" s="36"/>
      <c r="L1527" s="26"/>
      <c r="M1527" s="26"/>
      <c r="N1527" s="26"/>
      <c r="O1527" s="93"/>
      <c r="P1527" s="95"/>
      <c r="Q1527" s="197"/>
    </row>
    <row r="1528" spans="3:17" x14ac:dyDescent="0.25">
      <c r="C1528" s="199"/>
      <c r="D1528" s="112"/>
      <c r="E1528" s="33"/>
      <c r="F1528" s="105"/>
      <c r="H1528" s="116"/>
      <c r="I1528" s="26"/>
      <c r="J1528" s="98"/>
      <c r="K1528" s="36"/>
      <c r="L1528" s="26"/>
      <c r="M1528" s="26"/>
      <c r="N1528" s="26"/>
      <c r="O1528" s="93"/>
      <c r="P1528" s="95"/>
      <c r="Q1528" s="197"/>
    </row>
    <row r="1529" spans="3:17" x14ac:dyDescent="0.25">
      <c r="C1529" s="199"/>
      <c r="D1529" s="112"/>
      <c r="E1529" s="33"/>
      <c r="F1529" s="105"/>
      <c r="H1529" s="116"/>
      <c r="I1529" s="26"/>
      <c r="J1529" s="98"/>
      <c r="K1529" s="36"/>
      <c r="L1529" s="26"/>
      <c r="M1529" s="26"/>
      <c r="N1529" s="26"/>
      <c r="O1529" s="93"/>
      <c r="P1529" s="95"/>
      <c r="Q1529" s="197"/>
    </row>
    <row r="1530" spans="3:17" x14ac:dyDescent="0.25">
      <c r="C1530" s="199"/>
      <c r="D1530" s="112"/>
      <c r="E1530" s="33"/>
      <c r="F1530" s="105"/>
      <c r="H1530" s="116"/>
      <c r="I1530" s="26"/>
      <c r="J1530" s="98"/>
      <c r="K1530" s="36"/>
      <c r="L1530" s="26"/>
      <c r="M1530" s="26"/>
      <c r="N1530" s="26"/>
      <c r="O1530" s="93"/>
      <c r="P1530" s="95"/>
      <c r="Q1530" s="197"/>
    </row>
    <row r="1531" spans="3:17" x14ac:dyDescent="0.25">
      <c r="C1531" s="199"/>
      <c r="D1531" s="112"/>
      <c r="E1531" s="33"/>
      <c r="F1531" s="105"/>
      <c r="H1531" s="116"/>
      <c r="I1531" s="26"/>
      <c r="J1531" s="98"/>
      <c r="K1531" s="36"/>
      <c r="L1531" s="26"/>
      <c r="M1531" s="26"/>
      <c r="N1531" s="26"/>
      <c r="O1531" s="93"/>
      <c r="P1531" s="95"/>
      <c r="Q1531" s="197"/>
    </row>
    <row r="1532" spans="3:17" x14ac:dyDescent="0.25">
      <c r="C1532" s="199"/>
      <c r="D1532" s="112"/>
      <c r="E1532" s="33"/>
      <c r="F1532" s="105"/>
      <c r="H1532" s="116"/>
      <c r="I1532" s="26"/>
      <c r="J1532" s="98"/>
      <c r="K1532" s="36"/>
      <c r="L1532" s="26"/>
      <c r="M1532" s="26"/>
      <c r="N1532" s="26"/>
      <c r="O1532" s="93"/>
      <c r="P1532" s="95"/>
      <c r="Q1532" s="197"/>
    </row>
    <row r="1533" spans="3:17" x14ac:dyDescent="0.25">
      <c r="C1533" s="199"/>
      <c r="D1533" s="112"/>
      <c r="E1533" s="33"/>
      <c r="F1533" s="105"/>
      <c r="H1533" s="116"/>
      <c r="I1533" s="26"/>
      <c r="J1533" s="98"/>
      <c r="K1533" s="36"/>
      <c r="L1533" s="26"/>
      <c r="M1533" s="26"/>
      <c r="N1533" s="26"/>
      <c r="O1533" s="93"/>
      <c r="P1533" s="95"/>
      <c r="Q1533" s="197"/>
    </row>
    <row r="1534" spans="3:17" x14ac:dyDescent="0.25">
      <c r="C1534" s="199"/>
      <c r="D1534" s="112"/>
      <c r="E1534" s="33"/>
      <c r="F1534" s="105"/>
      <c r="H1534" s="116"/>
      <c r="I1534" s="26"/>
      <c r="J1534" s="98"/>
      <c r="K1534" s="36"/>
      <c r="L1534" s="26"/>
      <c r="M1534" s="26"/>
      <c r="N1534" s="26"/>
      <c r="O1534" s="93"/>
      <c r="P1534" s="95"/>
      <c r="Q1534" s="197"/>
    </row>
    <row r="1535" spans="3:17" x14ac:dyDescent="0.25">
      <c r="C1535" s="199"/>
      <c r="D1535" s="112"/>
      <c r="E1535" s="33"/>
      <c r="F1535" s="105"/>
      <c r="H1535" s="116"/>
      <c r="I1535" s="26"/>
      <c r="J1535" s="98"/>
      <c r="K1535" s="36"/>
      <c r="L1535" s="26"/>
      <c r="M1535" s="26"/>
      <c r="N1535" s="26"/>
      <c r="O1535" s="93"/>
      <c r="P1535" s="95"/>
      <c r="Q1535" s="197"/>
    </row>
    <row r="1536" spans="3:17" x14ac:dyDescent="0.25">
      <c r="C1536" s="199"/>
      <c r="D1536" s="112"/>
      <c r="E1536" s="33"/>
      <c r="F1536" s="105"/>
      <c r="H1536" s="116"/>
      <c r="I1536" s="26"/>
      <c r="J1536" s="98"/>
      <c r="K1536" s="36"/>
      <c r="L1536" s="26"/>
      <c r="M1536" s="26"/>
      <c r="N1536" s="26"/>
      <c r="O1536" s="93"/>
      <c r="P1536" s="95"/>
      <c r="Q1536" s="197"/>
    </row>
    <row r="1537" spans="3:17" x14ac:dyDescent="0.25">
      <c r="C1537" s="199"/>
      <c r="D1537" s="112"/>
      <c r="E1537" s="33"/>
      <c r="F1537" s="105"/>
      <c r="H1537" s="116"/>
      <c r="I1537" s="26"/>
      <c r="J1537" s="98"/>
      <c r="K1537" s="36"/>
      <c r="L1537" s="26"/>
      <c r="M1537" s="26"/>
      <c r="N1537" s="26"/>
      <c r="O1537" s="93"/>
      <c r="P1537" s="95"/>
      <c r="Q1537" s="197"/>
    </row>
    <row r="1538" spans="3:17" x14ac:dyDescent="0.25">
      <c r="C1538" s="199"/>
      <c r="D1538" s="112"/>
      <c r="E1538" s="33"/>
      <c r="F1538" s="105"/>
      <c r="H1538" s="116"/>
      <c r="I1538" s="26"/>
      <c r="J1538" s="98"/>
      <c r="K1538" s="36"/>
      <c r="L1538" s="26"/>
      <c r="M1538" s="26"/>
      <c r="N1538" s="26"/>
      <c r="O1538" s="93"/>
      <c r="P1538" s="95"/>
      <c r="Q1538" s="197"/>
    </row>
    <row r="1539" spans="3:17" x14ac:dyDescent="0.25">
      <c r="C1539" s="199"/>
      <c r="D1539" s="112"/>
      <c r="E1539" s="33"/>
      <c r="F1539" s="105"/>
      <c r="H1539" s="116"/>
      <c r="I1539" s="26"/>
      <c r="J1539" s="98"/>
      <c r="K1539" s="36"/>
      <c r="L1539" s="26"/>
      <c r="M1539" s="26"/>
      <c r="N1539" s="26"/>
      <c r="O1539" s="93"/>
      <c r="P1539" s="95"/>
      <c r="Q1539" s="197"/>
    </row>
    <row r="1540" spans="3:17" x14ac:dyDescent="0.25">
      <c r="C1540" s="199"/>
      <c r="D1540" s="112"/>
      <c r="E1540" s="33"/>
      <c r="F1540" s="105"/>
      <c r="H1540" s="116"/>
      <c r="I1540" s="26"/>
      <c r="J1540" s="98"/>
      <c r="K1540" s="36"/>
      <c r="L1540" s="26"/>
      <c r="M1540" s="26"/>
      <c r="N1540" s="26"/>
      <c r="O1540" s="93"/>
      <c r="P1540" s="95"/>
      <c r="Q1540" s="197"/>
    </row>
    <row r="1541" spans="3:17" x14ac:dyDescent="0.25">
      <c r="C1541" s="199"/>
      <c r="D1541" s="112"/>
      <c r="E1541" s="33"/>
      <c r="F1541" s="105"/>
      <c r="H1541" s="116"/>
      <c r="I1541" s="26"/>
      <c r="J1541" s="98"/>
      <c r="K1541" s="36"/>
      <c r="L1541" s="26"/>
      <c r="M1541" s="26"/>
      <c r="N1541" s="26"/>
      <c r="O1541" s="93"/>
      <c r="P1541" s="95"/>
      <c r="Q1541" s="197"/>
    </row>
    <row r="1542" spans="3:17" x14ac:dyDescent="0.25">
      <c r="C1542" s="199"/>
      <c r="D1542" s="112"/>
      <c r="E1542" s="33"/>
      <c r="F1542" s="105"/>
      <c r="H1542" s="116"/>
      <c r="I1542" s="26"/>
      <c r="J1542" s="98"/>
      <c r="K1542" s="36"/>
      <c r="L1542" s="26"/>
      <c r="M1542" s="26"/>
      <c r="N1542" s="26"/>
      <c r="O1542" s="93"/>
      <c r="P1542" s="95"/>
      <c r="Q1542" s="197"/>
    </row>
    <row r="1543" spans="3:17" x14ac:dyDescent="0.25">
      <c r="C1543" s="199"/>
      <c r="D1543" s="112"/>
      <c r="E1543" s="33"/>
      <c r="F1543" s="105"/>
      <c r="H1543" s="116"/>
      <c r="I1543" s="26"/>
      <c r="J1543" s="98"/>
      <c r="K1543" s="36"/>
      <c r="L1543" s="26"/>
      <c r="M1543" s="26"/>
      <c r="N1543" s="26"/>
      <c r="O1543" s="93"/>
      <c r="P1543" s="95"/>
      <c r="Q1543" s="197"/>
    </row>
    <row r="1544" spans="3:17" x14ac:dyDescent="0.25">
      <c r="C1544" s="199"/>
      <c r="D1544" s="112"/>
      <c r="E1544" s="33"/>
      <c r="F1544" s="105"/>
      <c r="H1544" s="116"/>
      <c r="I1544" s="26"/>
      <c r="J1544" s="98"/>
      <c r="K1544" s="36"/>
      <c r="L1544" s="26"/>
      <c r="M1544" s="26"/>
      <c r="N1544" s="26"/>
      <c r="O1544" s="93"/>
      <c r="P1544" s="95"/>
      <c r="Q1544" s="197"/>
    </row>
    <row r="1545" spans="3:17" x14ac:dyDescent="0.25">
      <c r="C1545" s="199"/>
      <c r="D1545" s="112"/>
      <c r="E1545" s="33"/>
      <c r="F1545" s="105"/>
      <c r="H1545" s="116"/>
      <c r="I1545" s="26"/>
      <c r="J1545" s="98"/>
      <c r="K1545" s="36"/>
      <c r="L1545" s="26"/>
      <c r="M1545" s="26"/>
      <c r="N1545" s="26"/>
      <c r="O1545" s="93"/>
      <c r="P1545" s="95"/>
      <c r="Q1545" s="197"/>
    </row>
    <row r="1546" spans="3:17" x14ac:dyDescent="0.25">
      <c r="C1546" s="199"/>
      <c r="D1546" s="112"/>
      <c r="E1546" s="33"/>
      <c r="F1546" s="105"/>
      <c r="H1546" s="116"/>
      <c r="I1546" s="26"/>
      <c r="J1546" s="98"/>
      <c r="K1546" s="36"/>
      <c r="L1546" s="26"/>
      <c r="M1546" s="26"/>
      <c r="N1546" s="26"/>
      <c r="O1546" s="93"/>
      <c r="P1546" s="95"/>
      <c r="Q1546" s="197"/>
    </row>
    <row r="1547" spans="3:17" x14ac:dyDescent="0.25">
      <c r="C1547" s="199"/>
      <c r="D1547" s="112"/>
      <c r="E1547" s="33"/>
      <c r="F1547" s="105"/>
      <c r="H1547" s="116"/>
      <c r="I1547" s="26"/>
      <c r="J1547" s="98"/>
      <c r="K1547" s="36"/>
      <c r="L1547" s="26"/>
      <c r="M1547" s="26"/>
      <c r="N1547" s="26"/>
      <c r="O1547" s="93"/>
      <c r="P1547" s="95"/>
      <c r="Q1547" s="197"/>
    </row>
    <row r="1548" spans="3:17" x14ac:dyDescent="0.25">
      <c r="C1548" s="199"/>
      <c r="D1548" s="112"/>
      <c r="E1548" s="33"/>
      <c r="F1548" s="105"/>
      <c r="H1548" s="116"/>
      <c r="I1548" s="26"/>
      <c r="J1548" s="98"/>
      <c r="K1548" s="36"/>
      <c r="L1548" s="26"/>
      <c r="M1548" s="26"/>
      <c r="N1548" s="26"/>
      <c r="O1548" s="93"/>
      <c r="P1548" s="95"/>
      <c r="Q1548" s="197"/>
    </row>
    <row r="1549" spans="3:17" x14ac:dyDescent="0.25">
      <c r="C1549" s="199"/>
      <c r="D1549" s="112"/>
      <c r="E1549" s="33"/>
      <c r="F1549" s="105"/>
      <c r="H1549" s="116"/>
      <c r="I1549" s="26"/>
      <c r="J1549" s="98"/>
      <c r="K1549" s="36"/>
      <c r="L1549" s="26"/>
      <c r="M1549" s="26"/>
      <c r="N1549" s="26"/>
      <c r="O1549" s="93"/>
      <c r="P1549" s="95"/>
      <c r="Q1549" s="197"/>
    </row>
    <row r="1550" spans="3:17" x14ac:dyDescent="0.25">
      <c r="C1550" s="199"/>
      <c r="D1550" s="112"/>
      <c r="E1550" s="33"/>
      <c r="F1550" s="105"/>
      <c r="H1550" s="116"/>
      <c r="I1550" s="26"/>
      <c r="J1550" s="98"/>
      <c r="K1550" s="36"/>
      <c r="L1550" s="26"/>
      <c r="M1550" s="26"/>
      <c r="N1550" s="26"/>
      <c r="O1550" s="93"/>
      <c r="P1550" s="95"/>
      <c r="Q1550" s="197"/>
    </row>
    <row r="1551" spans="3:17" x14ac:dyDescent="0.25">
      <c r="C1551" s="199"/>
      <c r="D1551" s="112"/>
      <c r="E1551" s="33"/>
      <c r="F1551" s="105"/>
      <c r="H1551" s="116"/>
      <c r="I1551" s="26"/>
      <c r="J1551" s="98"/>
      <c r="K1551" s="36"/>
      <c r="L1551" s="26"/>
      <c r="M1551" s="26"/>
      <c r="N1551" s="26"/>
      <c r="O1551" s="93"/>
      <c r="P1551" s="95"/>
      <c r="Q1551" s="197"/>
    </row>
    <row r="1552" spans="3:17" x14ac:dyDescent="0.25">
      <c r="C1552" s="199"/>
      <c r="D1552" s="112"/>
      <c r="E1552" s="33"/>
      <c r="F1552" s="105"/>
      <c r="H1552" s="116"/>
      <c r="I1552" s="26"/>
      <c r="J1552" s="98"/>
      <c r="K1552" s="36"/>
      <c r="L1552" s="26"/>
      <c r="M1552" s="26"/>
      <c r="N1552" s="26"/>
      <c r="O1552" s="93"/>
      <c r="P1552" s="95"/>
      <c r="Q1552" s="197"/>
    </row>
    <row r="1553" spans="3:17" x14ac:dyDescent="0.25">
      <c r="C1553" s="199"/>
      <c r="D1553" s="112"/>
      <c r="E1553" s="33"/>
      <c r="F1553" s="105"/>
      <c r="H1553" s="116"/>
      <c r="I1553" s="26"/>
      <c r="J1553" s="98"/>
      <c r="K1553" s="36"/>
      <c r="L1553" s="26"/>
      <c r="M1553" s="26"/>
      <c r="N1553" s="26"/>
      <c r="O1553" s="93"/>
      <c r="P1553" s="95"/>
      <c r="Q1553" s="197"/>
    </row>
    <row r="1554" spans="3:17" x14ac:dyDescent="0.25">
      <c r="C1554" s="199"/>
      <c r="D1554" s="112"/>
      <c r="E1554" s="33"/>
      <c r="F1554" s="105"/>
      <c r="H1554" s="116"/>
      <c r="I1554" s="26"/>
      <c r="J1554" s="98"/>
      <c r="K1554" s="36"/>
      <c r="L1554" s="26"/>
      <c r="M1554" s="26"/>
      <c r="N1554" s="26"/>
      <c r="O1554" s="93"/>
      <c r="P1554" s="95"/>
      <c r="Q1554" s="197"/>
    </row>
    <row r="1555" spans="3:17" x14ac:dyDescent="0.25">
      <c r="C1555" s="199"/>
      <c r="D1555" s="112"/>
      <c r="E1555" s="33"/>
      <c r="F1555" s="105"/>
      <c r="H1555" s="116"/>
      <c r="I1555" s="26"/>
      <c r="J1555" s="98"/>
      <c r="K1555" s="36"/>
      <c r="L1555" s="26"/>
      <c r="M1555" s="26"/>
      <c r="N1555" s="26"/>
      <c r="O1555" s="93"/>
      <c r="P1555" s="95"/>
      <c r="Q1555" s="197"/>
    </row>
    <row r="1556" spans="3:17" x14ac:dyDescent="0.25">
      <c r="C1556" s="199"/>
      <c r="D1556" s="112"/>
      <c r="E1556" s="33"/>
      <c r="F1556" s="105"/>
      <c r="H1556" s="116"/>
      <c r="I1556" s="26"/>
      <c r="J1556" s="98"/>
      <c r="K1556" s="36"/>
      <c r="L1556" s="26"/>
      <c r="M1556" s="26"/>
      <c r="N1556" s="26"/>
      <c r="O1556" s="93"/>
      <c r="P1556" s="95"/>
      <c r="Q1556" s="197"/>
    </row>
    <row r="1557" spans="3:17" x14ac:dyDescent="0.25">
      <c r="C1557" s="199"/>
      <c r="D1557" s="112"/>
      <c r="E1557" s="33"/>
      <c r="F1557" s="105"/>
      <c r="H1557" s="116"/>
      <c r="I1557" s="26"/>
      <c r="J1557" s="98"/>
      <c r="K1557" s="36"/>
      <c r="L1557" s="26"/>
      <c r="M1557" s="26"/>
      <c r="N1557" s="26"/>
      <c r="O1557" s="93"/>
      <c r="P1557" s="95"/>
      <c r="Q1557" s="197"/>
    </row>
    <row r="1558" spans="3:17" x14ac:dyDescent="0.25">
      <c r="C1558" s="199"/>
      <c r="D1558" s="112"/>
      <c r="E1558" s="33"/>
      <c r="F1558" s="105"/>
      <c r="H1558" s="116"/>
      <c r="I1558" s="26"/>
      <c r="J1558" s="98"/>
      <c r="K1558" s="36"/>
      <c r="L1558" s="26"/>
      <c r="M1558" s="26"/>
      <c r="N1558" s="26"/>
      <c r="O1558" s="93"/>
      <c r="P1558" s="95"/>
      <c r="Q1558" s="197"/>
    </row>
    <row r="1559" spans="3:17" x14ac:dyDescent="0.25">
      <c r="C1559" s="199"/>
      <c r="D1559" s="112"/>
      <c r="E1559" s="33"/>
      <c r="F1559" s="105"/>
      <c r="H1559" s="116"/>
      <c r="I1559" s="26"/>
      <c r="J1559" s="98"/>
      <c r="K1559" s="36"/>
      <c r="L1559" s="26"/>
      <c r="M1559" s="26"/>
      <c r="N1559" s="26"/>
      <c r="O1559" s="93"/>
      <c r="P1559" s="95"/>
      <c r="Q1559" s="197"/>
    </row>
    <row r="1560" spans="3:17" x14ac:dyDescent="0.25">
      <c r="C1560" s="199"/>
      <c r="D1560" s="112"/>
      <c r="E1560" s="33"/>
      <c r="F1560" s="105"/>
      <c r="H1560" s="116"/>
      <c r="I1560" s="26"/>
      <c r="J1560" s="98"/>
      <c r="K1560" s="36"/>
      <c r="L1560" s="26"/>
      <c r="M1560" s="26"/>
      <c r="N1560" s="26"/>
      <c r="O1560" s="93"/>
      <c r="P1560" s="95"/>
      <c r="Q1560" s="197"/>
    </row>
    <row r="1561" spans="3:17" x14ac:dyDescent="0.25">
      <c r="C1561" s="199"/>
      <c r="D1561" s="112"/>
      <c r="E1561" s="33"/>
      <c r="F1561" s="105"/>
      <c r="H1561" s="116"/>
      <c r="I1561" s="26"/>
      <c r="J1561" s="98"/>
      <c r="K1561" s="36"/>
      <c r="L1561" s="26"/>
      <c r="M1561" s="26"/>
      <c r="N1561" s="26"/>
      <c r="O1561" s="93"/>
      <c r="P1561" s="95"/>
      <c r="Q1561" s="197"/>
    </row>
    <row r="1562" spans="3:17" x14ac:dyDescent="0.25">
      <c r="C1562" s="199"/>
      <c r="D1562" s="112"/>
      <c r="E1562" s="33"/>
      <c r="F1562" s="105"/>
      <c r="H1562" s="116"/>
      <c r="I1562" s="26"/>
      <c r="J1562" s="98"/>
      <c r="K1562" s="36"/>
      <c r="L1562" s="26"/>
      <c r="M1562" s="26"/>
      <c r="N1562" s="26"/>
      <c r="O1562" s="93"/>
      <c r="P1562" s="95"/>
      <c r="Q1562" s="197"/>
    </row>
    <row r="1563" spans="3:17" x14ac:dyDescent="0.25">
      <c r="C1563" s="199"/>
      <c r="D1563" s="112"/>
      <c r="E1563" s="33"/>
      <c r="F1563" s="105"/>
      <c r="H1563" s="116"/>
      <c r="I1563" s="26"/>
      <c r="J1563" s="98"/>
      <c r="K1563" s="36"/>
      <c r="L1563" s="26"/>
      <c r="M1563" s="26"/>
      <c r="N1563" s="26"/>
      <c r="O1563" s="93"/>
      <c r="P1563" s="95"/>
      <c r="Q1563" s="197"/>
    </row>
    <row r="1564" spans="3:17" x14ac:dyDescent="0.25">
      <c r="C1564" s="199"/>
      <c r="D1564" s="112"/>
      <c r="E1564" s="33"/>
      <c r="F1564" s="105"/>
      <c r="H1564" s="116"/>
      <c r="I1564" s="26"/>
      <c r="J1564" s="98"/>
      <c r="K1564" s="36"/>
      <c r="L1564" s="26"/>
      <c r="M1564" s="26"/>
      <c r="N1564" s="26"/>
      <c r="O1564" s="93"/>
      <c r="P1564" s="95"/>
      <c r="Q1564" s="197"/>
    </row>
    <row r="1565" spans="3:17" x14ac:dyDescent="0.25">
      <c r="C1565" s="199"/>
      <c r="D1565" s="112"/>
      <c r="E1565" s="33"/>
      <c r="F1565" s="105"/>
      <c r="H1565" s="116"/>
      <c r="I1565" s="26"/>
      <c r="J1565" s="98"/>
      <c r="K1565" s="36"/>
      <c r="L1565" s="26"/>
      <c r="M1565" s="26"/>
      <c r="N1565" s="26"/>
      <c r="O1565" s="93"/>
      <c r="P1565" s="95"/>
      <c r="Q1565" s="197"/>
    </row>
    <row r="1566" spans="3:17" x14ac:dyDescent="0.25">
      <c r="C1566" s="199"/>
      <c r="D1566" s="112"/>
      <c r="E1566" s="33"/>
      <c r="F1566" s="105"/>
      <c r="H1566" s="116"/>
      <c r="I1566" s="26"/>
      <c r="J1566" s="98"/>
      <c r="K1566" s="36"/>
      <c r="L1566" s="26"/>
      <c r="M1566" s="26"/>
      <c r="N1566" s="26"/>
      <c r="O1566" s="93"/>
      <c r="P1566" s="95"/>
      <c r="Q1566" s="197"/>
    </row>
    <row r="1567" spans="3:17" x14ac:dyDescent="0.25">
      <c r="C1567" s="199"/>
      <c r="D1567" s="112"/>
      <c r="E1567" s="33"/>
      <c r="F1567" s="105"/>
      <c r="H1567" s="116"/>
      <c r="I1567" s="26"/>
      <c r="J1567" s="98"/>
      <c r="K1567" s="36"/>
      <c r="L1567" s="26"/>
      <c r="M1567" s="26"/>
      <c r="N1567" s="26"/>
      <c r="O1567" s="93"/>
      <c r="P1567" s="95"/>
      <c r="Q1567" s="197"/>
    </row>
    <row r="1568" spans="3:17" x14ac:dyDescent="0.25">
      <c r="C1568" s="199"/>
      <c r="D1568" s="112"/>
      <c r="E1568" s="33"/>
      <c r="F1568" s="105"/>
      <c r="H1568" s="116"/>
      <c r="I1568" s="26"/>
      <c r="J1568" s="98"/>
      <c r="K1568" s="36"/>
      <c r="L1568" s="26"/>
      <c r="M1568" s="26"/>
      <c r="N1568" s="26"/>
      <c r="O1568" s="93"/>
      <c r="P1568" s="95"/>
      <c r="Q1568" s="197"/>
    </row>
    <row r="1569" spans="3:17" x14ac:dyDescent="0.25">
      <c r="C1569" s="199"/>
      <c r="D1569" s="112"/>
      <c r="E1569" s="33"/>
      <c r="F1569" s="105"/>
      <c r="H1569" s="116"/>
      <c r="I1569" s="26"/>
      <c r="J1569" s="98"/>
      <c r="K1569" s="36"/>
      <c r="L1569" s="26"/>
      <c r="M1569" s="26"/>
      <c r="N1569" s="26"/>
      <c r="O1569" s="93"/>
      <c r="P1569" s="95"/>
      <c r="Q1569" s="197"/>
    </row>
    <row r="1570" spans="3:17" x14ac:dyDescent="0.25">
      <c r="C1570" s="199"/>
      <c r="D1570" s="112"/>
      <c r="E1570" s="33"/>
      <c r="F1570" s="105"/>
      <c r="H1570" s="116"/>
      <c r="I1570" s="26"/>
      <c r="J1570" s="98"/>
      <c r="K1570" s="36"/>
      <c r="L1570" s="26"/>
      <c r="M1570" s="26"/>
      <c r="N1570" s="26"/>
      <c r="O1570" s="93"/>
      <c r="P1570" s="95"/>
      <c r="Q1570" s="197"/>
    </row>
    <row r="1571" spans="3:17" x14ac:dyDescent="0.25">
      <c r="C1571" s="199"/>
      <c r="D1571" s="112"/>
      <c r="E1571" s="33"/>
      <c r="F1571" s="105"/>
      <c r="H1571" s="116"/>
      <c r="I1571" s="26"/>
      <c r="J1571" s="98"/>
      <c r="K1571" s="36"/>
      <c r="L1571" s="26"/>
      <c r="M1571" s="26"/>
      <c r="N1571" s="26"/>
      <c r="O1571" s="93"/>
      <c r="P1571" s="95"/>
      <c r="Q1571" s="197"/>
    </row>
    <row r="1572" spans="3:17" x14ac:dyDescent="0.25">
      <c r="C1572" s="199"/>
      <c r="D1572" s="112"/>
      <c r="E1572" s="33"/>
      <c r="F1572" s="105"/>
      <c r="H1572" s="116"/>
      <c r="I1572" s="26"/>
      <c r="J1572" s="98"/>
      <c r="K1572" s="36"/>
      <c r="L1572" s="26"/>
      <c r="M1572" s="26"/>
      <c r="N1572" s="26"/>
      <c r="O1572" s="93"/>
      <c r="P1572" s="95"/>
      <c r="Q1572" s="197"/>
    </row>
    <row r="1573" spans="3:17" x14ac:dyDescent="0.25">
      <c r="C1573" s="199"/>
      <c r="D1573" s="112"/>
      <c r="E1573" s="33"/>
      <c r="F1573" s="105"/>
      <c r="H1573" s="116"/>
      <c r="I1573" s="26"/>
      <c r="J1573" s="98"/>
      <c r="K1573" s="36"/>
      <c r="L1573" s="26"/>
      <c r="M1573" s="26"/>
      <c r="N1573" s="26"/>
      <c r="O1573" s="93"/>
      <c r="P1573" s="95"/>
      <c r="Q1573" s="197"/>
    </row>
    <row r="1574" spans="3:17" x14ac:dyDescent="0.25">
      <c r="C1574" s="199"/>
      <c r="D1574" s="112"/>
      <c r="E1574" s="33"/>
      <c r="F1574" s="105"/>
      <c r="H1574" s="116"/>
      <c r="I1574" s="26"/>
      <c r="J1574" s="98"/>
      <c r="K1574" s="36"/>
      <c r="L1574" s="26"/>
      <c r="M1574" s="26"/>
      <c r="N1574" s="26"/>
      <c r="O1574" s="93"/>
      <c r="P1574" s="95"/>
      <c r="Q1574" s="197"/>
    </row>
    <row r="1575" spans="3:17" x14ac:dyDescent="0.25">
      <c r="C1575" s="199"/>
      <c r="D1575" s="112"/>
      <c r="E1575" s="33"/>
      <c r="F1575" s="105"/>
      <c r="H1575" s="116"/>
      <c r="I1575" s="26"/>
      <c r="J1575" s="98"/>
      <c r="K1575" s="36"/>
      <c r="L1575" s="26"/>
      <c r="M1575" s="26"/>
      <c r="N1575" s="26"/>
      <c r="O1575" s="93"/>
      <c r="P1575" s="95"/>
      <c r="Q1575" s="197"/>
    </row>
    <row r="1576" spans="3:17" x14ac:dyDescent="0.25">
      <c r="C1576" s="199"/>
      <c r="D1576" s="112"/>
      <c r="E1576" s="33"/>
      <c r="F1576" s="105"/>
      <c r="H1576" s="116"/>
      <c r="I1576" s="26"/>
      <c r="J1576" s="98"/>
      <c r="K1576" s="36"/>
      <c r="L1576" s="26"/>
      <c r="M1576" s="26"/>
      <c r="N1576" s="26"/>
      <c r="O1576" s="93"/>
      <c r="P1576" s="95"/>
      <c r="Q1576" s="197"/>
    </row>
    <row r="1577" spans="3:17" x14ac:dyDescent="0.25">
      <c r="C1577" s="199"/>
      <c r="D1577" s="112"/>
      <c r="E1577" s="33"/>
      <c r="F1577" s="105"/>
      <c r="H1577" s="116"/>
      <c r="I1577" s="26"/>
      <c r="J1577" s="98"/>
      <c r="K1577" s="36"/>
      <c r="L1577" s="26"/>
      <c r="M1577" s="26"/>
      <c r="N1577" s="26"/>
      <c r="O1577" s="93"/>
      <c r="P1577" s="95"/>
      <c r="Q1577" s="197"/>
    </row>
    <row r="1578" spans="3:17" x14ac:dyDescent="0.25">
      <c r="C1578" s="199"/>
      <c r="D1578" s="112"/>
      <c r="E1578" s="33"/>
      <c r="F1578" s="105"/>
      <c r="H1578" s="116"/>
      <c r="I1578" s="26"/>
      <c r="J1578" s="98"/>
      <c r="K1578" s="36"/>
      <c r="L1578" s="26"/>
      <c r="M1578" s="26"/>
      <c r="N1578" s="26"/>
      <c r="O1578" s="93"/>
      <c r="P1578" s="95"/>
      <c r="Q1578" s="197"/>
    </row>
    <row r="1579" spans="3:17" x14ac:dyDescent="0.25">
      <c r="C1579" s="199"/>
      <c r="D1579" s="112"/>
      <c r="E1579" s="33"/>
      <c r="F1579" s="105"/>
      <c r="H1579" s="116"/>
      <c r="I1579" s="26"/>
      <c r="J1579" s="98"/>
      <c r="K1579" s="36"/>
      <c r="L1579" s="26"/>
      <c r="M1579" s="26"/>
      <c r="N1579" s="26"/>
      <c r="O1579" s="93"/>
      <c r="P1579" s="95"/>
      <c r="Q1579" s="197"/>
    </row>
    <row r="1580" spans="3:17" x14ac:dyDescent="0.25">
      <c r="C1580" s="199"/>
      <c r="D1580" s="112"/>
      <c r="E1580" s="33"/>
      <c r="F1580" s="105"/>
      <c r="H1580" s="116"/>
      <c r="I1580" s="26"/>
      <c r="J1580" s="98"/>
      <c r="K1580" s="36"/>
      <c r="L1580" s="26"/>
      <c r="M1580" s="26"/>
      <c r="N1580" s="26"/>
      <c r="O1580" s="93"/>
      <c r="P1580" s="95"/>
      <c r="Q1580" s="197"/>
    </row>
    <row r="1581" spans="3:17" x14ac:dyDescent="0.25">
      <c r="C1581" s="199"/>
      <c r="D1581" s="112"/>
      <c r="E1581" s="33"/>
      <c r="F1581" s="105"/>
      <c r="H1581" s="116"/>
      <c r="I1581" s="26"/>
      <c r="J1581" s="98"/>
      <c r="K1581" s="36"/>
      <c r="L1581" s="26"/>
      <c r="M1581" s="26"/>
      <c r="N1581" s="26"/>
      <c r="O1581" s="93"/>
      <c r="P1581" s="95"/>
      <c r="Q1581" s="197"/>
    </row>
    <row r="1582" spans="3:17" x14ac:dyDescent="0.25">
      <c r="C1582" s="199"/>
      <c r="D1582" s="112"/>
      <c r="E1582" s="33"/>
      <c r="F1582" s="105"/>
      <c r="H1582" s="116"/>
      <c r="I1582" s="26"/>
      <c r="J1582" s="98"/>
      <c r="K1582" s="36"/>
      <c r="L1582" s="26"/>
      <c r="M1582" s="26"/>
      <c r="N1582" s="26"/>
      <c r="O1582" s="93"/>
      <c r="P1582" s="95"/>
      <c r="Q1582" s="197"/>
    </row>
    <row r="1583" spans="3:17" x14ac:dyDescent="0.25">
      <c r="C1583" s="199"/>
      <c r="D1583" s="112"/>
      <c r="E1583" s="33"/>
      <c r="F1583" s="105"/>
      <c r="H1583" s="116"/>
      <c r="I1583" s="26"/>
      <c r="J1583" s="98"/>
      <c r="K1583" s="36"/>
      <c r="L1583" s="26"/>
      <c r="M1583" s="26"/>
      <c r="N1583" s="26"/>
      <c r="O1583" s="93"/>
      <c r="P1583" s="95"/>
      <c r="Q1583" s="197"/>
    </row>
    <row r="1584" spans="3:17" x14ac:dyDescent="0.25">
      <c r="C1584" s="199"/>
      <c r="D1584" s="112"/>
      <c r="E1584" s="33"/>
      <c r="F1584" s="105"/>
      <c r="H1584" s="116"/>
      <c r="I1584" s="26"/>
      <c r="J1584" s="98"/>
      <c r="K1584" s="36"/>
      <c r="L1584" s="26"/>
      <c r="M1584" s="26"/>
      <c r="N1584" s="26"/>
      <c r="O1584" s="93"/>
      <c r="P1584" s="95"/>
      <c r="Q1584" s="197"/>
    </row>
    <row r="1585" spans="3:17" x14ac:dyDescent="0.25">
      <c r="C1585" s="199"/>
      <c r="D1585" s="112"/>
      <c r="E1585" s="33"/>
      <c r="F1585" s="105"/>
      <c r="H1585" s="116"/>
      <c r="I1585" s="26"/>
      <c r="J1585" s="98"/>
      <c r="K1585" s="36"/>
      <c r="L1585" s="26"/>
      <c r="M1585" s="26"/>
      <c r="N1585" s="26"/>
      <c r="O1585" s="93"/>
      <c r="P1585" s="95"/>
      <c r="Q1585" s="197"/>
    </row>
    <row r="1586" spans="3:17" x14ac:dyDescent="0.25">
      <c r="C1586" s="199"/>
      <c r="D1586" s="112"/>
      <c r="E1586" s="33"/>
      <c r="F1586" s="105"/>
      <c r="H1586" s="116"/>
      <c r="I1586" s="26"/>
      <c r="J1586" s="98"/>
      <c r="K1586" s="36"/>
      <c r="L1586" s="26"/>
      <c r="M1586" s="26"/>
      <c r="N1586" s="26"/>
      <c r="O1586" s="93"/>
      <c r="P1586" s="95"/>
      <c r="Q1586" s="197"/>
    </row>
    <row r="1587" spans="3:17" x14ac:dyDescent="0.25">
      <c r="C1587" s="199"/>
      <c r="D1587" s="112"/>
      <c r="E1587" s="33"/>
      <c r="F1587" s="105"/>
      <c r="H1587" s="116"/>
      <c r="I1587" s="26"/>
      <c r="J1587" s="98"/>
      <c r="K1587" s="36"/>
      <c r="L1587" s="26"/>
      <c r="M1587" s="26"/>
      <c r="N1587" s="26"/>
      <c r="O1587" s="93"/>
      <c r="P1587" s="95"/>
      <c r="Q1587" s="197"/>
    </row>
    <row r="1588" spans="3:17" x14ac:dyDescent="0.25">
      <c r="C1588" s="199"/>
      <c r="D1588" s="112"/>
      <c r="E1588" s="33"/>
      <c r="F1588" s="105"/>
      <c r="H1588" s="116"/>
      <c r="I1588" s="26"/>
      <c r="J1588" s="98"/>
      <c r="K1588" s="36"/>
      <c r="L1588" s="26"/>
      <c r="M1588" s="26"/>
      <c r="N1588" s="26"/>
      <c r="O1588" s="93"/>
      <c r="P1588" s="95"/>
      <c r="Q1588" s="197"/>
    </row>
    <row r="1589" spans="3:17" x14ac:dyDescent="0.25">
      <c r="C1589" s="199"/>
      <c r="D1589" s="112"/>
      <c r="E1589" s="33"/>
      <c r="F1589" s="105"/>
      <c r="H1589" s="116"/>
      <c r="I1589" s="26"/>
      <c r="J1589" s="98"/>
      <c r="K1589" s="36"/>
      <c r="L1589" s="26"/>
      <c r="M1589" s="26"/>
      <c r="N1589" s="26"/>
      <c r="O1589" s="93"/>
      <c r="P1589" s="95"/>
      <c r="Q1589" s="197"/>
    </row>
    <row r="1590" spans="3:17" x14ac:dyDescent="0.25">
      <c r="C1590" s="199"/>
      <c r="D1590" s="112"/>
      <c r="E1590" s="33"/>
      <c r="F1590" s="105"/>
      <c r="H1590" s="116"/>
      <c r="I1590" s="26"/>
      <c r="J1590" s="98"/>
      <c r="K1590" s="36"/>
      <c r="L1590" s="26"/>
      <c r="M1590" s="26"/>
      <c r="N1590" s="26"/>
      <c r="O1590" s="93"/>
      <c r="P1590" s="95"/>
      <c r="Q1590" s="197"/>
    </row>
    <row r="1591" spans="3:17" x14ac:dyDescent="0.25">
      <c r="C1591" s="199"/>
      <c r="D1591" s="112"/>
      <c r="E1591" s="33"/>
      <c r="F1591" s="105"/>
      <c r="H1591" s="116"/>
      <c r="I1591" s="26"/>
      <c r="J1591" s="98"/>
      <c r="K1591" s="36"/>
      <c r="L1591" s="26"/>
      <c r="M1591" s="26"/>
      <c r="N1591" s="26"/>
      <c r="O1591" s="93"/>
      <c r="P1591" s="95"/>
      <c r="Q1591" s="197"/>
    </row>
    <row r="1592" spans="3:17" x14ac:dyDescent="0.25">
      <c r="C1592" s="199"/>
      <c r="D1592" s="112"/>
      <c r="E1592" s="33"/>
      <c r="F1592" s="105"/>
      <c r="H1592" s="116"/>
      <c r="I1592" s="26"/>
      <c r="J1592" s="98"/>
      <c r="K1592" s="36"/>
      <c r="L1592" s="26"/>
      <c r="M1592" s="26"/>
      <c r="N1592" s="26"/>
      <c r="O1592" s="93"/>
      <c r="P1592" s="95"/>
      <c r="Q1592" s="197"/>
    </row>
    <row r="1593" spans="3:17" x14ac:dyDescent="0.25">
      <c r="C1593" s="199"/>
      <c r="D1593" s="112"/>
      <c r="E1593" s="33"/>
      <c r="F1593" s="105"/>
      <c r="H1593" s="116"/>
      <c r="I1593" s="26"/>
      <c r="J1593" s="98"/>
      <c r="K1593" s="36"/>
      <c r="L1593" s="26"/>
      <c r="M1593" s="26"/>
      <c r="N1593" s="26"/>
      <c r="O1593" s="93"/>
      <c r="P1593" s="95"/>
      <c r="Q1593" s="197"/>
    </row>
    <row r="1594" spans="3:17" x14ac:dyDescent="0.25">
      <c r="C1594" s="199"/>
      <c r="D1594" s="112"/>
      <c r="E1594" s="33"/>
      <c r="F1594" s="105"/>
      <c r="H1594" s="116"/>
      <c r="I1594" s="26"/>
      <c r="J1594" s="98"/>
      <c r="K1594" s="36"/>
      <c r="L1594" s="26"/>
      <c r="M1594" s="26"/>
      <c r="N1594" s="26"/>
      <c r="O1594" s="93"/>
      <c r="P1594" s="95"/>
      <c r="Q1594" s="197"/>
    </row>
    <row r="1595" spans="3:17" x14ac:dyDescent="0.25">
      <c r="C1595" s="199"/>
      <c r="D1595" s="112"/>
      <c r="E1595" s="33"/>
      <c r="F1595" s="105"/>
      <c r="H1595" s="116"/>
      <c r="I1595" s="26"/>
      <c r="J1595" s="98"/>
      <c r="K1595" s="36"/>
      <c r="L1595" s="26"/>
      <c r="M1595" s="26"/>
      <c r="N1595" s="26"/>
      <c r="O1595" s="93"/>
      <c r="P1595" s="95"/>
      <c r="Q1595" s="197"/>
    </row>
    <row r="1596" spans="3:17" x14ac:dyDescent="0.25">
      <c r="C1596" s="199"/>
      <c r="D1596" s="112"/>
      <c r="E1596" s="33"/>
      <c r="F1596" s="105"/>
      <c r="H1596" s="116"/>
      <c r="I1596" s="26"/>
      <c r="J1596" s="98"/>
      <c r="K1596" s="36"/>
      <c r="L1596" s="26"/>
      <c r="M1596" s="26"/>
      <c r="N1596" s="26"/>
      <c r="O1596" s="93"/>
      <c r="P1596" s="95"/>
      <c r="Q1596" s="197"/>
    </row>
    <row r="1597" spans="3:17" x14ac:dyDescent="0.25">
      <c r="C1597" s="199"/>
      <c r="D1597" s="112"/>
      <c r="E1597" s="33"/>
      <c r="F1597" s="105"/>
      <c r="H1597" s="116"/>
      <c r="I1597" s="26"/>
      <c r="J1597" s="98"/>
      <c r="K1597" s="36"/>
      <c r="L1597" s="26"/>
      <c r="M1597" s="26"/>
      <c r="N1597" s="26"/>
      <c r="O1597" s="93"/>
      <c r="P1597" s="95"/>
      <c r="Q1597" s="197"/>
    </row>
    <row r="1598" spans="3:17" x14ac:dyDescent="0.25">
      <c r="C1598" s="199"/>
      <c r="D1598" s="112"/>
      <c r="E1598" s="33"/>
      <c r="F1598" s="105"/>
      <c r="H1598" s="116"/>
      <c r="I1598" s="26"/>
      <c r="J1598" s="98"/>
      <c r="K1598" s="36"/>
      <c r="L1598" s="26"/>
      <c r="M1598" s="26"/>
      <c r="N1598" s="26"/>
      <c r="O1598" s="93"/>
      <c r="P1598" s="95"/>
      <c r="Q1598" s="197"/>
    </row>
    <row r="1599" spans="3:17" x14ac:dyDescent="0.25">
      <c r="C1599" s="199"/>
      <c r="D1599" s="112"/>
      <c r="E1599" s="33"/>
      <c r="F1599" s="105"/>
      <c r="H1599" s="116"/>
      <c r="I1599" s="26"/>
      <c r="J1599" s="98"/>
      <c r="K1599" s="36"/>
      <c r="L1599" s="26"/>
      <c r="M1599" s="26"/>
      <c r="N1599" s="26"/>
      <c r="O1599" s="93"/>
      <c r="P1599" s="95"/>
      <c r="Q1599" s="197"/>
    </row>
    <row r="1600" spans="3:17" x14ac:dyDescent="0.25">
      <c r="C1600" s="199"/>
      <c r="D1600" s="112"/>
      <c r="E1600" s="33"/>
      <c r="F1600" s="105"/>
      <c r="H1600" s="116"/>
      <c r="I1600" s="26"/>
      <c r="J1600" s="98"/>
      <c r="K1600" s="36"/>
      <c r="L1600" s="26"/>
      <c r="M1600" s="26"/>
      <c r="N1600" s="26"/>
      <c r="O1600" s="93"/>
      <c r="P1600" s="95"/>
      <c r="Q1600" s="197"/>
    </row>
    <row r="1601" spans="3:17" x14ac:dyDescent="0.25">
      <c r="C1601" s="199"/>
      <c r="D1601" s="112"/>
      <c r="E1601" s="33"/>
      <c r="F1601" s="105"/>
      <c r="H1601" s="116"/>
      <c r="I1601" s="26"/>
      <c r="J1601" s="98"/>
      <c r="K1601" s="36"/>
      <c r="L1601" s="26"/>
      <c r="M1601" s="26"/>
      <c r="N1601" s="26"/>
      <c r="O1601" s="93"/>
      <c r="P1601" s="95"/>
      <c r="Q1601" s="197"/>
    </row>
    <row r="1602" spans="3:17" x14ac:dyDescent="0.25">
      <c r="C1602" s="199"/>
      <c r="D1602" s="112"/>
      <c r="E1602" s="33"/>
      <c r="F1602" s="105"/>
      <c r="H1602" s="116"/>
      <c r="I1602" s="26"/>
      <c r="J1602" s="98"/>
      <c r="K1602" s="36"/>
      <c r="L1602" s="26"/>
      <c r="M1602" s="26"/>
      <c r="N1602" s="26"/>
      <c r="O1602" s="93"/>
      <c r="P1602" s="95"/>
      <c r="Q1602" s="197"/>
    </row>
    <row r="1603" spans="3:17" x14ac:dyDescent="0.25">
      <c r="C1603" s="199"/>
      <c r="D1603" s="112"/>
      <c r="E1603" s="33"/>
      <c r="F1603" s="105"/>
      <c r="H1603" s="116"/>
      <c r="I1603" s="26"/>
      <c r="J1603" s="98"/>
      <c r="K1603" s="36"/>
      <c r="L1603" s="26"/>
      <c r="M1603" s="26"/>
      <c r="N1603" s="26"/>
      <c r="O1603" s="93"/>
      <c r="P1603" s="95"/>
      <c r="Q1603" s="197"/>
    </row>
    <row r="1604" spans="3:17" x14ac:dyDescent="0.25">
      <c r="C1604" s="199"/>
      <c r="D1604" s="112"/>
      <c r="E1604" s="33"/>
      <c r="F1604" s="105"/>
      <c r="H1604" s="116"/>
      <c r="I1604" s="26"/>
      <c r="J1604" s="98"/>
      <c r="K1604" s="36"/>
      <c r="L1604" s="26"/>
      <c r="M1604" s="26"/>
      <c r="N1604" s="26"/>
      <c r="O1604" s="93"/>
      <c r="P1604" s="95"/>
      <c r="Q1604" s="197"/>
    </row>
    <row r="1605" spans="3:17" x14ac:dyDescent="0.25">
      <c r="C1605" s="199"/>
      <c r="D1605" s="112"/>
      <c r="E1605" s="33"/>
      <c r="F1605" s="105"/>
      <c r="H1605" s="116"/>
      <c r="I1605" s="26"/>
      <c r="J1605" s="98"/>
      <c r="K1605" s="36"/>
      <c r="L1605" s="26"/>
      <c r="M1605" s="26"/>
      <c r="N1605" s="26"/>
      <c r="O1605" s="93"/>
      <c r="P1605" s="95"/>
      <c r="Q1605" s="197"/>
    </row>
    <row r="1606" spans="3:17" x14ac:dyDescent="0.25">
      <c r="C1606" s="199"/>
      <c r="D1606" s="112"/>
      <c r="E1606" s="33"/>
      <c r="F1606" s="105"/>
      <c r="H1606" s="116"/>
      <c r="I1606" s="26"/>
      <c r="J1606" s="98"/>
      <c r="K1606" s="36"/>
      <c r="L1606" s="26"/>
      <c r="M1606" s="26"/>
      <c r="N1606" s="26"/>
      <c r="O1606" s="93"/>
      <c r="P1606" s="95"/>
      <c r="Q1606" s="197"/>
    </row>
    <row r="1607" spans="3:17" x14ac:dyDescent="0.25">
      <c r="C1607" s="199"/>
      <c r="D1607" s="112"/>
      <c r="E1607" s="33"/>
      <c r="F1607" s="105"/>
      <c r="H1607" s="116"/>
      <c r="I1607" s="26"/>
      <c r="J1607" s="98"/>
      <c r="K1607" s="36"/>
      <c r="L1607" s="26"/>
      <c r="M1607" s="26"/>
      <c r="N1607" s="26"/>
      <c r="O1607" s="93"/>
      <c r="P1607" s="95"/>
      <c r="Q1607" s="197"/>
    </row>
    <row r="1608" spans="3:17" x14ac:dyDescent="0.25">
      <c r="C1608" s="199"/>
      <c r="D1608" s="112"/>
      <c r="E1608" s="33"/>
      <c r="F1608" s="105"/>
      <c r="H1608" s="116"/>
      <c r="I1608" s="26"/>
      <c r="J1608" s="98"/>
      <c r="K1608" s="36"/>
      <c r="L1608" s="26"/>
      <c r="M1608" s="26"/>
      <c r="N1608" s="26"/>
      <c r="O1608" s="93"/>
      <c r="P1608" s="95"/>
      <c r="Q1608" s="197"/>
    </row>
    <row r="1609" spans="3:17" x14ac:dyDescent="0.25">
      <c r="C1609" s="199"/>
      <c r="D1609" s="112"/>
      <c r="E1609" s="33"/>
      <c r="F1609" s="105"/>
      <c r="H1609" s="116"/>
      <c r="I1609" s="26"/>
      <c r="J1609" s="98"/>
      <c r="K1609" s="36"/>
      <c r="L1609" s="26"/>
      <c r="M1609" s="26"/>
      <c r="N1609" s="26"/>
      <c r="O1609" s="93"/>
      <c r="P1609" s="95"/>
      <c r="Q1609" s="197"/>
    </row>
    <row r="1610" spans="3:17" x14ac:dyDescent="0.25">
      <c r="C1610" s="199"/>
      <c r="D1610" s="112"/>
      <c r="E1610" s="33"/>
      <c r="F1610" s="105"/>
      <c r="H1610" s="116"/>
      <c r="I1610" s="26"/>
      <c r="J1610" s="98"/>
      <c r="K1610" s="36"/>
      <c r="L1610" s="26"/>
      <c r="M1610" s="26"/>
      <c r="N1610" s="26"/>
      <c r="O1610" s="93"/>
      <c r="P1610" s="95"/>
      <c r="Q1610" s="197"/>
    </row>
    <row r="1611" spans="3:17" x14ac:dyDescent="0.25">
      <c r="C1611" s="199"/>
      <c r="D1611" s="112"/>
      <c r="E1611" s="33"/>
      <c r="F1611" s="105"/>
      <c r="H1611" s="116"/>
      <c r="I1611" s="26"/>
      <c r="J1611" s="98"/>
      <c r="K1611" s="36"/>
      <c r="L1611" s="26"/>
      <c r="M1611" s="26"/>
      <c r="N1611" s="26"/>
      <c r="O1611" s="93"/>
      <c r="P1611" s="95"/>
      <c r="Q1611" s="197"/>
    </row>
    <row r="1612" spans="3:17" x14ac:dyDescent="0.25">
      <c r="C1612" s="199"/>
      <c r="D1612" s="112"/>
      <c r="E1612" s="33"/>
      <c r="F1612" s="105"/>
      <c r="H1612" s="116"/>
      <c r="I1612" s="26"/>
      <c r="J1612" s="98"/>
      <c r="K1612" s="36"/>
      <c r="L1612" s="26"/>
      <c r="M1612" s="26"/>
      <c r="N1612" s="26"/>
      <c r="O1612" s="93"/>
      <c r="P1612" s="95"/>
      <c r="Q1612" s="197"/>
    </row>
    <row r="1613" spans="3:17" x14ac:dyDescent="0.25">
      <c r="C1613" s="199"/>
      <c r="D1613" s="112"/>
      <c r="E1613" s="33"/>
      <c r="F1613" s="105"/>
      <c r="H1613" s="116"/>
      <c r="I1613" s="26"/>
      <c r="J1613" s="98"/>
      <c r="K1613" s="36"/>
      <c r="L1613" s="26"/>
      <c r="M1613" s="26"/>
      <c r="N1613" s="26"/>
      <c r="O1613" s="93"/>
      <c r="P1613" s="95"/>
      <c r="Q1613" s="197"/>
    </row>
    <row r="1614" spans="3:17" x14ac:dyDescent="0.25">
      <c r="C1614" s="199"/>
      <c r="D1614" s="112"/>
      <c r="E1614" s="33"/>
      <c r="F1614" s="105"/>
      <c r="H1614" s="116"/>
      <c r="I1614" s="26"/>
      <c r="J1614" s="98"/>
      <c r="K1614" s="36"/>
      <c r="L1614" s="26"/>
      <c r="M1614" s="26"/>
      <c r="N1614" s="26"/>
      <c r="O1614" s="93"/>
      <c r="P1614" s="95"/>
      <c r="Q1614" s="197"/>
    </row>
    <row r="1615" spans="3:17" x14ac:dyDescent="0.25">
      <c r="C1615" s="199"/>
      <c r="D1615" s="112"/>
      <c r="E1615" s="33"/>
      <c r="F1615" s="105"/>
      <c r="H1615" s="116"/>
      <c r="I1615" s="26"/>
      <c r="J1615" s="98"/>
      <c r="K1615" s="36"/>
      <c r="L1615" s="26"/>
      <c r="M1615" s="26"/>
      <c r="N1615" s="26"/>
      <c r="O1615" s="93"/>
      <c r="P1615" s="95"/>
      <c r="Q1615" s="197"/>
    </row>
    <row r="1616" spans="3:17" x14ac:dyDescent="0.25">
      <c r="C1616" s="199"/>
      <c r="D1616" s="112"/>
      <c r="E1616" s="33"/>
      <c r="F1616" s="105"/>
      <c r="H1616" s="116"/>
      <c r="I1616" s="26"/>
      <c r="J1616" s="98"/>
      <c r="K1616" s="36"/>
      <c r="L1616" s="26"/>
      <c r="M1616" s="26"/>
      <c r="N1616" s="26"/>
      <c r="O1616" s="93"/>
      <c r="P1616" s="95"/>
      <c r="Q1616" s="197"/>
    </row>
    <row r="1617" spans="3:17" x14ac:dyDescent="0.25">
      <c r="C1617" s="199"/>
      <c r="D1617" s="112"/>
      <c r="E1617" s="33"/>
      <c r="F1617" s="105"/>
      <c r="H1617" s="116"/>
      <c r="I1617" s="26"/>
      <c r="J1617" s="98"/>
      <c r="K1617" s="36"/>
      <c r="L1617" s="26"/>
      <c r="M1617" s="26"/>
      <c r="N1617" s="26"/>
      <c r="O1617" s="93"/>
      <c r="P1617" s="95"/>
      <c r="Q1617" s="197"/>
    </row>
    <row r="1618" spans="3:17" x14ac:dyDescent="0.25">
      <c r="C1618" s="199"/>
      <c r="D1618" s="112"/>
      <c r="E1618" s="33"/>
      <c r="F1618" s="105"/>
      <c r="H1618" s="116"/>
      <c r="I1618" s="26"/>
      <c r="J1618" s="98"/>
      <c r="K1618" s="36"/>
      <c r="L1618" s="26"/>
      <c r="M1618" s="26"/>
      <c r="N1618" s="26"/>
      <c r="O1618" s="93"/>
      <c r="P1618" s="95"/>
      <c r="Q1618" s="197"/>
    </row>
    <row r="1619" spans="3:17" x14ac:dyDescent="0.25">
      <c r="C1619" s="199"/>
      <c r="D1619" s="112"/>
      <c r="E1619" s="33"/>
      <c r="F1619" s="105"/>
      <c r="H1619" s="116"/>
      <c r="I1619" s="26"/>
      <c r="J1619" s="98"/>
      <c r="K1619" s="36"/>
      <c r="L1619" s="26"/>
      <c r="M1619" s="26"/>
      <c r="N1619" s="26"/>
      <c r="O1619" s="93"/>
      <c r="P1619" s="95"/>
      <c r="Q1619" s="197"/>
    </row>
    <row r="1620" spans="3:17" x14ac:dyDescent="0.25">
      <c r="C1620" s="199"/>
      <c r="D1620" s="112"/>
      <c r="E1620" s="33"/>
      <c r="F1620" s="105"/>
      <c r="H1620" s="116"/>
      <c r="I1620" s="26"/>
      <c r="J1620" s="98"/>
      <c r="K1620" s="36"/>
      <c r="L1620" s="26"/>
      <c r="M1620" s="26"/>
      <c r="N1620" s="26"/>
      <c r="O1620" s="93"/>
      <c r="P1620" s="95"/>
      <c r="Q1620" s="197"/>
    </row>
    <row r="1621" spans="3:17" x14ac:dyDescent="0.25">
      <c r="C1621" s="199"/>
      <c r="D1621" s="112"/>
      <c r="E1621" s="33"/>
      <c r="F1621" s="105"/>
      <c r="H1621" s="116"/>
      <c r="I1621" s="26"/>
      <c r="J1621" s="98"/>
      <c r="K1621" s="36"/>
      <c r="L1621" s="26"/>
      <c r="M1621" s="26"/>
      <c r="N1621" s="26"/>
      <c r="O1621" s="93"/>
      <c r="P1621" s="95"/>
      <c r="Q1621" s="197"/>
    </row>
    <row r="1622" spans="3:17" x14ac:dyDescent="0.25">
      <c r="C1622" s="199"/>
      <c r="D1622" s="112"/>
      <c r="E1622" s="33"/>
      <c r="F1622" s="105"/>
      <c r="H1622" s="116"/>
      <c r="I1622" s="26"/>
      <c r="J1622" s="98"/>
      <c r="K1622" s="36"/>
      <c r="L1622" s="26"/>
      <c r="M1622" s="26"/>
      <c r="N1622" s="26"/>
      <c r="O1622" s="93"/>
      <c r="P1622" s="95"/>
      <c r="Q1622" s="197"/>
    </row>
    <row r="1623" spans="3:17" x14ac:dyDescent="0.25">
      <c r="C1623" s="199"/>
      <c r="D1623" s="112"/>
      <c r="E1623" s="33"/>
      <c r="F1623" s="105"/>
      <c r="H1623" s="116"/>
      <c r="I1623" s="26"/>
      <c r="J1623" s="98"/>
      <c r="K1623" s="36"/>
      <c r="L1623" s="26"/>
      <c r="M1623" s="26"/>
      <c r="N1623" s="26"/>
      <c r="O1623" s="93"/>
      <c r="P1623" s="95"/>
      <c r="Q1623" s="197"/>
    </row>
    <row r="1624" spans="3:17" x14ac:dyDescent="0.25">
      <c r="C1624" s="199"/>
      <c r="D1624" s="112"/>
      <c r="E1624" s="33"/>
      <c r="F1624" s="105"/>
      <c r="H1624" s="116"/>
      <c r="I1624" s="26"/>
      <c r="J1624" s="98"/>
      <c r="K1624" s="36"/>
      <c r="L1624" s="26"/>
      <c r="M1624" s="26"/>
      <c r="N1624" s="26"/>
      <c r="O1624" s="93"/>
      <c r="P1624" s="95"/>
      <c r="Q1624" s="197"/>
    </row>
    <row r="1625" spans="3:17" x14ac:dyDescent="0.25">
      <c r="C1625" s="199"/>
      <c r="D1625" s="112"/>
      <c r="E1625" s="33"/>
      <c r="F1625" s="105"/>
      <c r="H1625" s="116"/>
      <c r="I1625" s="26"/>
      <c r="J1625" s="98"/>
      <c r="K1625" s="36"/>
      <c r="L1625" s="26"/>
      <c r="M1625" s="26"/>
      <c r="N1625" s="26"/>
      <c r="O1625" s="93"/>
      <c r="P1625" s="95"/>
      <c r="Q1625" s="197"/>
    </row>
    <row r="1626" spans="3:17" x14ac:dyDescent="0.25">
      <c r="C1626" s="199"/>
      <c r="D1626" s="112"/>
      <c r="E1626" s="33"/>
      <c r="F1626" s="105"/>
      <c r="H1626" s="116"/>
      <c r="I1626" s="26"/>
      <c r="J1626" s="98"/>
      <c r="K1626" s="36"/>
      <c r="L1626" s="26"/>
      <c r="M1626" s="26"/>
      <c r="N1626" s="26"/>
      <c r="O1626" s="93"/>
      <c r="P1626" s="95"/>
      <c r="Q1626" s="197"/>
    </row>
    <row r="1627" spans="3:17" x14ac:dyDescent="0.25">
      <c r="C1627" s="199"/>
      <c r="D1627" s="112"/>
      <c r="E1627" s="33"/>
      <c r="F1627" s="105"/>
      <c r="H1627" s="116"/>
      <c r="I1627" s="26"/>
      <c r="J1627" s="98"/>
      <c r="K1627" s="36"/>
      <c r="L1627" s="26"/>
      <c r="M1627" s="26"/>
      <c r="N1627" s="26"/>
      <c r="O1627" s="93"/>
      <c r="P1627" s="95"/>
      <c r="Q1627" s="197"/>
    </row>
    <row r="1628" spans="3:17" x14ac:dyDescent="0.25">
      <c r="C1628" s="199"/>
      <c r="D1628" s="112"/>
      <c r="E1628" s="33"/>
      <c r="F1628" s="105"/>
      <c r="H1628" s="116"/>
      <c r="I1628" s="26"/>
      <c r="J1628" s="98"/>
      <c r="K1628" s="36"/>
      <c r="L1628" s="26"/>
      <c r="M1628" s="26"/>
      <c r="N1628" s="26"/>
      <c r="O1628" s="93"/>
      <c r="P1628" s="95"/>
      <c r="Q1628" s="197"/>
    </row>
    <row r="1629" spans="3:17" x14ac:dyDescent="0.25">
      <c r="C1629" s="199"/>
      <c r="D1629" s="112"/>
      <c r="E1629" s="33"/>
      <c r="F1629" s="105"/>
      <c r="H1629" s="116"/>
      <c r="I1629" s="26"/>
      <c r="J1629" s="98"/>
      <c r="K1629" s="36"/>
      <c r="L1629" s="26"/>
      <c r="M1629" s="26"/>
      <c r="N1629" s="26"/>
      <c r="O1629" s="93"/>
      <c r="P1629" s="95"/>
      <c r="Q1629" s="197"/>
    </row>
    <row r="1630" spans="3:17" x14ac:dyDescent="0.25">
      <c r="C1630" s="199"/>
      <c r="D1630" s="112"/>
      <c r="E1630" s="33"/>
      <c r="F1630" s="105"/>
      <c r="H1630" s="116"/>
      <c r="I1630" s="26"/>
      <c r="J1630" s="98"/>
      <c r="K1630" s="36"/>
      <c r="L1630" s="26"/>
      <c r="M1630" s="26"/>
      <c r="N1630" s="26"/>
      <c r="O1630" s="93"/>
      <c r="P1630" s="95"/>
      <c r="Q1630" s="197"/>
    </row>
    <row r="1631" spans="3:17" x14ac:dyDescent="0.25">
      <c r="C1631" s="199"/>
      <c r="D1631" s="112"/>
      <c r="E1631" s="33"/>
      <c r="F1631" s="105"/>
      <c r="H1631" s="116"/>
      <c r="I1631" s="26"/>
      <c r="J1631" s="98"/>
      <c r="K1631" s="36"/>
      <c r="L1631" s="26"/>
      <c r="M1631" s="26"/>
      <c r="N1631" s="26"/>
      <c r="O1631" s="93"/>
      <c r="P1631" s="95"/>
      <c r="Q1631" s="197"/>
    </row>
    <row r="1632" spans="3:17" x14ac:dyDescent="0.25">
      <c r="C1632" s="199"/>
      <c r="D1632" s="112"/>
      <c r="E1632" s="33"/>
      <c r="F1632" s="105"/>
      <c r="H1632" s="116"/>
      <c r="I1632" s="26"/>
      <c r="J1632" s="98"/>
      <c r="K1632" s="36"/>
      <c r="L1632" s="26"/>
      <c r="M1632" s="26"/>
      <c r="N1632" s="26"/>
      <c r="O1632" s="93"/>
      <c r="P1632" s="95"/>
      <c r="Q1632" s="197"/>
    </row>
    <row r="1633" spans="3:17" x14ac:dyDescent="0.25">
      <c r="C1633" s="199"/>
      <c r="D1633" s="112"/>
      <c r="E1633" s="33"/>
      <c r="F1633" s="105"/>
      <c r="H1633" s="116"/>
      <c r="I1633" s="26"/>
      <c r="J1633" s="98"/>
      <c r="K1633" s="36"/>
      <c r="L1633" s="26"/>
      <c r="M1633" s="26"/>
      <c r="N1633" s="26"/>
      <c r="O1633" s="93"/>
      <c r="P1633" s="95"/>
      <c r="Q1633" s="197"/>
    </row>
    <row r="1634" spans="3:17" x14ac:dyDescent="0.25">
      <c r="C1634" s="199"/>
      <c r="D1634" s="112"/>
      <c r="E1634" s="33"/>
      <c r="F1634" s="105"/>
      <c r="H1634" s="116"/>
      <c r="I1634" s="26"/>
      <c r="J1634" s="98"/>
      <c r="K1634" s="36"/>
      <c r="L1634" s="26"/>
      <c r="M1634" s="26"/>
      <c r="N1634" s="26"/>
      <c r="O1634" s="93"/>
      <c r="P1634" s="95"/>
      <c r="Q1634" s="197"/>
    </row>
    <row r="1635" spans="3:17" x14ac:dyDescent="0.25">
      <c r="C1635" s="199"/>
      <c r="D1635" s="112"/>
      <c r="E1635" s="33"/>
      <c r="F1635" s="105"/>
      <c r="H1635" s="116"/>
      <c r="I1635" s="26"/>
      <c r="J1635" s="98"/>
      <c r="K1635" s="36"/>
      <c r="L1635" s="26"/>
      <c r="M1635" s="26"/>
      <c r="N1635" s="26"/>
      <c r="O1635" s="93"/>
      <c r="P1635" s="95"/>
      <c r="Q1635" s="197"/>
    </row>
    <row r="1636" spans="3:17" x14ac:dyDescent="0.25">
      <c r="C1636" s="199"/>
      <c r="D1636" s="112"/>
      <c r="E1636" s="33"/>
      <c r="F1636" s="105"/>
      <c r="H1636" s="116"/>
      <c r="I1636" s="26"/>
      <c r="J1636" s="98"/>
      <c r="K1636" s="36"/>
      <c r="L1636" s="26"/>
      <c r="M1636" s="26"/>
      <c r="N1636" s="26"/>
      <c r="O1636" s="93"/>
      <c r="P1636" s="95"/>
      <c r="Q1636" s="197"/>
    </row>
    <row r="1637" spans="3:17" x14ac:dyDescent="0.25">
      <c r="C1637" s="199"/>
      <c r="D1637" s="112"/>
      <c r="E1637" s="33"/>
      <c r="F1637" s="105"/>
      <c r="H1637" s="116"/>
      <c r="I1637" s="26"/>
      <c r="J1637" s="98"/>
      <c r="K1637" s="36"/>
      <c r="L1637" s="26"/>
      <c r="M1637" s="26"/>
      <c r="N1637" s="26"/>
      <c r="O1637" s="93"/>
      <c r="P1637" s="95"/>
      <c r="Q1637" s="197"/>
    </row>
    <row r="1638" spans="3:17" x14ac:dyDescent="0.25">
      <c r="C1638" s="199"/>
      <c r="D1638" s="112"/>
      <c r="E1638" s="33"/>
      <c r="F1638" s="105"/>
      <c r="H1638" s="116"/>
      <c r="I1638" s="26"/>
      <c r="J1638" s="98"/>
      <c r="K1638" s="36"/>
      <c r="L1638" s="26"/>
      <c r="M1638" s="26"/>
      <c r="N1638" s="26"/>
      <c r="O1638" s="93"/>
      <c r="P1638" s="95"/>
      <c r="Q1638" s="197"/>
    </row>
    <row r="1639" spans="3:17" x14ac:dyDescent="0.25">
      <c r="C1639" s="199"/>
      <c r="D1639" s="112"/>
      <c r="E1639" s="33"/>
      <c r="F1639" s="105"/>
      <c r="H1639" s="116"/>
      <c r="I1639" s="26"/>
      <c r="J1639" s="98"/>
      <c r="K1639" s="36"/>
      <c r="L1639" s="26"/>
      <c r="M1639" s="26"/>
      <c r="N1639" s="26"/>
      <c r="O1639" s="93"/>
      <c r="P1639" s="95"/>
      <c r="Q1639" s="197"/>
    </row>
    <row r="1640" spans="3:17" x14ac:dyDescent="0.25">
      <c r="C1640" s="199"/>
      <c r="D1640" s="112"/>
      <c r="E1640" s="33"/>
      <c r="F1640" s="105"/>
      <c r="H1640" s="116"/>
      <c r="I1640" s="26"/>
      <c r="J1640" s="98"/>
      <c r="K1640" s="36"/>
      <c r="L1640" s="26"/>
      <c r="M1640" s="26"/>
      <c r="N1640" s="26"/>
      <c r="O1640" s="93"/>
      <c r="P1640" s="95"/>
      <c r="Q1640" s="197"/>
    </row>
    <row r="1641" spans="3:17" x14ac:dyDescent="0.25">
      <c r="C1641" s="199"/>
      <c r="D1641" s="112"/>
      <c r="E1641" s="33"/>
      <c r="F1641" s="105"/>
      <c r="H1641" s="116"/>
      <c r="I1641" s="26"/>
      <c r="J1641" s="98"/>
      <c r="K1641" s="36"/>
      <c r="L1641" s="26"/>
      <c r="M1641" s="26"/>
      <c r="N1641" s="26"/>
      <c r="O1641" s="93"/>
      <c r="P1641" s="95"/>
      <c r="Q1641" s="197"/>
    </row>
    <row r="1642" spans="3:17" x14ac:dyDescent="0.25">
      <c r="C1642" s="199"/>
      <c r="D1642" s="112"/>
      <c r="E1642" s="33"/>
      <c r="F1642" s="105"/>
      <c r="H1642" s="116"/>
      <c r="I1642" s="26"/>
      <c r="J1642" s="98"/>
      <c r="K1642" s="36"/>
      <c r="L1642" s="26"/>
      <c r="M1642" s="26"/>
      <c r="N1642" s="26"/>
      <c r="O1642" s="93"/>
      <c r="P1642" s="95"/>
      <c r="Q1642" s="197"/>
    </row>
    <row r="1643" spans="3:17" x14ac:dyDescent="0.25">
      <c r="C1643" s="199"/>
      <c r="D1643" s="112"/>
      <c r="E1643" s="33"/>
      <c r="F1643" s="105"/>
      <c r="H1643" s="116"/>
      <c r="I1643" s="26"/>
      <c r="J1643" s="98"/>
      <c r="K1643" s="36"/>
      <c r="L1643" s="26"/>
      <c r="M1643" s="26"/>
      <c r="N1643" s="26"/>
      <c r="O1643" s="93"/>
      <c r="P1643" s="95"/>
      <c r="Q1643" s="197"/>
    </row>
    <row r="1644" spans="3:17" x14ac:dyDescent="0.25">
      <c r="C1644" s="199"/>
      <c r="D1644" s="112"/>
      <c r="E1644" s="33"/>
      <c r="F1644" s="105"/>
      <c r="H1644" s="116"/>
      <c r="I1644" s="26"/>
      <c r="J1644" s="98"/>
      <c r="K1644" s="36"/>
      <c r="L1644" s="26"/>
      <c r="M1644" s="26"/>
      <c r="N1644" s="26"/>
      <c r="O1644" s="93"/>
      <c r="P1644" s="95"/>
      <c r="Q1644" s="197"/>
    </row>
    <row r="1645" spans="3:17" x14ac:dyDescent="0.25">
      <c r="C1645" s="199"/>
      <c r="D1645" s="112"/>
      <c r="E1645" s="33"/>
      <c r="F1645" s="105"/>
      <c r="H1645" s="116"/>
      <c r="I1645" s="26"/>
      <c r="J1645" s="98"/>
      <c r="K1645" s="36"/>
      <c r="L1645" s="26"/>
      <c r="M1645" s="26"/>
      <c r="N1645" s="26"/>
      <c r="O1645" s="93"/>
      <c r="P1645" s="95"/>
      <c r="Q1645" s="197"/>
    </row>
    <row r="1646" spans="3:17" x14ac:dyDescent="0.25">
      <c r="C1646" s="199"/>
      <c r="D1646" s="112"/>
      <c r="E1646" s="33"/>
      <c r="F1646" s="105"/>
      <c r="H1646" s="116"/>
      <c r="I1646" s="26"/>
      <c r="J1646" s="98"/>
      <c r="K1646" s="36"/>
      <c r="L1646" s="26"/>
      <c r="M1646" s="26"/>
      <c r="N1646" s="26"/>
      <c r="O1646" s="93"/>
      <c r="P1646" s="95"/>
      <c r="Q1646" s="197"/>
    </row>
    <row r="1647" spans="3:17" x14ac:dyDescent="0.25">
      <c r="C1647" s="199"/>
      <c r="D1647" s="112"/>
      <c r="E1647" s="33"/>
      <c r="F1647" s="105"/>
      <c r="H1647" s="116"/>
      <c r="I1647" s="26"/>
      <c r="J1647" s="98"/>
      <c r="K1647" s="36"/>
      <c r="L1647" s="26"/>
      <c r="M1647" s="26"/>
      <c r="N1647" s="26"/>
      <c r="O1647" s="93"/>
      <c r="P1647" s="95"/>
      <c r="Q1647" s="197"/>
    </row>
    <row r="1648" spans="3:17" x14ac:dyDescent="0.25">
      <c r="C1648" s="199"/>
      <c r="D1648" s="112"/>
      <c r="E1648" s="33"/>
      <c r="F1648" s="105"/>
      <c r="H1648" s="116"/>
      <c r="I1648" s="26"/>
      <c r="J1648" s="98"/>
      <c r="K1648" s="36"/>
      <c r="L1648" s="26"/>
      <c r="M1648" s="26"/>
      <c r="N1648" s="26"/>
      <c r="O1648" s="93"/>
      <c r="P1648" s="95"/>
      <c r="Q1648" s="197"/>
    </row>
    <row r="1649" spans="3:17" x14ac:dyDescent="0.25">
      <c r="C1649" s="199"/>
      <c r="D1649" s="112"/>
      <c r="E1649" s="33"/>
      <c r="F1649" s="105"/>
      <c r="H1649" s="116"/>
      <c r="I1649" s="26"/>
      <c r="J1649" s="98"/>
      <c r="K1649" s="36"/>
      <c r="L1649" s="26"/>
      <c r="M1649" s="26"/>
      <c r="N1649" s="26"/>
      <c r="O1649" s="93"/>
      <c r="P1649" s="95"/>
      <c r="Q1649" s="197"/>
    </row>
    <row r="1650" spans="3:17" x14ac:dyDescent="0.25">
      <c r="C1650" s="199"/>
      <c r="D1650" s="112"/>
      <c r="E1650" s="33"/>
      <c r="F1650" s="105"/>
      <c r="H1650" s="116"/>
      <c r="I1650" s="26"/>
      <c r="J1650" s="98"/>
      <c r="K1650" s="36"/>
      <c r="L1650" s="26"/>
      <c r="M1650" s="26"/>
      <c r="N1650" s="26"/>
      <c r="O1650" s="93"/>
      <c r="P1650" s="95"/>
      <c r="Q1650" s="197"/>
    </row>
    <row r="1651" spans="3:17" x14ac:dyDescent="0.25">
      <c r="C1651" s="199"/>
      <c r="D1651" s="112"/>
      <c r="E1651" s="33"/>
      <c r="F1651" s="105"/>
      <c r="H1651" s="116"/>
      <c r="I1651" s="26"/>
      <c r="J1651" s="98"/>
      <c r="K1651" s="36"/>
      <c r="L1651" s="26"/>
      <c r="M1651" s="26"/>
      <c r="N1651" s="26"/>
      <c r="O1651" s="93"/>
      <c r="P1651" s="95"/>
      <c r="Q1651" s="197"/>
    </row>
    <row r="1652" spans="3:17" x14ac:dyDescent="0.25">
      <c r="C1652" s="199"/>
      <c r="D1652" s="112"/>
      <c r="E1652" s="33"/>
      <c r="F1652" s="105"/>
      <c r="H1652" s="116"/>
      <c r="I1652" s="26"/>
      <c r="J1652" s="98"/>
      <c r="K1652" s="36"/>
      <c r="L1652" s="26"/>
      <c r="M1652" s="26"/>
      <c r="N1652" s="26"/>
      <c r="O1652" s="93"/>
      <c r="P1652" s="95"/>
      <c r="Q1652" s="197"/>
    </row>
    <row r="1653" spans="3:17" x14ac:dyDescent="0.25">
      <c r="C1653" s="199"/>
      <c r="D1653" s="112"/>
      <c r="E1653" s="33"/>
      <c r="F1653" s="105"/>
      <c r="H1653" s="116"/>
      <c r="I1653" s="26"/>
      <c r="J1653" s="98"/>
      <c r="K1653" s="36"/>
      <c r="L1653" s="26"/>
      <c r="M1653" s="26"/>
      <c r="N1653" s="26"/>
      <c r="O1653" s="93"/>
      <c r="P1653" s="95"/>
      <c r="Q1653" s="197"/>
    </row>
    <row r="1654" spans="3:17" x14ac:dyDescent="0.25">
      <c r="C1654" s="199"/>
      <c r="D1654" s="112"/>
      <c r="E1654" s="33"/>
      <c r="F1654" s="105"/>
      <c r="H1654" s="116"/>
      <c r="I1654" s="26"/>
      <c r="J1654" s="98"/>
      <c r="K1654" s="36"/>
      <c r="L1654" s="26"/>
      <c r="M1654" s="26"/>
      <c r="N1654" s="26"/>
      <c r="O1654" s="93"/>
      <c r="P1654" s="95"/>
      <c r="Q1654" s="197"/>
    </row>
    <row r="1655" spans="3:17" x14ac:dyDescent="0.25">
      <c r="C1655" s="199"/>
      <c r="D1655" s="112"/>
      <c r="E1655" s="33"/>
      <c r="F1655" s="105"/>
      <c r="H1655" s="116"/>
      <c r="I1655" s="26"/>
      <c r="J1655" s="98"/>
      <c r="K1655" s="36"/>
      <c r="L1655" s="26"/>
      <c r="M1655" s="26"/>
      <c r="N1655" s="26"/>
      <c r="O1655" s="93"/>
      <c r="P1655" s="95"/>
      <c r="Q1655" s="197"/>
    </row>
    <row r="1656" spans="3:17" x14ac:dyDescent="0.25">
      <c r="C1656" s="199"/>
      <c r="D1656" s="112"/>
      <c r="E1656" s="33"/>
      <c r="F1656" s="105"/>
      <c r="H1656" s="116"/>
      <c r="I1656" s="26"/>
      <c r="J1656" s="98"/>
      <c r="K1656" s="36"/>
      <c r="L1656" s="26"/>
      <c r="M1656" s="26"/>
      <c r="N1656" s="26"/>
      <c r="O1656" s="93"/>
      <c r="P1656" s="95"/>
      <c r="Q1656" s="197"/>
    </row>
    <row r="1657" spans="3:17" x14ac:dyDescent="0.25">
      <c r="C1657" s="199"/>
      <c r="D1657" s="112"/>
      <c r="E1657" s="33"/>
      <c r="F1657" s="105"/>
      <c r="H1657" s="116"/>
      <c r="I1657" s="26"/>
      <c r="J1657" s="98"/>
      <c r="K1657" s="36"/>
      <c r="L1657" s="26"/>
      <c r="M1657" s="26"/>
      <c r="N1657" s="26"/>
      <c r="O1657" s="93"/>
      <c r="P1657" s="95"/>
      <c r="Q1657" s="197"/>
    </row>
    <row r="1658" spans="3:17" x14ac:dyDescent="0.25">
      <c r="C1658" s="199"/>
      <c r="D1658" s="112"/>
      <c r="E1658" s="33"/>
      <c r="F1658" s="105"/>
      <c r="H1658" s="116"/>
      <c r="I1658" s="26"/>
      <c r="J1658" s="98"/>
      <c r="K1658" s="36"/>
      <c r="L1658" s="26"/>
      <c r="M1658" s="26"/>
      <c r="N1658" s="26"/>
      <c r="O1658" s="93"/>
      <c r="P1658" s="95"/>
      <c r="Q1658" s="197"/>
    </row>
    <row r="1659" spans="3:17" x14ac:dyDescent="0.25">
      <c r="C1659" s="199"/>
      <c r="D1659" s="112"/>
      <c r="E1659" s="33"/>
      <c r="F1659" s="105"/>
      <c r="H1659" s="116"/>
      <c r="I1659" s="26"/>
      <c r="J1659" s="98"/>
      <c r="K1659" s="36"/>
      <c r="L1659" s="26"/>
      <c r="M1659" s="26"/>
      <c r="N1659" s="26"/>
      <c r="O1659" s="93"/>
      <c r="P1659" s="95"/>
      <c r="Q1659" s="197"/>
    </row>
    <row r="1660" spans="3:17" x14ac:dyDescent="0.25">
      <c r="C1660" s="199"/>
      <c r="D1660" s="112"/>
      <c r="E1660" s="33"/>
      <c r="F1660" s="105"/>
      <c r="H1660" s="116"/>
      <c r="I1660" s="26"/>
      <c r="J1660" s="98"/>
      <c r="K1660" s="36"/>
      <c r="L1660" s="26"/>
      <c r="M1660" s="26"/>
      <c r="N1660" s="26"/>
      <c r="O1660" s="93"/>
      <c r="P1660" s="95"/>
      <c r="Q1660" s="197"/>
    </row>
    <row r="1661" spans="3:17" x14ac:dyDescent="0.25">
      <c r="C1661" s="199"/>
      <c r="D1661" s="112"/>
      <c r="E1661" s="33"/>
      <c r="F1661" s="105"/>
      <c r="H1661" s="116"/>
      <c r="I1661" s="26"/>
      <c r="J1661" s="98"/>
      <c r="K1661" s="36"/>
      <c r="L1661" s="26"/>
      <c r="M1661" s="26"/>
      <c r="N1661" s="26"/>
      <c r="O1661" s="93"/>
      <c r="P1661" s="95"/>
      <c r="Q1661" s="197"/>
    </row>
    <row r="1662" spans="3:17" x14ac:dyDescent="0.25">
      <c r="C1662" s="199"/>
      <c r="D1662" s="112"/>
      <c r="E1662" s="33"/>
      <c r="F1662" s="105"/>
      <c r="H1662" s="116"/>
      <c r="I1662" s="26"/>
      <c r="J1662" s="98"/>
      <c r="K1662" s="36"/>
      <c r="L1662" s="26"/>
      <c r="M1662" s="26"/>
      <c r="N1662" s="26"/>
      <c r="O1662" s="93"/>
      <c r="P1662" s="95"/>
      <c r="Q1662" s="197"/>
    </row>
    <row r="1663" spans="3:17" x14ac:dyDescent="0.25">
      <c r="C1663" s="199"/>
      <c r="D1663" s="112"/>
      <c r="E1663" s="33"/>
      <c r="F1663" s="105"/>
      <c r="H1663" s="116"/>
      <c r="I1663" s="26"/>
      <c r="J1663" s="98"/>
      <c r="K1663" s="36"/>
      <c r="L1663" s="26"/>
      <c r="M1663" s="26"/>
      <c r="N1663" s="26"/>
      <c r="O1663" s="93"/>
      <c r="P1663" s="95"/>
      <c r="Q1663" s="197"/>
    </row>
    <row r="1664" spans="3:17" x14ac:dyDescent="0.25">
      <c r="C1664" s="199"/>
      <c r="D1664" s="112"/>
      <c r="E1664" s="33"/>
      <c r="F1664" s="105"/>
      <c r="H1664" s="116"/>
      <c r="I1664" s="26"/>
      <c r="J1664" s="98"/>
      <c r="K1664" s="36"/>
      <c r="L1664" s="26"/>
      <c r="M1664" s="26"/>
      <c r="N1664" s="26"/>
      <c r="O1664" s="93"/>
      <c r="P1664" s="95"/>
      <c r="Q1664" s="197"/>
    </row>
    <row r="1665" spans="3:17" x14ac:dyDescent="0.25">
      <c r="C1665" s="199"/>
      <c r="D1665" s="112"/>
      <c r="E1665" s="33"/>
      <c r="F1665" s="105"/>
      <c r="H1665" s="116"/>
      <c r="I1665" s="26"/>
      <c r="J1665" s="98"/>
      <c r="K1665" s="36"/>
      <c r="L1665" s="26"/>
      <c r="M1665" s="26"/>
      <c r="N1665" s="26"/>
      <c r="O1665" s="93"/>
      <c r="P1665" s="95"/>
      <c r="Q1665" s="197"/>
    </row>
    <row r="1666" spans="3:17" x14ac:dyDescent="0.25">
      <c r="C1666" s="199"/>
      <c r="D1666" s="112"/>
      <c r="E1666" s="33"/>
      <c r="F1666" s="105"/>
      <c r="H1666" s="116"/>
      <c r="I1666" s="26"/>
      <c r="J1666" s="98"/>
      <c r="K1666" s="36"/>
      <c r="L1666" s="26"/>
      <c r="M1666" s="26"/>
      <c r="N1666" s="26"/>
      <c r="O1666" s="93"/>
      <c r="P1666" s="95"/>
      <c r="Q1666" s="197"/>
    </row>
    <row r="1667" spans="3:17" x14ac:dyDescent="0.25">
      <c r="C1667" s="199"/>
      <c r="D1667" s="112"/>
      <c r="E1667" s="33"/>
      <c r="F1667" s="105"/>
      <c r="H1667" s="116"/>
      <c r="I1667" s="26"/>
      <c r="J1667" s="98"/>
      <c r="K1667" s="36"/>
      <c r="L1667" s="26"/>
      <c r="M1667" s="26"/>
      <c r="N1667" s="26"/>
      <c r="O1667" s="93"/>
      <c r="P1667" s="95"/>
      <c r="Q1667" s="197"/>
    </row>
    <row r="1668" spans="3:17" x14ac:dyDescent="0.25">
      <c r="C1668" s="199"/>
      <c r="D1668" s="112"/>
      <c r="E1668" s="33"/>
      <c r="F1668" s="105"/>
      <c r="H1668" s="116"/>
      <c r="I1668" s="26"/>
      <c r="J1668" s="98"/>
      <c r="K1668" s="36"/>
      <c r="L1668" s="26"/>
      <c r="M1668" s="26"/>
      <c r="N1668" s="26"/>
      <c r="O1668" s="93"/>
      <c r="P1668" s="95"/>
      <c r="Q1668" s="197"/>
    </row>
    <row r="1669" spans="3:17" x14ac:dyDescent="0.25">
      <c r="C1669" s="199"/>
      <c r="D1669" s="112"/>
      <c r="E1669" s="33"/>
      <c r="F1669" s="105"/>
      <c r="H1669" s="116"/>
      <c r="I1669" s="26"/>
      <c r="J1669" s="98"/>
      <c r="K1669" s="36"/>
      <c r="L1669" s="26"/>
      <c r="M1669" s="26"/>
      <c r="N1669" s="26"/>
      <c r="O1669" s="93"/>
      <c r="P1669" s="95"/>
      <c r="Q1669" s="197"/>
    </row>
    <row r="1670" spans="3:17" x14ac:dyDescent="0.25">
      <c r="C1670" s="199"/>
      <c r="D1670" s="112"/>
      <c r="E1670" s="33"/>
      <c r="F1670" s="105"/>
      <c r="H1670" s="116"/>
      <c r="I1670" s="26"/>
      <c r="J1670" s="98"/>
      <c r="K1670" s="36"/>
      <c r="L1670" s="26"/>
      <c r="M1670" s="26"/>
      <c r="N1670" s="26"/>
      <c r="O1670" s="93"/>
      <c r="P1670" s="95"/>
      <c r="Q1670" s="197"/>
    </row>
    <row r="1671" spans="3:17" x14ac:dyDescent="0.25">
      <c r="C1671" s="199"/>
      <c r="D1671" s="112"/>
      <c r="E1671" s="33"/>
      <c r="F1671" s="105"/>
      <c r="H1671" s="116"/>
      <c r="I1671" s="26"/>
      <c r="J1671" s="98"/>
      <c r="K1671" s="36"/>
      <c r="L1671" s="26"/>
      <c r="M1671" s="26"/>
      <c r="N1671" s="26"/>
      <c r="O1671" s="93"/>
      <c r="P1671" s="95"/>
      <c r="Q1671" s="197"/>
    </row>
    <row r="1672" spans="3:17" x14ac:dyDescent="0.25">
      <c r="C1672" s="199"/>
      <c r="D1672" s="112"/>
      <c r="E1672" s="33"/>
      <c r="F1672" s="105"/>
      <c r="H1672" s="116"/>
      <c r="I1672" s="26"/>
      <c r="J1672" s="98"/>
      <c r="K1672" s="36"/>
      <c r="L1672" s="26"/>
      <c r="M1672" s="26"/>
      <c r="N1672" s="26"/>
      <c r="O1672" s="93"/>
      <c r="P1672" s="95"/>
      <c r="Q1672" s="197"/>
    </row>
    <row r="1673" spans="3:17" x14ac:dyDescent="0.25">
      <c r="C1673" s="199"/>
      <c r="D1673" s="112"/>
      <c r="E1673" s="33"/>
      <c r="F1673" s="105"/>
      <c r="H1673" s="116"/>
      <c r="I1673" s="26"/>
      <c r="J1673" s="98"/>
      <c r="K1673" s="36"/>
      <c r="L1673" s="26"/>
      <c r="M1673" s="26"/>
      <c r="N1673" s="26"/>
      <c r="O1673" s="93"/>
      <c r="P1673" s="95"/>
      <c r="Q1673" s="197"/>
    </row>
    <row r="1674" spans="3:17" x14ac:dyDescent="0.25">
      <c r="C1674" s="199"/>
      <c r="D1674" s="112"/>
      <c r="E1674" s="33"/>
      <c r="F1674" s="105"/>
      <c r="H1674" s="116"/>
      <c r="I1674" s="26"/>
      <c r="J1674" s="98"/>
      <c r="K1674" s="36"/>
      <c r="L1674" s="26"/>
      <c r="M1674" s="26"/>
      <c r="N1674" s="26"/>
      <c r="O1674" s="93"/>
      <c r="P1674" s="95"/>
      <c r="Q1674" s="197"/>
    </row>
    <row r="1675" spans="3:17" x14ac:dyDescent="0.25">
      <c r="C1675" s="199"/>
      <c r="D1675" s="112"/>
      <c r="E1675" s="33"/>
      <c r="F1675" s="105"/>
      <c r="H1675" s="116"/>
      <c r="I1675" s="26"/>
      <c r="J1675" s="98"/>
      <c r="K1675" s="36"/>
      <c r="L1675" s="26"/>
      <c r="M1675" s="26"/>
      <c r="N1675" s="26"/>
      <c r="O1675" s="93"/>
      <c r="P1675" s="95"/>
      <c r="Q1675" s="197"/>
    </row>
    <row r="1676" spans="3:17" x14ac:dyDescent="0.25">
      <c r="C1676" s="199"/>
      <c r="D1676" s="112"/>
      <c r="E1676" s="33"/>
      <c r="F1676" s="105"/>
      <c r="H1676" s="116"/>
      <c r="I1676" s="26"/>
      <c r="J1676" s="98"/>
      <c r="K1676" s="36"/>
      <c r="L1676" s="26"/>
      <c r="M1676" s="26"/>
      <c r="N1676" s="26"/>
      <c r="O1676" s="93"/>
      <c r="P1676" s="95"/>
      <c r="Q1676" s="197"/>
    </row>
    <row r="1677" spans="3:17" x14ac:dyDescent="0.25">
      <c r="C1677" s="199"/>
      <c r="D1677" s="112"/>
      <c r="E1677" s="33"/>
      <c r="F1677" s="105"/>
      <c r="H1677" s="116"/>
      <c r="I1677" s="26"/>
      <c r="J1677" s="98"/>
      <c r="K1677" s="36"/>
      <c r="L1677" s="26"/>
      <c r="M1677" s="26"/>
      <c r="N1677" s="26"/>
      <c r="O1677" s="93"/>
      <c r="P1677" s="95"/>
      <c r="Q1677" s="197"/>
    </row>
    <row r="1678" spans="3:17" x14ac:dyDescent="0.25">
      <c r="C1678" s="199"/>
      <c r="D1678" s="112"/>
      <c r="E1678" s="33"/>
      <c r="F1678" s="105"/>
      <c r="H1678" s="116"/>
      <c r="I1678" s="26"/>
      <c r="J1678" s="98"/>
      <c r="K1678" s="36"/>
      <c r="L1678" s="26"/>
      <c r="M1678" s="26"/>
      <c r="N1678" s="26"/>
      <c r="O1678" s="93"/>
      <c r="P1678" s="95"/>
      <c r="Q1678" s="197"/>
    </row>
    <row r="1679" spans="3:17" x14ac:dyDescent="0.25">
      <c r="C1679" s="199"/>
      <c r="D1679" s="112"/>
      <c r="E1679" s="33"/>
      <c r="F1679" s="105"/>
      <c r="H1679" s="116"/>
      <c r="I1679" s="26"/>
      <c r="J1679" s="98"/>
      <c r="K1679" s="36"/>
      <c r="L1679" s="26"/>
      <c r="M1679" s="26"/>
      <c r="N1679" s="26"/>
      <c r="O1679" s="93"/>
      <c r="P1679" s="95"/>
      <c r="Q1679" s="197"/>
    </row>
    <row r="1680" spans="3:17" x14ac:dyDescent="0.25">
      <c r="C1680" s="199"/>
      <c r="D1680" s="112"/>
      <c r="E1680" s="33"/>
      <c r="F1680" s="105"/>
      <c r="H1680" s="116"/>
      <c r="I1680" s="26"/>
      <c r="J1680" s="98"/>
      <c r="K1680" s="36"/>
      <c r="L1680" s="26"/>
      <c r="M1680" s="26"/>
      <c r="N1680" s="26"/>
      <c r="O1680" s="93"/>
      <c r="P1680" s="95"/>
      <c r="Q1680" s="197"/>
    </row>
    <row r="1681" spans="3:17" x14ac:dyDescent="0.25">
      <c r="C1681" s="199"/>
      <c r="D1681" s="112"/>
      <c r="E1681" s="33"/>
      <c r="F1681" s="105"/>
      <c r="H1681" s="116"/>
      <c r="I1681" s="26"/>
      <c r="J1681" s="98"/>
      <c r="K1681" s="36"/>
      <c r="L1681" s="26"/>
      <c r="M1681" s="26"/>
      <c r="N1681" s="26"/>
      <c r="O1681" s="93"/>
      <c r="P1681" s="95"/>
      <c r="Q1681" s="197"/>
    </row>
    <row r="1682" spans="3:17" x14ac:dyDescent="0.25">
      <c r="C1682" s="199"/>
      <c r="D1682" s="112"/>
      <c r="E1682" s="33"/>
      <c r="F1682" s="105"/>
      <c r="H1682" s="116"/>
      <c r="I1682" s="26"/>
      <c r="J1682" s="98"/>
      <c r="K1682" s="36"/>
      <c r="L1682" s="26"/>
      <c r="M1682" s="26"/>
      <c r="N1682" s="26"/>
      <c r="O1682" s="93"/>
      <c r="P1682" s="95"/>
      <c r="Q1682" s="197"/>
    </row>
    <row r="1683" spans="3:17" x14ac:dyDescent="0.25">
      <c r="C1683" s="199"/>
      <c r="D1683" s="112"/>
      <c r="E1683" s="33"/>
      <c r="F1683" s="105"/>
      <c r="H1683" s="116"/>
      <c r="I1683" s="26"/>
      <c r="J1683" s="98"/>
      <c r="K1683" s="36"/>
      <c r="L1683" s="26"/>
      <c r="M1683" s="26"/>
      <c r="N1683" s="26"/>
      <c r="O1683" s="93"/>
      <c r="P1683" s="95"/>
      <c r="Q1683" s="197"/>
    </row>
    <row r="1684" spans="3:17" x14ac:dyDescent="0.25">
      <c r="C1684" s="199"/>
      <c r="D1684" s="112"/>
      <c r="E1684" s="33"/>
      <c r="F1684" s="105"/>
      <c r="H1684" s="116"/>
      <c r="I1684" s="26"/>
      <c r="J1684" s="98"/>
      <c r="K1684" s="36"/>
      <c r="L1684" s="26"/>
      <c r="M1684" s="26"/>
      <c r="N1684" s="26"/>
      <c r="O1684" s="93"/>
      <c r="P1684" s="95"/>
      <c r="Q1684" s="197"/>
    </row>
    <row r="1685" spans="3:17" x14ac:dyDescent="0.25">
      <c r="C1685" s="199"/>
      <c r="D1685" s="112"/>
      <c r="E1685" s="33"/>
      <c r="F1685" s="105"/>
      <c r="H1685" s="116"/>
      <c r="I1685" s="26"/>
      <c r="J1685" s="98"/>
      <c r="K1685" s="36"/>
      <c r="L1685" s="26"/>
      <c r="M1685" s="26"/>
      <c r="N1685" s="26"/>
      <c r="O1685" s="93"/>
      <c r="P1685" s="95"/>
      <c r="Q1685" s="197"/>
    </row>
    <row r="1686" spans="3:17" x14ac:dyDescent="0.25">
      <c r="C1686" s="199"/>
      <c r="D1686" s="112"/>
      <c r="E1686" s="33"/>
      <c r="F1686" s="105"/>
      <c r="H1686" s="116"/>
      <c r="I1686" s="26"/>
      <c r="J1686" s="98"/>
      <c r="K1686" s="36"/>
      <c r="L1686" s="26"/>
      <c r="M1686" s="26"/>
      <c r="N1686" s="26"/>
      <c r="O1686" s="93"/>
      <c r="P1686" s="95"/>
      <c r="Q1686" s="197"/>
    </row>
    <row r="1687" spans="3:17" x14ac:dyDescent="0.25">
      <c r="C1687" s="199"/>
      <c r="D1687" s="112"/>
      <c r="E1687" s="33"/>
      <c r="F1687" s="105"/>
      <c r="H1687" s="116"/>
      <c r="I1687" s="26"/>
      <c r="J1687" s="98"/>
      <c r="K1687" s="36"/>
      <c r="L1687" s="26"/>
      <c r="M1687" s="26"/>
      <c r="N1687" s="26"/>
      <c r="O1687" s="93"/>
      <c r="P1687" s="95"/>
      <c r="Q1687" s="197"/>
    </row>
    <row r="1688" spans="3:17" x14ac:dyDescent="0.25">
      <c r="C1688" s="199"/>
      <c r="D1688" s="112"/>
      <c r="E1688" s="33"/>
      <c r="F1688" s="105"/>
      <c r="H1688" s="116"/>
      <c r="I1688" s="26"/>
      <c r="J1688" s="98"/>
      <c r="K1688" s="36"/>
      <c r="L1688" s="26"/>
      <c r="M1688" s="26"/>
      <c r="N1688" s="26"/>
      <c r="O1688" s="93"/>
      <c r="P1688" s="95"/>
      <c r="Q1688" s="197"/>
    </row>
    <row r="1689" spans="3:17" x14ac:dyDescent="0.25">
      <c r="C1689" s="199"/>
      <c r="D1689" s="112"/>
      <c r="E1689" s="33"/>
      <c r="F1689" s="105"/>
      <c r="H1689" s="116"/>
      <c r="I1689" s="26"/>
      <c r="J1689" s="98"/>
      <c r="K1689" s="36"/>
      <c r="L1689" s="26"/>
      <c r="M1689" s="26"/>
      <c r="N1689" s="26"/>
      <c r="O1689" s="93"/>
      <c r="P1689" s="95"/>
      <c r="Q1689" s="197"/>
    </row>
    <row r="1690" spans="3:17" x14ac:dyDescent="0.25">
      <c r="C1690" s="199"/>
      <c r="D1690" s="112"/>
      <c r="E1690" s="33"/>
      <c r="F1690" s="105"/>
      <c r="H1690" s="116"/>
      <c r="I1690" s="26"/>
      <c r="J1690" s="98"/>
      <c r="K1690" s="36"/>
      <c r="L1690" s="26"/>
      <c r="M1690" s="26"/>
      <c r="N1690" s="26"/>
      <c r="O1690" s="93"/>
      <c r="P1690" s="95"/>
      <c r="Q1690" s="197"/>
    </row>
    <row r="1691" spans="3:17" x14ac:dyDescent="0.25">
      <c r="C1691" s="199"/>
      <c r="D1691" s="112"/>
      <c r="E1691" s="33"/>
      <c r="F1691" s="105"/>
      <c r="H1691" s="116"/>
      <c r="I1691" s="26"/>
      <c r="J1691" s="98"/>
      <c r="K1691" s="36"/>
      <c r="L1691" s="26"/>
      <c r="M1691" s="26"/>
      <c r="N1691" s="26"/>
      <c r="O1691" s="93"/>
      <c r="P1691" s="95"/>
      <c r="Q1691" s="197"/>
    </row>
    <row r="1692" spans="3:17" x14ac:dyDescent="0.25">
      <c r="C1692" s="199"/>
      <c r="D1692" s="112"/>
      <c r="E1692" s="33"/>
      <c r="F1692" s="105"/>
      <c r="H1692" s="116"/>
      <c r="I1692" s="26"/>
      <c r="J1692" s="98"/>
      <c r="K1692" s="36"/>
      <c r="L1692" s="26"/>
      <c r="M1692" s="26"/>
      <c r="N1692" s="26"/>
      <c r="O1692" s="93"/>
      <c r="P1692" s="95"/>
      <c r="Q1692" s="197"/>
    </row>
    <row r="1693" spans="3:17" x14ac:dyDescent="0.25">
      <c r="C1693" s="199"/>
      <c r="D1693" s="112"/>
      <c r="E1693" s="33"/>
      <c r="F1693" s="105"/>
      <c r="H1693" s="116"/>
      <c r="I1693" s="26"/>
      <c r="J1693" s="98"/>
      <c r="K1693" s="36"/>
      <c r="L1693" s="26"/>
      <c r="M1693" s="26"/>
      <c r="N1693" s="26"/>
      <c r="O1693" s="93"/>
      <c r="P1693" s="95"/>
      <c r="Q1693" s="197"/>
    </row>
    <row r="1694" spans="3:17" x14ac:dyDescent="0.25">
      <c r="C1694" s="199"/>
      <c r="D1694" s="112"/>
      <c r="E1694" s="33"/>
      <c r="F1694" s="105"/>
      <c r="H1694" s="116"/>
      <c r="I1694" s="26"/>
      <c r="J1694" s="98"/>
      <c r="K1694" s="36"/>
      <c r="L1694" s="26"/>
      <c r="M1694" s="26"/>
      <c r="N1694" s="26"/>
      <c r="O1694" s="93"/>
      <c r="P1694" s="95"/>
      <c r="Q1694" s="197"/>
    </row>
    <row r="1695" spans="3:17" x14ac:dyDescent="0.25">
      <c r="C1695" s="199"/>
      <c r="D1695" s="112"/>
      <c r="E1695" s="33"/>
      <c r="F1695" s="105"/>
      <c r="H1695" s="116"/>
      <c r="I1695" s="26"/>
      <c r="J1695" s="98"/>
      <c r="K1695" s="36"/>
      <c r="L1695" s="26"/>
      <c r="M1695" s="26"/>
      <c r="N1695" s="26"/>
      <c r="O1695" s="93"/>
      <c r="P1695" s="95"/>
      <c r="Q1695" s="197"/>
    </row>
    <row r="1696" spans="3:17" x14ac:dyDescent="0.25">
      <c r="C1696" s="199"/>
      <c r="D1696" s="112"/>
      <c r="E1696" s="33"/>
      <c r="F1696" s="105"/>
      <c r="H1696" s="116"/>
      <c r="I1696" s="26"/>
      <c r="J1696" s="98"/>
      <c r="K1696" s="36"/>
      <c r="L1696" s="26"/>
      <c r="M1696" s="26"/>
      <c r="N1696" s="26"/>
      <c r="O1696" s="93"/>
      <c r="P1696" s="95"/>
      <c r="Q1696" s="197"/>
    </row>
    <row r="1697" spans="3:17" x14ac:dyDescent="0.25">
      <c r="C1697" s="199"/>
      <c r="D1697" s="112"/>
      <c r="E1697" s="33"/>
      <c r="F1697" s="105"/>
      <c r="H1697" s="116"/>
      <c r="I1697" s="26"/>
      <c r="J1697" s="98"/>
      <c r="K1697" s="36"/>
      <c r="L1697" s="26"/>
      <c r="M1697" s="26"/>
      <c r="N1697" s="26"/>
      <c r="O1697" s="93"/>
      <c r="P1697" s="95"/>
      <c r="Q1697" s="197"/>
    </row>
    <row r="1698" spans="3:17" x14ac:dyDescent="0.25">
      <c r="C1698" s="199"/>
      <c r="D1698" s="112"/>
      <c r="E1698" s="33"/>
      <c r="F1698" s="105"/>
      <c r="H1698" s="116"/>
      <c r="I1698" s="26"/>
      <c r="J1698" s="98"/>
      <c r="K1698" s="36"/>
      <c r="L1698" s="26"/>
      <c r="M1698" s="26"/>
      <c r="N1698" s="26"/>
      <c r="O1698" s="93"/>
      <c r="P1698" s="95"/>
      <c r="Q1698" s="197"/>
    </row>
    <row r="1699" spans="3:17" x14ac:dyDescent="0.25">
      <c r="C1699" s="199"/>
      <c r="D1699" s="112"/>
      <c r="E1699" s="33"/>
      <c r="F1699" s="105"/>
      <c r="H1699" s="116"/>
      <c r="I1699" s="26"/>
      <c r="J1699" s="98"/>
      <c r="K1699" s="36"/>
      <c r="L1699" s="26"/>
      <c r="M1699" s="26"/>
      <c r="N1699" s="26"/>
      <c r="O1699" s="93"/>
      <c r="P1699" s="95"/>
      <c r="Q1699" s="197"/>
    </row>
    <row r="1700" spans="3:17" x14ac:dyDescent="0.25">
      <c r="C1700" s="199"/>
      <c r="D1700" s="112"/>
      <c r="E1700" s="33"/>
      <c r="F1700" s="105"/>
      <c r="H1700" s="116"/>
      <c r="I1700" s="26"/>
      <c r="J1700" s="98"/>
      <c r="K1700" s="36"/>
      <c r="L1700" s="26"/>
      <c r="M1700" s="26"/>
      <c r="N1700" s="26"/>
      <c r="O1700" s="93"/>
      <c r="P1700" s="95"/>
      <c r="Q1700" s="197"/>
    </row>
    <row r="1701" spans="3:17" x14ac:dyDescent="0.25">
      <c r="C1701" s="199"/>
      <c r="D1701" s="112"/>
      <c r="E1701" s="33"/>
      <c r="F1701" s="105"/>
      <c r="H1701" s="116"/>
      <c r="I1701" s="26"/>
      <c r="J1701" s="98"/>
      <c r="K1701" s="36"/>
      <c r="L1701" s="26"/>
      <c r="M1701" s="26"/>
      <c r="N1701" s="26"/>
      <c r="O1701" s="93"/>
      <c r="P1701" s="95"/>
      <c r="Q1701" s="197"/>
    </row>
    <row r="1702" spans="3:17" x14ac:dyDescent="0.25">
      <c r="C1702" s="199"/>
      <c r="D1702" s="112"/>
      <c r="E1702" s="33"/>
      <c r="F1702" s="105"/>
      <c r="H1702" s="116"/>
      <c r="I1702" s="26"/>
      <c r="J1702" s="98"/>
      <c r="K1702" s="36"/>
      <c r="L1702" s="26"/>
      <c r="M1702" s="26"/>
      <c r="N1702" s="26"/>
      <c r="O1702" s="93"/>
      <c r="P1702" s="95"/>
      <c r="Q1702" s="197"/>
    </row>
    <row r="1703" spans="3:17" x14ac:dyDescent="0.25">
      <c r="C1703" s="199"/>
      <c r="D1703" s="112"/>
      <c r="E1703" s="33"/>
      <c r="F1703" s="105"/>
      <c r="H1703" s="116"/>
      <c r="I1703" s="26"/>
      <c r="J1703" s="98"/>
      <c r="K1703" s="36"/>
      <c r="L1703" s="26"/>
      <c r="M1703" s="26"/>
      <c r="N1703" s="26"/>
      <c r="O1703" s="93"/>
      <c r="P1703" s="95"/>
      <c r="Q1703" s="197"/>
    </row>
    <row r="1704" spans="3:17" x14ac:dyDescent="0.25">
      <c r="C1704" s="199"/>
      <c r="D1704" s="112"/>
      <c r="E1704" s="33"/>
      <c r="F1704" s="105"/>
      <c r="H1704" s="116"/>
      <c r="I1704" s="26"/>
      <c r="J1704" s="98"/>
      <c r="K1704" s="36"/>
      <c r="L1704" s="26"/>
      <c r="M1704" s="26"/>
      <c r="N1704" s="26"/>
      <c r="O1704" s="93"/>
      <c r="P1704" s="95"/>
      <c r="Q1704" s="197"/>
    </row>
    <row r="1705" spans="3:17" x14ac:dyDescent="0.25">
      <c r="C1705" s="199"/>
      <c r="D1705" s="112"/>
      <c r="E1705" s="33"/>
      <c r="F1705" s="105"/>
      <c r="H1705" s="116"/>
      <c r="I1705" s="26"/>
      <c r="J1705" s="98"/>
      <c r="K1705" s="36"/>
      <c r="L1705" s="26"/>
      <c r="M1705" s="26"/>
      <c r="N1705" s="26"/>
      <c r="O1705" s="93"/>
      <c r="P1705" s="95"/>
      <c r="Q1705" s="197"/>
    </row>
    <row r="1706" spans="3:17" x14ac:dyDescent="0.25">
      <c r="C1706" s="199"/>
      <c r="D1706" s="112"/>
      <c r="E1706" s="33"/>
      <c r="F1706" s="105"/>
      <c r="H1706" s="116"/>
      <c r="I1706" s="26"/>
      <c r="J1706" s="98"/>
      <c r="K1706" s="36"/>
      <c r="L1706" s="26"/>
      <c r="M1706" s="26"/>
      <c r="N1706" s="26"/>
      <c r="O1706" s="93"/>
      <c r="P1706" s="95"/>
      <c r="Q1706" s="197"/>
    </row>
    <row r="1707" spans="3:17" x14ac:dyDescent="0.25">
      <c r="C1707" s="199"/>
      <c r="D1707" s="112"/>
      <c r="E1707" s="33"/>
      <c r="F1707" s="105"/>
      <c r="H1707" s="116"/>
      <c r="I1707" s="26"/>
      <c r="J1707" s="98"/>
      <c r="K1707" s="36"/>
      <c r="L1707" s="26"/>
      <c r="M1707" s="26"/>
      <c r="N1707" s="26"/>
      <c r="O1707" s="93"/>
      <c r="P1707" s="95"/>
      <c r="Q1707" s="197"/>
    </row>
    <row r="1708" spans="3:17" x14ac:dyDescent="0.25">
      <c r="C1708" s="199"/>
      <c r="D1708" s="112"/>
      <c r="E1708" s="33"/>
      <c r="F1708" s="105"/>
      <c r="H1708" s="116"/>
      <c r="I1708" s="26"/>
      <c r="J1708" s="98"/>
      <c r="K1708" s="36"/>
      <c r="L1708" s="26"/>
      <c r="M1708" s="26"/>
      <c r="N1708" s="26"/>
      <c r="O1708" s="93"/>
      <c r="P1708" s="95"/>
      <c r="Q1708" s="197"/>
    </row>
    <row r="1709" spans="3:17" x14ac:dyDescent="0.25">
      <c r="C1709" s="199"/>
      <c r="D1709" s="112"/>
      <c r="E1709" s="33"/>
      <c r="F1709" s="105"/>
      <c r="H1709" s="116"/>
      <c r="I1709" s="26"/>
      <c r="J1709" s="98"/>
      <c r="K1709" s="36"/>
      <c r="L1709" s="26"/>
      <c r="M1709" s="26"/>
      <c r="N1709" s="26"/>
      <c r="O1709" s="93"/>
      <c r="P1709" s="95"/>
      <c r="Q1709" s="197"/>
    </row>
    <row r="1710" spans="3:17" x14ac:dyDescent="0.25">
      <c r="C1710" s="199"/>
      <c r="D1710" s="112"/>
      <c r="E1710" s="33"/>
      <c r="F1710" s="105"/>
      <c r="H1710" s="116"/>
      <c r="I1710" s="26"/>
      <c r="J1710" s="98"/>
      <c r="K1710" s="36"/>
      <c r="L1710" s="26"/>
      <c r="M1710" s="26"/>
      <c r="N1710" s="26"/>
      <c r="O1710" s="93"/>
      <c r="P1710" s="95"/>
      <c r="Q1710" s="197"/>
    </row>
    <row r="1711" spans="3:17" x14ac:dyDescent="0.25">
      <c r="C1711" s="199"/>
      <c r="D1711" s="112"/>
      <c r="E1711" s="33"/>
      <c r="F1711" s="105"/>
      <c r="H1711" s="116"/>
      <c r="I1711" s="26"/>
      <c r="J1711" s="98"/>
      <c r="K1711" s="36"/>
      <c r="L1711" s="26"/>
      <c r="M1711" s="26"/>
      <c r="N1711" s="26"/>
      <c r="O1711" s="93"/>
      <c r="P1711" s="95"/>
      <c r="Q1711" s="197"/>
    </row>
    <row r="1712" spans="3:17" x14ac:dyDescent="0.25">
      <c r="C1712" s="199"/>
      <c r="D1712" s="112"/>
      <c r="E1712" s="33"/>
      <c r="F1712" s="105"/>
      <c r="H1712" s="116"/>
      <c r="I1712" s="26"/>
      <c r="J1712" s="98"/>
      <c r="K1712" s="36"/>
      <c r="L1712" s="26"/>
      <c r="M1712" s="26"/>
      <c r="N1712" s="26"/>
      <c r="O1712" s="93"/>
      <c r="P1712" s="95"/>
      <c r="Q1712" s="197"/>
    </row>
    <row r="1713" spans="3:17" x14ac:dyDescent="0.25">
      <c r="C1713" s="199"/>
      <c r="D1713" s="112"/>
      <c r="E1713" s="33"/>
      <c r="F1713" s="105"/>
      <c r="H1713" s="116"/>
      <c r="I1713" s="26"/>
      <c r="J1713" s="98"/>
      <c r="K1713" s="36"/>
      <c r="L1713" s="26"/>
      <c r="M1713" s="26"/>
      <c r="N1713" s="26"/>
      <c r="O1713" s="93"/>
      <c r="P1713" s="95"/>
      <c r="Q1713" s="197"/>
    </row>
    <row r="1714" spans="3:17" x14ac:dyDescent="0.25">
      <c r="C1714" s="199"/>
      <c r="D1714" s="112"/>
      <c r="E1714" s="33"/>
      <c r="F1714" s="105"/>
      <c r="H1714" s="116"/>
      <c r="I1714" s="26"/>
      <c r="J1714" s="98"/>
      <c r="K1714" s="36"/>
      <c r="L1714" s="26"/>
      <c r="M1714" s="26"/>
      <c r="N1714" s="26"/>
      <c r="O1714" s="93"/>
      <c r="P1714" s="95"/>
      <c r="Q1714" s="197"/>
    </row>
    <row r="1715" spans="3:17" x14ac:dyDescent="0.25">
      <c r="C1715" s="199"/>
      <c r="D1715" s="112"/>
      <c r="E1715" s="33"/>
      <c r="F1715" s="105"/>
      <c r="H1715" s="116"/>
      <c r="I1715" s="26"/>
      <c r="J1715" s="98"/>
      <c r="K1715" s="36"/>
      <c r="L1715" s="26"/>
      <c r="M1715" s="26"/>
      <c r="N1715" s="26"/>
      <c r="O1715" s="93"/>
      <c r="P1715" s="95"/>
      <c r="Q1715" s="197"/>
    </row>
    <row r="1716" spans="3:17" x14ac:dyDescent="0.25">
      <c r="C1716" s="199"/>
      <c r="D1716" s="112"/>
      <c r="E1716" s="33"/>
      <c r="F1716" s="105"/>
      <c r="H1716" s="116"/>
      <c r="I1716" s="26"/>
      <c r="J1716" s="98"/>
      <c r="K1716" s="36"/>
      <c r="L1716" s="26"/>
      <c r="M1716" s="26"/>
      <c r="N1716" s="26"/>
      <c r="O1716" s="93"/>
      <c r="P1716" s="95"/>
      <c r="Q1716" s="197"/>
    </row>
    <row r="1717" spans="3:17" x14ac:dyDescent="0.25">
      <c r="C1717" s="199"/>
      <c r="D1717" s="112"/>
      <c r="E1717" s="33"/>
      <c r="F1717" s="105"/>
      <c r="H1717" s="116"/>
      <c r="I1717" s="26"/>
      <c r="J1717" s="98"/>
      <c r="K1717" s="36"/>
      <c r="L1717" s="26"/>
      <c r="M1717" s="26"/>
      <c r="N1717" s="26"/>
      <c r="O1717" s="93"/>
      <c r="P1717" s="95"/>
      <c r="Q1717" s="197"/>
    </row>
    <row r="1718" spans="3:17" x14ac:dyDescent="0.25">
      <c r="C1718" s="199"/>
      <c r="D1718" s="112"/>
      <c r="E1718" s="33"/>
      <c r="F1718" s="105"/>
      <c r="H1718" s="116"/>
      <c r="I1718" s="26"/>
      <c r="J1718" s="98"/>
      <c r="K1718" s="36"/>
      <c r="L1718" s="26"/>
      <c r="M1718" s="26"/>
      <c r="N1718" s="26"/>
      <c r="O1718" s="93"/>
      <c r="P1718" s="95"/>
      <c r="Q1718" s="197"/>
    </row>
    <row r="1719" spans="3:17" x14ac:dyDescent="0.25">
      <c r="C1719" s="199"/>
      <c r="D1719" s="112"/>
      <c r="E1719" s="33"/>
      <c r="F1719" s="105"/>
      <c r="H1719" s="116"/>
      <c r="I1719" s="26"/>
      <c r="J1719" s="98"/>
      <c r="K1719" s="36"/>
      <c r="L1719" s="26"/>
      <c r="M1719" s="26"/>
      <c r="N1719" s="26"/>
      <c r="O1719" s="93"/>
      <c r="P1719" s="95"/>
      <c r="Q1719" s="197"/>
    </row>
    <row r="1720" spans="3:17" x14ac:dyDescent="0.25">
      <c r="C1720" s="199"/>
      <c r="D1720" s="112"/>
      <c r="E1720" s="33"/>
      <c r="F1720" s="105"/>
      <c r="H1720" s="116"/>
      <c r="I1720" s="26"/>
      <c r="J1720" s="98"/>
      <c r="K1720" s="36"/>
      <c r="L1720" s="26"/>
      <c r="M1720" s="26"/>
      <c r="N1720" s="26"/>
      <c r="O1720" s="93"/>
      <c r="P1720" s="95"/>
      <c r="Q1720" s="197"/>
    </row>
    <row r="1721" spans="3:17" x14ac:dyDescent="0.25">
      <c r="C1721" s="199"/>
      <c r="D1721" s="112"/>
      <c r="E1721" s="33"/>
      <c r="F1721" s="105"/>
      <c r="H1721" s="116"/>
      <c r="I1721" s="26"/>
      <c r="J1721" s="98"/>
      <c r="K1721" s="36"/>
      <c r="L1721" s="26"/>
      <c r="M1721" s="26"/>
      <c r="N1721" s="26"/>
      <c r="O1721" s="93"/>
      <c r="P1721" s="95"/>
      <c r="Q1721" s="197"/>
    </row>
    <row r="1722" spans="3:17" x14ac:dyDescent="0.25">
      <c r="C1722" s="199"/>
      <c r="D1722" s="112"/>
      <c r="E1722" s="33"/>
      <c r="F1722" s="105"/>
      <c r="H1722" s="116"/>
      <c r="I1722" s="26"/>
      <c r="J1722" s="98"/>
      <c r="K1722" s="36"/>
      <c r="L1722" s="26"/>
      <c r="M1722" s="26"/>
      <c r="N1722" s="26"/>
      <c r="O1722" s="93"/>
      <c r="P1722" s="95"/>
      <c r="Q1722" s="197"/>
    </row>
    <row r="1723" spans="3:17" x14ac:dyDescent="0.25">
      <c r="C1723" s="199"/>
      <c r="D1723" s="112"/>
      <c r="E1723" s="33"/>
      <c r="F1723" s="105"/>
      <c r="H1723" s="116"/>
      <c r="I1723" s="26"/>
      <c r="J1723" s="98"/>
      <c r="K1723" s="36"/>
      <c r="L1723" s="26"/>
      <c r="M1723" s="26"/>
      <c r="N1723" s="26"/>
      <c r="O1723" s="93"/>
      <c r="P1723" s="95"/>
      <c r="Q1723" s="197"/>
    </row>
    <row r="1724" spans="3:17" x14ac:dyDescent="0.25">
      <c r="C1724" s="199"/>
      <c r="D1724" s="112"/>
      <c r="E1724" s="33"/>
      <c r="F1724" s="105"/>
      <c r="H1724" s="116"/>
      <c r="I1724" s="26"/>
      <c r="J1724" s="98"/>
      <c r="K1724" s="36"/>
      <c r="L1724" s="26"/>
      <c r="M1724" s="26"/>
      <c r="N1724" s="26"/>
      <c r="O1724" s="93"/>
      <c r="P1724" s="95"/>
      <c r="Q1724" s="197"/>
    </row>
    <row r="1725" spans="3:17" x14ac:dyDescent="0.25">
      <c r="C1725" s="199"/>
      <c r="D1725" s="112"/>
      <c r="E1725" s="33"/>
      <c r="F1725" s="105"/>
      <c r="H1725" s="116"/>
      <c r="I1725" s="26"/>
      <c r="J1725" s="98"/>
      <c r="K1725" s="36"/>
      <c r="L1725" s="26"/>
      <c r="M1725" s="26"/>
      <c r="N1725" s="26"/>
      <c r="O1725" s="93"/>
      <c r="P1725" s="95"/>
      <c r="Q1725" s="197"/>
    </row>
    <row r="1726" spans="3:17" x14ac:dyDescent="0.25">
      <c r="C1726" s="199"/>
      <c r="D1726" s="112"/>
      <c r="E1726" s="33"/>
      <c r="F1726" s="105"/>
      <c r="H1726" s="116"/>
      <c r="I1726" s="26"/>
      <c r="J1726" s="98"/>
      <c r="K1726" s="36"/>
      <c r="L1726" s="26"/>
      <c r="M1726" s="26"/>
      <c r="N1726" s="26"/>
      <c r="O1726" s="93"/>
      <c r="P1726" s="95"/>
      <c r="Q1726" s="197"/>
    </row>
    <row r="1727" spans="3:17" x14ac:dyDescent="0.25">
      <c r="C1727" s="199"/>
      <c r="D1727" s="112"/>
      <c r="E1727" s="33"/>
      <c r="F1727" s="105"/>
      <c r="H1727" s="116"/>
      <c r="I1727" s="26"/>
      <c r="J1727" s="98"/>
      <c r="K1727" s="36"/>
      <c r="L1727" s="26"/>
      <c r="M1727" s="26"/>
      <c r="N1727" s="26"/>
      <c r="O1727" s="93"/>
      <c r="P1727" s="95"/>
      <c r="Q1727" s="197"/>
    </row>
    <row r="1728" spans="3:17" x14ac:dyDescent="0.25">
      <c r="C1728" s="199"/>
      <c r="D1728" s="112"/>
      <c r="E1728" s="33"/>
      <c r="F1728" s="105"/>
      <c r="H1728" s="116"/>
      <c r="I1728" s="26"/>
      <c r="J1728" s="98"/>
      <c r="K1728" s="36"/>
      <c r="L1728" s="26"/>
      <c r="M1728" s="26"/>
      <c r="N1728" s="26"/>
      <c r="O1728" s="93"/>
      <c r="P1728" s="95"/>
      <c r="Q1728" s="197"/>
    </row>
    <row r="1729" spans="3:17" x14ac:dyDescent="0.25">
      <c r="C1729" s="199"/>
      <c r="D1729" s="112"/>
      <c r="E1729" s="33"/>
      <c r="F1729" s="105"/>
      <c r="H1729" s="116"/>
      <c r="I1729" s="26"/>
      <c r="J1729" s="98"/>
      <c r="K1729" s="36"/>
      <c r="L1729" s="26"/>
      <c r="M1729" s="26"/>
      <c r="N1729" s="26"/>
      <c r="O1729" s="93"/>
      <c r="P1729" s="95"/>
      <c r="Q1729" s="197"/>
    </row>
    <row r="1730" spans="3:17" x14ac:dyDescent="0.25">
      <c r="C1730" s="199"/>
      <c r="D1730" s="112"/>
      <c r="E1730" s="33"/>
      <c r="F1730" s="105"/>
      <c r="H1730" s="116"/>
      <c r="I1730" s="26"/>
      <c r="J1730" s="98"/>
      <c r="K1730" s="36"/>
      <c r="L1730" s="26"/>
      <c r="M1730" s="26"/>
      <c r="N1730" s="26"/>
      <c r="O1730" s="93"/>
      <c r="P1730" s="95"/>
      <c r="Q1730" s="197"/>
    </row>
    <row r="1731" spans="3:17" x14ac:dyDescent="0.25">
      <c r="C1731" s="199"/>
      <c r="D1731" s="112"/>
      <c r="E1731" s="33"/>
      <c r="F1731" s="105"/>
      <c r="H1731" s="116"/>
      <c r="I1731" s="26"/>
      <c r="J1731" s="98"/>
      <c r="K1731" s="36"/>
      <c r="L1731" s="26"/>
      <c r="M1731" s="26"/>
      <c r="N1731" s="26"/>
      <c r="O1731" s="93"/>
      <c r="P1731" s="95"/>
      <c r="Q1731" s="197"/>
    </row>
    <row r="1732" spans="3:17" x14ac:dyDescent="0.25">
      <c r="C1732" s="199"/>
      <c r="D1732" s="112"/>
      <c r="E1732" s="33"/>
      <c r="F1732" s="105"/>
      <c r="H1732" s="116"/>
      <c r="I1732" s="26"/>
      <c r="J1732" s="98"/>
      <c r="K1732" s="36"/>
      <c r="L1732" s="26"/>
      <c r="M1732" s="26"/>
      <c r="N1732" s="26"/>
      <c r="O1732" s="93"/>
      <c r="P1732" s="95"/>
      <c r="Q1732" s="197"/>
    </row>
    <row r="1733" spans="3:17" x14ac:dyDescent="0.25">
      <c r="C1733" s="199"/>
      <c r="D1733" s="112"/>
      <c r="E1733" s="33"/>
      <c r="F1733" s="105"/>
      <c r="H1733" s="116"/>
      <c r="I1733" s="26"/>
      <c r="J1733" s="98"/>
      <c r="K1733" s="36"/>
      <c r="L1733" s="26"/>
      <c r="M1733" s="26"/>
      <c r="N1733" s="26"/>
      <c r="O1733" s="93"/>
      <c r="P1733" s="95"/>
      <c r="Q1733" s="197"/>
    </row>
    <row r="1734" spans="3:17" x14ac:dyDescent="0.25">
      <c r="C1734" s="199"/>
      <c r="D1734" s="112"/>
      <c r="E1734" s="33"/>
      <c r="F1734" s="105"/>
      <c r="H1734" s="116"/>
      <c r="I1734" s="26"/>
      <c r="J1734" s="98"/>
      <c r="K1734" s="36"/>
      <c r="L1734" s="26"/>
      <c r="M1734" s="26"/>
      <c r="N1734" s="26"/>
      <c r="O1734" s="93"/>
      <c r="P1734" s="95"/>
      <c r="Q1734" s="197"/>
    </row>
    <row r="1735" spans="3:17" x14ac:dyDescent="0.25">
      <c r="C1735" s="199"/>
      <c r="D1735" s="112"/>
      <c r="E1735" s="33"/>
      <c r="F1735" s="105"/>
      <c r="H1735" s="116"/>
      <c r="I1735" s="26"/>
      <c r="J1735" s="98"/>
      <c r="K1735" s="36"/>
      <c r="L1735" s="26"/>
      <c r="M1735" s="26"/>
      <c r="N1735" s="26"/>
      <c r="O1735" s="93"/>
      <c r="P1735" s="95"/>
      <c r="Q1735" s="197"/>
    </row>
    <row r="1736" spans="3:17" x14ac:dyDescent="0.25">
      <c r="C1736" s="199"/>
      <c r="D1736" s="112"/>
      <c r="E1736" s="33"/>
      <c r="F1736" s="105"/>
      <c r="H1736" s="116"/>
      <c r="I1736" s="26"/>
      <c r="J1736" s="98"/>
      <c r="K1736" s="36"/>
      <c r="L1736" s="26"/>
      <c r="M1736" s="26"/>
      <c r="N1736" s="26"/>
      <c r="O1736" s="93"/>
      <c r="P1736" s="95"/>
      <c r="Q1736" s="197"/>
    </row>
    <row r="1737" spans="3:17" x14ac:dyDescent="0.25">
      <c r="C1737" s="199"/>
      <c r="D1737" s="112"/>
      <c r="E1737" s="33"/>
      <c r="F1737" s="105"/>
      <c r="H1737" s="116"/>
      <c r="I1737" s="26"/>
      <c r="J1737" s="98"/>
      <c r="K1737" s="36"/>
      <c r="L1737" s="26"/>
      <c r="M1737" s="26"/>
      <c r="N1737" s="26"/>
      <c r="O1737" s="93"/>
      <c r="P1737" s="95"/>
      <c r="Q1737" s="197"/>
    </row>
    <row r="1738" spans="3:17" x14ac:dyDescent="0.25">
      <c r="C1738" s="199"/>
      <c r="D1738" s="112"/>
      <c r="E1738" s="33"/>
      <c r="F1738" s="105"/>
      <c r="H1738" s="116"/>
      <c r="I1738" s="26"/>
      <c r="J1738" s="98"/>
      <c r="K1738" s="36"/>
      <c r="L1738" s="26"/>
      <c r="M1738" s="26"/>
      <c r="N1738" s="26"/>
      <c r="O1738" s="93"/>
      <c r="P1738" s="95"/>
      <c r="Q1738" s="197"/>
    </row>
    <row r="1739" spans="3:17" x14ac:dyDescent="0.25">
      <c r="C1739" s="199"/>
      <c r="D1739" s="112"/>
      <c r="E1739" s="33"/>
      <c r="F1739" s="105"/>
      <c r="H1739" s="116"/>
      <c r="I1739" s="26"/>
      <c r="J1739" s="98"/>
      <c r="K1739" s="36"/>
      <c r="L1739" s="26"/>
      <c r="M1739" s="26"/>
      <c r="N1739" s="26"/>
      <c r="O1739" s="93"/>
      <c r="P1739" s="95"/>
      <c r="Q1739" s="197"/>
    </row>
    <row r="1740" spans="3:17" x14ac:dyDescent="0.25">
      <c r="C1740" s="199"/>
      <c r="D1740" s="112"/>
      <c r="E1740" s="33"/>
      <c r="F1740" s="105"/>
      <c r="H1740" s="116"/>
      <c r="I1740" s="26"/>
      <c r="J1740" s="98"/>
      <c r="K1740" s="36"/>
      <c r="L1740" s="26"/>
      <c r="M1740" s="26"/>
      <c r="N1740" s="26"/>
      <c r="O1740" s="93"/>
      <c r="P1740" s="95"/>
      <c r="Q1740" s="197"/>
    </row>
    <row r="1741" spans="3:17" x14ac:dyDescent="0.25">
      <c r="C1741" s="199"/>
      <c r="D1741" s="112"/>
      <c r="E1741" s="33"/>
      <c r="F1741" s="105"/>
      <c r="H1741" s="116"/>
      <c r="I1741" s="26"/>
      <c r="J1741" s="98"/>
      <c r="K1741" s="36"/>
      <c r="L1741" s="26"/>
      <c r="M1741" s="26"/>
      <c r="N1741" s="26"/>
      <c r="O1741" s="93"/>
      <c r="P1741" s="95"/>
      <c r="Q1741" s="197"/>
    </row>
    <row r="1742" spans="3:17" x14ac:dyDescent="0.25">
      <c r="C1742" s="199"/>
      <c r="D1742" s="112"/>
      <c r="E1742" s="33"/>
      <c r="F1742" s="105"/>
      <c r="H1742" s="116"/>
      <c r="I1742" s="26"/>
      <c r="J1742" s="98"/>
      <c r="K1742" s="36"/>
      <c r="L1742" s="26"/>
      <c r="M1742" s="26"/>
      <c r="N1742" s="26"/>
      <c r="O1742" s="93"/>
      <c r="P1742" s="95"/>
      <c r="Q1742" s="197"/>
    </row>
    <row r="1743" spans="3:17" x14ac:dyDescent="0.25">
      <c r="C1743" s="199"/>
      <c r="D1743" s="112"/>
      <c r="E1743" s="33"/>
      <c r="F1743" s="105"/>
      <c r="H1743" s="116"/>
      <c r="I1743" s="26"/>
      <c r="J1743" s="98"/>
      <c r="K1743" s="36"/>
      <c r="L1743" s="26"/>
      <c r="M1743" s="26"/>
      <c r="N1743" s="26"/>
      <c r="O1743" s="93"/>
      <c r="P1743" s="95"/>
      <c r="Q1743" s="197"/>
    </row>
    <row r="1744" spans="3:17" x14ac:dyDescent="0.25">
      <c r="C1744" s="199"/>
      <c r="D1744" s="112"/>
      <c r="E1744" s="33"/>
      <c r="F1744" s="105"/>
      <c r="H1744" s="116"/>
      <c r="I1744" s="26"/>
      <c r="J1744" s="98"/>
      <c r="K1744" s="36"/>
      <c r="L1744" s="26"/>
      <c r="M1744" s="26"/>
      <c r="N1744" s="26"/>
      <c r="O1744" s="93"/>
      <c r="P1744" s="95"/>
      <c r="Q1744" s="197"/>
    </row>
    <row r="1745" spans="3:17" x14ac:dyDescent="0.25">
      <c r="C1745" s="199"/>
      <c r="D1745" s="112"/>
      <c r="E1745" s="33"/>
      <c r="F1745" s="105"/>
      <c r="H1745" s="116"/>
      <c r="I1745" s="26"/>
      <c r="J1745" s="98"/>
      <c r="K1745" s="36"/>
      <c r="L1745" s="26"/>
      <c r="M1745" s="26"/>
      <c r="N1745" s="26"/>
      <c r="O1745" s="93"/>
      <c r="P1745" s="95"/>
      <c r="Q1745" s="197"/>
    </row>
    <row r="1746" spans="3:17" x14ac:dyDescent="0.25">
      <c r="C1746" s="199"/>
      <c r="D1746" s="112"/>
      <c r="E1746" s="33"/>
      <c r="F1746" s="105"/>
      <c r="H1746" s="116"/>
      <c r="I1746" s="26"/>
      <c r="J1746" s="98"/>
      <c r="K1746" s="36"/>
      <c r="L1746" s="26"/>
      <c r="M1746" s="26"/>
      <c r="N1746" s="26"/>
      <c r="O1746" s="93"/>
      <c r="P1746" s="95"/>
      <c r="Q1746" s="197"/>
    </row>
    <row r="1747" spans="3:17" x14ac:dyDescent="0.25">
      <c r="C1747" s="199"/>
      <c r="D1747" s="112"/>
      <c r="E1747" s="33"/>
      <c r="F1747" s="105"/>
      <c r="H1747" s="116"/>
      <c r="I1747" s="26"/>
      <c r="J1747" s="98"/>
      <c r="K1747" s="36"/>
      <c r="L1747" s="26"/>
      <c r="M1747" s="26"/>
      <c r="N1747" s="26"/>
      <c r="O1747" s="93"/>
      <c r="P1747" s="95"/>
      <c r="Q1747" s="197"/>
    </row>
    <row r="1748" spans="3:17" x14ac:dyDescent="0.25">
      <c r="C1748" s="199"/>
      <c r="D1748" s="112"/>
      <c r="E1748" s="33"/>
      <c r="F1748" s="105"/>
      <c r="H1748" s="116"/>
      <c r="I1748" s="26"/>
      <c r="J1748" s="98"/>
      <c r="K1748" s="36"/>
      <c r="L1748" s="26"/>
      <c r="M1748" s="26"/>
      <c r="N1748" s="26"/>
      <c r="O1748" s="93"/>
      <c r="P1748" s="95"/>
      <c r="Q1748" s="197"/>
    </row>
    <row r="1749" spans="3:17" x14ac:dyDescent="0.25">
      <c r="C1749" s="199"/>
      <c r="D1749" s="112"/>
      <c r="E1749" s="33"/>
      <c r="F1749" s="105"/>
      <c r="H1749" s="116"/>
      <c r="I1749" s="26"/>
      <c r="J1749" s="98"/>
      <c r="K1749" s="36"/>
      <c r="L1749" s="26"/>
      <c r="M1749" s="26"/>
      <c r="N1749" s="26"/>
      <c r="O1749" s="93"/>
      <c r="P1749" s="95"/>
      <c r="Q1749" s="197"/>
    </row>
    <row r="1750" spans="3:17" x14ac:dyDescent="0.25">
      <c r="C1750" s="199"/>
      <c r="D1750" s="112"/>
      <c r="E1750" s="33"/>
      <c r="F1750" s="105"/>
      <c r="H1750" s="116"/>
      <c r="I1750" s="26"/>
      <c r="J1750" s="98"/>
      <c r="K1750" s="36"/>
      <c r="L1750" s="26"/>
      <c r="M1750" s="26"/>
      <c r="N1750" s="26"/>
      <c r="O1750" s="93"/>
      <c r="P1750" s="95"/>
      <c r="Q1750" s="197"/>
    </row>
    <row r="1751" spans="3:17" x14ac:dyDescent="0.25">
      <c r="C1751" s="199"/>
      <c r="D1751" s="112"/>
      <c r="E1751" s="33"/>
      <c r="F1751" s="105"/>
      <c r="H1751" s="116"/>
      <c r="I1751" s="26"/>
      <c r="J1751" s="98"/>
      <c r="K1751" s="36"/>
      <c r="L1751" s="26"/>
      <c r="M1751" s="26"/>
      <c r="N1751" s="26"/>
      <c r="O1751" s="93"/>
      <c r="P1751" s="95"/>
      <c r="Q1751" s="197"/>
    </row>
    <row r="1752" spans="3:17" x14ac:dyDescent="0.25">
      <c r="C1752" s="199"/>
      <c r="D1752" s="112"/>
      <c r="E1752" s="33"/>
      <c r="F1752" s="105"/>
      <c r="H1752" s="116"/>
      <c r="I1752" s="26"/>
      <c r="J1752" s="98"/>
      <c r="K1752" s="36"/>
      <c r="L1752" s="26"/>
      <c r="M1752" s="26"/>
      <c r="N1752" s="26"/>
      <c r="O1752" s="93"/>
      <c r="P1752" s="95"/>
      <c r="Q1752" s="197"/>
    </row>
    <row r="1753" spans="3:17" x14ac:dyDescent="0.25">
      <c r="C1753" s="199"/>
      <c r="D1753" s="112"/>
      <c r="E1753" s="33"/>
      <c r="F1753" s="105"/>
      <c r="H1753" s="116"/>
      <c r="I1753" s="26"/>
      <c r="J1753" s="98"/>
      <c r="K1753" s="36"/>
      <c r="L1753" s="26"/>
      <c r="M1753" s="26"/>
      <c r="N1753" s="26"/>
      <c r="O1753" s="93"/>
      <c r="P1753" s="95"/>
      <c r="Q1753" s="197"/>
    </row>
    <row r="1754" spans="3:17" x14ac:dyDescent="0.25">
      <c r="C1754" s="199"/>
      <c r="D1754" s="112"/>
      <c r="E1754" s="33"/>
      <c r="F1754" s="105"/>
      <c r="H1754" s="116"/>
      <c r="I1754" s="26"/>
      <c r="J1754" s="98"/>
      <c r="K1754" s="36"/>
      <c r="L1754" s="26"/>
      <c r="M1754" s="26"/>
      <c r="N1754" s="26"/>
      <c r="O1754" s="93"/>
      <c r="P1754" s="95"/>
      <c r="Q1754" s="197"/>
    </row>
    <row r="1755" spans="3:17" x14ac:dyDescent="0.25">
      <c r="C1755" s="199"/>
      <c r="D1755" s="112"/>
      <c r="E1755" s="33"/>
      <c r="F1755" s="105"/>
      <c r="H1755" s="116"/>
      <c r="I1755" s="26"/>
      <c r="J1755" s="98"/>
      <c r="K1755" s="36"/>
      <c r="L1755" s="26"/>
      <c r="M1755" s="26"/>
      <c r="N1755" s="26"/>
      <c r="O1755" s="93"/>
      <c r="P1755" s="95"/>
      <c r="Q1755" s="197"/>
    </row>
    <row r="1756" spans="3:17" x14ac:dyDescent="0.25">
      <c r="C1756" s="199"/>
      <c r="D1756" s="112"/>
      <c r="E1756" s="33"/>
      <c r="F1756" s="105"/>
      <c r="H1756" s="116"/>
      <c r="I1756" s="26"/>
      <c r="J1756" s="98"/>
      <c r="K1756" s="36"/>
      <c r="L1756" s="26"/>
      <c r="M1756" s="26"/>
      <c r="N1756" s="26"/>
      <c r="O1756" s="93"/>
      <c r="P1756" s="95"/>
      <c r="Q1756" s="197"/>
    </row>
    <row r="1757" spans="3:17" x14ac:dyDescent="0.25">
      <c r="C1757" s="199"/>
      <c r="D1757" s="112"/>
      <c r="E1757" s="33"/>
      <c r="F1757" s="105"/>
      <c r="H1757" s="116"/>
      <c r="I1757" s="26"/>
      <c r="J1757" s="98"/>
      <c r="K1757" s="36"/>
      <c r="L1757" s="26"/>
      <c r="M1757" s="26"/>
      <c r="N1757" s="26"/>
      <c r="O1757" s="93"/>
      <c r="P1757" s="95"/>
      <c r="Q1757" s="197"/>
    </row>
    <row r="1758" spans="3:17" x14ac:dyDescent="0.25">
      <c r="C1758" s="199"/>
      <c r="D1758" s="112"/>
      <c r="E1758" s="33"/>
      <c r="F1758" s="105"/>
      <c r="H1758" s="116"/>
      <c r="I1758" s="26"/>
      <c r="J1758" s="98"/>
      <c r="K1758" s="36"/>
      <c r="L1758" s="26"/>
      <c r="M1758" s="26"/>
      <c r="N1758" s="26"/>
      <c r="O1758" s="93"/>
      <c r="P1758" s="95"/>
      <c r="Q1758" s="197"/>
    </row>
    <row r="1759" spans="3:17" x14ac:dyDescent="0.25">
      <c r="C1759" s="199"/>
      <c r="D1759" s="112"/>
      <c r="E1759" s="33"/>
      <c r="F1759" s="105"/>
      <c r="H1759" s="116"/>
      <c r="I1759" s="26"/>
      <c r="J1759" s="98"/>
      <c r="K1759" s="36"/>
      <c r="L1759" s="26"/>
      <c r="M1759" s="26"/>
      <c r="N1759" s="26"/>
      <c r="O1759" s="93"/>
      <c r="P1759" s="95"/>
      <c r="Q1759" s="197"/>
    </row>
    <row r="1760" spans="3:17" x14ac:dyDescent="0.25">
      <c r="C1760" s="199"/>
      <c r="D1760" s="112"/>
      <c r="E1760" s="33"/>
      <c r="F1760" s="105"/>
      <c r="H1760" s="116"/>
      <c r="I1760" s="26"/>
      <c r="J1760" s="98"/>
      <c r="K1760" s="36"/>
      <c r="L1760" s="26"/>
      <c r="M1760" s="26"/>
      <c r="N1760" s="26"/>
      <c r="O1760" s="93"/>
      <c r="P1760" s="95"/>
      <c r="Q1760" s="197"/>
    </row>
    <row r="1761" spans="3:17" x14ac:dyDescent="0.25">
      <c r="C1761" s="199"/>
      <c r="D1761" s="112"/>
      <c r="E1761" s="33"/>
      <c r="F1761" s="105"/>
      <c r="H1761" s="116"/>
      <c r="I1761" s="26"/>
      <c r="J1761" s="98"/>
      <c r="K1761" s="36"/>
      <c r="L1761" s="26"/>
      <c r="M1761" s="26"/>
      <c r="N1761" s="26"/>
      <c r="O1761" s="93"/>
      <c r="P1761" s="95"/>
      <c r="Q1761" s="197"/>
    </row>
    <row r="1762" spans="3:17" x14ac:dyDescent="0.25">
      <c r="C1762" s="199"/>
      <c r="D1762" s="112"/>
      <c r="E1762" s="33"/>
      <c r="F1762" s="105"/>
      <c r="H1762" s="116"/>
      <c r="I1762" s="26"/>
      <c r="J1762" s="98"/>
      <c r="K1762" s="36"/>
      <c r="L1762" s="26"/>
      <c r="M1762" s="26"/>
      <c r="N1762" s="26"/>
      <c r="O1762" s="93"/>
      <c r="P1762" s="95"/>
      <c r="Q1762" s="197"/>
    </row>
    <row r="1763" spans="3:17" x14ac:dyDescent="0.25">
      <c r="C1763" s="199"/>
      <c r="D1763" s="112"/>
      <c r="E1763" s="33"/>
      <c r="F1763" s="105"/>
      <c r="H1763" s="116"/>
      <c r="I1763" s="26"/>
      <c r="J1763" s="98"/>
      <c r="K1763" s="36"/>
      <c r="L1763" s="26"/>
      <c r="M1763" s="26"/>
      <c r="N1763" s="26"/>
      <c r="O1763" s="93"/>
      <c r="P1763" s="95"/>
      <c r="Q1763" s="197"/>
    </row>
    <row r="1764" spans="3:17" x14ac:dyDescent="0.25">
      <c r="C1764" s="199"/>
      <c r="D1764" s="112"/>
      <c r="E1764" s="33"/>
      <c r="F1764" s="105"/>
      <c r="H1764" s="116"/>
      <c r="I1764" s="26"/>
      <c r="J1764" s="98"/>
      <c r="K1764" s="36"/>
      <c r="L1764" s="26"/>
      <c r="M1764" s="26"/>
      <c r="N1764" s="26"/>
      <c r="O1764" s="93"/>
      <c r="P1764" s="95"/>
      <c r="Q1764" s="197"/>
    </row>
    <row r="1765" spans="3:17" x14ac:dyDescent="0.25">
      <c r="C1765" s="199"/>
      <c r="D1765" s="112"/>
      <c r="E1765" s="33"/>
      <c r="F1765" s="105"/>
      <c r="H1765" s="116"/>
      <c r="I1765" s="26"/>
      <c r="J1765" s="98"/>
      <c r="K1765" s="36"/>
      <c r="L1765" s="26"/>
      <c r="M1765" s="26"/>
      <c r="N1765" s="26"/>
      <c r="O1765" s="93"/>
      <c r="P1765" s="95"/>
      <c r="Q1765" s="197"/>
    </row>
    <row r="1766" spans="3:17" x14ac:dyDescent="0.25">
      <c r="C1766" s="199"/>
      <c r="D1766" s="112"/>
      <c r="E1766" s="33"/>
      <c r="F1766" s="105"/>
      <c r="H1766" s="116"/>
      <c r="I1766" s="26"/>
      <c r="J1766" s="98"/>
      <c r="K1766" s="36"/>
      <c r="L1766" s="26"/>
      <c r="M1766" s="26"/>
      <c r="N1766" s="26"/>
      <c r="O1766" s="93"/>
      <c r="P1766" s="95"/>
      <c r="Q1766" s="197"/>
    </row>
    <row r="1767" spans="3:17" x14ac:dyDescent="0.25">
      <c r="C1767" s="199"/>
      <c r="D1767" s="112"/>
      <c r="E1767" s="33"/>
      <c r="F1767" s="105"/>
      <c r="H1767" s="116"/>
      <c r="I1767" s="26"/>
      <c r="J1767" s="98"/>
      <c r="K1767" s="36"/>
      <c r="L1767" s="26"/>
      <c r="M1767" s="26"/>
      <c r="N1767" s="26"/>
      <c r="O1767" s="93"/>
      <c r="P1767" s="95"/>
      <c r="Q1767" s="197"/>
    </row>
    <row r="1768" spans="3:17" x14ac:dyDescent="0.25">
      <c r="C1768" s="199"/>
      <c r="D1768" s="112"/>
      <c r="E1768" s="33"/>
      <c r="F1768" s="105"/>
      <c r="H1768" s="116"/>
      <c r="I1768" s="26"/>
      <c r="J1768" s="98"/>
      <c r="K1768" s="36"/>
      <c r="L1768" s="26"/>
      <c r="M1768" s="26"/>
      <c r="N1768" s="26"/>
      <c r="O1768" s="93"/>
      <c r="P1768" s="95"/>
      <c r="Q1768" s="197"/>
    </row>
    <row r="1769" spans="3:17" x14ac:dyDescent="0.25">
      <c r="C1769" s="199"/>
      <c r="D1769" s="112"/>
      <c r="E1769" s="33"/>
      <c r="F1769" s="105"/>
      <c r="H1769" s="116"/>
      <c r="I1769" s="26"/>
      <c r="J1769" s="98"/>
      <c r="K1769" s="36"/>
      <c r="L1769" s="26"/>
      <c r="M1769" s="26"/>
      <c r="N1769" s="26"/>
      <c r="O1769" s="93"/>
      <c r="P1769" s="95"/>
      <c r="Q1769" s="197"/>
    </row>
    <row r="1770" spans="3:17" x14ac:dyDescent="0.25">
      <c r="C1770" s="199"/>
      <c r="D1770" s="112"/>
      <c r="E1770" s="33"/>
      <c r="F1770" s="105"/>
      <c r="H1770" s="116"/>
      <c r="I1770" s="26"/>
      <c r="J1770" s="98"/>
      <c r="K1770" s="36"/>
      <c r="L1770" s="26"/>
      <c r="M1770" s="26"/>
      <c r="N1770" s="26"/>
      <c r="O1770" s="93"/>
      <c r="P1770" s="95"/>
      <c r="Q1770" s="197"/>
    </row>
    <row r="1771" spans="3:17" x14ac:dyDescent="0.25">
      <c r="C1771" s="199"/>
      <c r="D1771" s="112"/>
      <c r="E1771" s="33"/>
      <c r="F1771" s="105"/>
      <c r="H1771" s="116"/>
      <c r="I1771" s="26"/>
      <c r="J1771" s="98"/>
      <c r="K1771" s="36"/>
      <c r="L1771" s="26"/>
      <c r="M1771" s="26"/>
      <c r="N1771" s="26"/>
      <c r="O1771" s="93"/>
      <c r="P1771" s="95"/>
      <c r="Q1771" s="197"/>
    </row>
    <row r="1772" spans="3:17" x14ac:dyDescent="0.25">
      <c r="C1772" s="199"/>
      <c r="D1772" s="112"/>
      <c r="E1772" s="33"/>
      <c r="F1772" s="105"/>
      <c r="H1772" s="116"/>
      <c r="I1772" s="26"/>
      <c r="J1772" s="98"/>
      <c r="K1772" s="36"/>
      <c r="L1772" s="26"/>
      <c r="M1772" s="26"/>
      <c r="N1772" s="26"/>
      <c r="O1772" s="93"/>
      <c r="P1772" s="95"/>
      <c r="Q1772" s="197"/>
    </row>
    <row r="1773" spans="3:17" x14ac:dyDescent="0.25">
      <c r="C1773" s="199"/>
      <c r="D1773" s="112"/>
      <c r="E1773" s="33"/>
      <c r="F1773" s="105"/>
      <c r="H1773" s="116"/>
      <c r="I1773" s="26"/>
      <c r="J1773" s="98"/>
      <c r="K1773" s="36"/>
      <c r="L1773" s="26"/>
      <c r="M1773" s="26"/>
      <c r="N1773" s="26"/>
      <c r="O1773" s="93"/>
      <c r="P1773" s="95"/>
      <c r="Q1773" s="197"/>
    </row>
    <row r="1774" spans="3:17" x14ac:dyDescent="0.25">
      <c r="C1774" s="199"/>
      <c r="D1774" s="112"/>
      <c r="E1774" s="33"/>
      <c r="F1774" s="105"/>
      <c r="H1774" s="116"/>
      <c r="I1774" s="26"/>
      <c r="J1774" s="98"/>
      <c r="K1774" s="36"/>
      <c r="L1774" s="26"/>
      <c r="M1774" s="26"/>
      <c r="N1774" s="26"/>
      <c r="O1774" s="93"/>
      <c r="P1774" s="95"/>
      <c r="Q1774" s="197"/>
    </row>
    <row r="1775" spans="3:17" x14ac:dyDescent="0.25">
      <c r="C1775" s="199"/>
      <c r="D1775" s="112"/>
      <c r="E1775" s="33"/>
      <c r="F1775" s="105"/>
      <c r="H1775" s="116"/>
      <c r="I1775" s="26"/>
      <c r="J1775" s="98"/>
      <c r="K1775" s="36"/>
      <c r="L1775" s="26"/>
      <c r="M1775" s="26"/>
      <c r="N1775" s="26"/>
      <c r="O1775" s="93"/>
      <c r="P1775" s="95"/>
      <c r="Q1775" s="197"/>
    </row>
    <row r="1776" spans="3:17" x14ac:dyDescent="0.25">
      <c r="C1776" s="199"/>
      <c r="D1776" s="112"/>
      <c r="E1776" s="33"/>
      <c r="F1776" s="105"/>
      <c r="H1776" s="116"/>
      <c r="I1776" s="26"/>
      <c r="J1776" s="98"/>
      <c r="K1776" s="36"/>
      <c r="L1776" s="26"/>
      <c r="M1776" s="26"/>
      <c r="N1776" s="26"/>
      <c r="O1776" s="93"/>
      <c r="P1776" s="95"/>
      <c r="Q1776" s="197"/>
    </row>
    <row r="1777" spans="3:17" x14ac:dyDescent="0.25">
      <c r="C1777" s="199"/>
      <c r="D1777" s="112"/>
      <c r="E1777" s="33"/>
      <c r="F1777" s="105"/>
      <c r="H1777" s="116"/>
      <c r="I1777" s="26"/>
      <c r="J1777" s="98"/>
      <c r="K1777" s="36"/>
      <c r="L1777" s="26"/>
      <c r="M1777" s="26"/>
      <c r="N1777" s="26"/>
      <c r="O1777" s="93"/>
      <c r="P1777" s="95"/>
      <c r="Q1777" s="197"/>
    </row>
    <row r="1778" spans="3:17" x14ac:dyDescent="0.25">
      <c r="C1778" s="199"/>
      <c r="D1778" s="112"/>
      <c r="E1778" s="33"/>
      <c r="F1778" s="105"/>
      <c r="H1778" s="116"/>
      <c r="I1778" s="26"/>
      <c r="J1778" s="98"/>
      <c r="K1778" s="36"/>
      <c r="L1778" s="26"/>
      <c r="M1778" s="26"/>
      <c r="N1778" s="26"/>
      <c r="O1778" s="93"/>
      <c r="P1778" s="95"/>
      <c r="Q1778" s="197"/>
    </row>
    <row r="1779" spans="3:17" x14ac:dyDescent="0.25">
      <c r="C1779" s="199"/>
      <c r="D1779" s="112"/>
      <c r="E1779" s="33"/>
      <c r="F1779" s="105"/>
      <c r="H1779" s="116"/>
      <c r="I1779" s="26"/>
      <c r="J1779" s="98"/>
      <c r="K1779" s="36"/>
      <c r="L1779" s="26"/>
      <c r="M1779" s="26"/>
      <c r="N1779" s="26"/>
      <c r="O1779" s="93"/>
      <c r="P1779" s="95"/>
      <c r="Q1779" s="197"/>
    </row>
    <row r="1780" spans="3:17" x14ac:dyDescent="0.25">
      <c r="C1780" s="199"/>
      <c r="D1780" s="112"/>
      <c r="E1780" s="33"/>
      <c r="F1780" s="105"/>
      <c r="H1780" s="116"/>
      <c r="I1780" s="26"/>
      <c r="J1780" s="98"/>
      <c r="K1780" s="36"/>
      <c r="L1780" s="26"/>
      <c r="M1780" s="26"/>
      <c r="N1780" s="26"/>
      <c r="O1780" s="93"/>
      <c r="P1780" s="95"/>
      <c r="Q1780" s="197"/>
    </row>
    <row r="1781" spans="3:17" x14ac:dyDescent="0.25">
      <c r="C1781" s="199"/>
      <c r="D1781" s="112"/>
      <c r="E1781" s="33"/>
      <c r="F1781" s="105"/>
      <c r="H1781" s="116"/>
      <c r="I1781" s="26"/>
      <c r="J1781" s="98"/>
      <c r="K1781" s="36"/>
      <c r="L1781" s="26"/>
      <c r="M1781" s="26"/>
      <c r="N1781" s="26"/>
      <c r="O1781" s="93"/>
      <c r="P1781" s="95"/>
      <c r="Q1781" s="197"/>
    </row>
    <row r="1782" spans="3:17" x14ac:dyDescent="0.25">
      <c r="C1782" s="199"/>
      <c r="D1782" s="112"/>
      <c r="E1782" s="33"/>
      <c r="F1782" s="105"/>
      <c r="H1782" s="116"/>
      <c r="I1782" s="26"/>
      <c r="J1782" s="98"/>
      <c r="K1782" s="36"/>
      <c r="L1782" s="26"/>
      <c r="M1782" s="26"/>
      <c r="N1782" s="26"/>
      <c r="O1782" s="93"/>
      <c r="P1782" s="95"/>
      <c r="Q1782" s="197"/>
    </row>
    <row r="1783" spans="3:17" x14ac:dyDescent="0.25">
      <c r="C1783" s="199"/>
      <c r="D1783" s="112"/>
      <c r="E1783" s="33"/>
      <c r="F1783" s="105"/>
      <c r="H1783" s="116"/>
      <c r="I1783" s="26"/>
      <c r="J1783" s="98"/>
      <c r="K1783" s="36"/>
      <c r="L1783" s="26"/>
      <c r="M1783" s="26"/>
      <c r="N1783" s="26"/>
      <c r="O1783" s="93"/>
      <c r="P1783" s="95"/>
      <c r="Q1783" s="197"/>
    </row>
    <row r="1784" spans="3:17" x14ac:dyDescent="0.25">
      <c r="C1784" s="199"/>
      <c r="D1784" s="112"/>
      <c r="E1784" s="33"/>
      <c r="F1784" s="105"/>
      <c r="H1784" s="116"/>
      <c r="I1784" s="26"/>
      <c r="J1784" s="98"/>
      <c r="K1784" s="36"/>
      <c r="L1784" s="26"/>
      <c r="M1784" s="26"/>
      <c r="N1784" s="26"/>
      <c r="O1784" s="93"/>
      <c r="P1784" s="95"/>
      <c r="Q1784" s="197"/>
    </row>
    <row r="1785" spans="3:17" x14ac:dyDescent="0.25">
      <c r="C1785" s="199"/>
      <c r="D1785" s="112"/>
      <c r="E1785" s="33"/>
      <c r="F1785" s="105"/>
      <c r="H1785" s="116"/>
      <c r="I1785" s="26"/>
      <c r="J1785" s="98"/>
      <c r="K1785" s="36"/>
      <c r="L1785" s="26"/>
      <c r="M1785" s="26"/>
      <c r="N1785" s="26"/>
      <c r="O1785" s="93"/>
      <c r="P1785" s="95"/>
      <c r="Q1785" s="197"/>
    </row>
    <row r="1786" spans="3:17" x14ac:dyDescent="0.25">
      <c r="C1786" s="199"/>
      <c r="D1786" s="112"/>
      <c r="E1786" s="33"/>
      <c r="F1786" s="105"/>
      <c r="H1786" s="116"/>
      <c r="I1786" s="26"/>
      <c r="J1786" s="98"/>
      <c r="K1786" s="36"/>
      <c r="L1786" s="26"/>
      <c r="M1786" s="26"/>
      <c r="N1786" s="26"/>
      <c r="O1786" s="93"/>
      <c r="P1786" s="95"/>
      <c r="Q1786" s="197"/>
    </row>
    <row r="1787" spans="3:17" x14ac:dyDescent="0.25">
      <c r="C1787" s="199"/>
      <c r="D1787" s="112"/>
      <c r="E1787" s="33"/>
      <c r="F1787" s="105"/>
      <c r="H1787" s="116"/>
      <c r="I1787" s="26"/>
      <c r="J1787" s="98"/>
      <c r="K1787" s="36"/>
      <c r="L1787" s="26"/>
      <c r="M1787" s="26"/>
      <c r="N1787" s="26"/>
      <c r="O1787" s="93"/>
      <c r="P1787" s="95"/>
      <c r="Q1787" s="197"/>
    </row>
    <row r="1788" spans="3:17" x14ac:dyDescent="0.25">
      <c r="C1788" s="199"/>
      <c r="D1788" s="112"/>
      <c r="E1788" s="33"/>
      <c r="F1788" s="105"/>
      <c r="H1788" s="116"/>
      <c r="I1788" s="26"/>
      <c r="J1788" s="98"/>
      <c r="K1788" s="36"/>
      <c r="L1788" s="26"/>
      <c r="M1788" s="26"/>
      <c r="N1788" s="26"/>
      <c r="O1788" s="93"/>
      <c r="P1788" s="95"/>
      <c r="Q1788" s="197"/>
    </row>
    <row r="1789" spans="3:17" x14ac:dyDescent="0.25">
      <c r="C1789" s="199"/>
      <c r="D1789" s="112"/>
      <c r="E1789" s="33"/>
      <c r="F1789" s="105"/>
      <c r="H1789" s="116"/>
      <c r="I1789" s="26"/>
      <c r="J1789" s="98"/>
      <c r="K1789" s="36"/>
      <c r="L1789" s="26"/>
      <c r="M1789" s="26"/>
      <c r="N1789" s="26"/>
      <c r="O1789" s="93"/>
      <c r="P1789" s="95"/>
      <c r="Q1789" s="197"/>
    </row>
    <row r="1790" spans="3:17" x14ac:dyDescent="0.25">
      <c r="C1790" s="199"/>
      <c r="D1790" s="112"/>
      <c r="E1790" s="33"/>
      <c r="F1790" s="105"/>
      <c r="H1790" s="116"/>
      <c r="I1790" s="26"/>
      <c r="J1790" s="98"/>
      <c r="K1790" s="36"/>
      <c r="L1790" s="26"/>
      <c r="M1790" s="26"/>
      <c r="N1790" s="26"/>
      <c r="O1790" s="93"/>
      <c r="P1790" s="95"/>
      <c r="Q1790" s="197"/>
    </row>
    <row r="1791" spans="3:17" x14ac:dyDescent="0.25">
      <c r="C1791" s="199"/>
      <c r="D1791" s="112"/>
      <c r="E1791" s="33"/>
      <c r="F1791" s="105"/>
      <c r="H1791" s="116"/>
      <c r="I1791" s="26"/>
      <c r="J1791" s="98"/>
      <c r="K1791" s="36"/>
      <c r="L1791" s="26"/>
      <c r="M1791" s="26"/>
      <c r="N1791" s="26"/>
      <c r="O1791" s="93"/>
      <c r="P1791" s="95"/>
      <c r="Q1791" s="197"/>
    </row>
    <row r="1792" spans="3:17" x14ac:dyDescent="0.25">
      <c r="C1792" s="199"/>
      <c r="D1792" s="112"/>
      <c r="E1792" s="33"/>
      <c r="F1792" s="105"/>
      <c r="H1792" s="116"/>
      <c r="I1792" s="26"/>
      <c r="J1792" s="98"/>
      <c r="K1792" s="36"/>
      <c r="L1792" s="26"/>
      <c r="M1792" s="26"/>
      <c r="N1792" s="26"/>
      <c r="O1792" s="93"/>
      <c r="P1792" s="95"/>
      <c r="Q1792" s="197"/>
    </row>
    <row r="1793" spans="3:17" x14ac:dyDescent="0.25">
      <c r="C1793" s="199"/>
      <c r="D1793" s="112"/>
      <c r="E1793" s="33"/>
      <c r="F1793" s="105"/>
      <c r="H1793" s="116"/>
      <c r="I1793" s="26"/>
      <c r="J1793" s="98"/>
      <c r="K1793" s="36"/>
      <c r="L1793" s="26"/>
      <c r="M1793" s="26"/>
      <c r="N1793" s="26"/>
      <c r="O1793" s="93"/>
      <c r="P1793" s="95"/>
      <c r="Q1793" s="197"/>
    </row>
    <row r="1794" spans="3:17" x14ac:dyDescent="0.25">
      <c r="C1794" s="199"/>
      <c r="D1794" s="112"/>
      <c r="E1794" s="33"/>
      <c r="F1794" s="105"/>
      <c r="H1794" s="116"/>
      <c r="I1794" s="26"/>
      <c r="J1794" s="98"/>
      <c r="K1794" s="36"/>
      <c r="L1794" s="26"/>
      <c r="M1794" s="26"/>
      <c r="N1794" s="26"/>
      <c r="O1794" s="93"/>
      <c r="P1794" s="95"/>
      <c r="Q1794" s="197"/>
    </row>
    <row r="1795" spans="3:17" x14ac:dyDescent="0.25">
      <c r="C1795" s="199"/>
      <c r="D1795" s="112"/>
      <c r="E1795" s="33"/>
      <c r="F1795" s="105"/>
      <c r="H1795" s="116"/>
      <c r="I1795" s="26"/>
      <c r="J1795" s="98"/>
      <c r="K1795" s="36"/>
      <c r="L1795" s="26"/>
      <c r="M1795" s="26"/>
      <c r="N1795" s="26"/>
      <c r="O1795" s="93"/>
      <c r="P1795" s="95"/>
      <c r="Q1795" s="197"/>
    </row>
    <row r="1796" spans="3:17" x14ac:dyDescent="0.25">
      <c r="C1796" s="199"/>
      <c r="D1796" s="112"/>
      <c r="E1796" s="33"/>
      <c r="F1796" s="105"/>
      <c r="H1796" s="116"/>
      <c r="I1796" s="26"/>
      <c r="J1796" s="98"/>
      <c r="K1796" s="36"/>
      <c r="L1796" s="26"/>
      <c r="M1796" s="26"/>
      <c r="N1796" s="26"/>
      <c r="O1796" s="93"/>
      <c r="P1796" s="95"/>
      <c r="Q1796" s="197"/>
    </row>
    <row r="1797" spans="3:17" x14ac:dyDescent="0.25">
      <c r="C1797" s="199"/>
      <c r="D1797" s="112"/>
      <c r="E1797" s="33"/>
      <c r="F1797" s="105"/>
      <c r="H1797" s="116"/>
      <c r="I1797" s="26"/>
      <c r="J1797" s="98"/>
      <c r="K1797" s="36"/>
      <c r="L1797" s="26"/>
      <c r="M1797" s="26"/>
      <c r="N1797" s="26"/>
      <c r="O1797" s="93"/>
      <c r="P1797" s="95"/>
      <c r="Q1797" s="197"/>
    </row>
    <row r="1798" spans="3:17" x14ac:dyDescent="0.25">
      <c r="C1798" s="199"/>
      <c r="D1798" s="112"/>
      <c r="E1798" s="33"/>
      <c r="F1798" s="105"/>
      <c r="H1798" s="116"/>
      <c r="I1798" s="26"/>
      <c r="J1798" s="98"/>
      <c r="K1798" s="36"/>
      <c r="L1798" s="26"/>
      <c r="M1798" s="26"/>
      <c r="N1798" s="26"/>
      <c r="O1798" s="93"/>
      <c r="P1798" s="95"/>
      <c r="Q1798" s="197"/>
    </row>
    <row r="1799" spans="3:17" x14ac:dyDescent="0.25">
      <c r="C1799" s="199"/>
      <c r="D1799" s="112"/>
      <c r="E1799" s="33"/>
      <c r="F1799" s="105"/>
      <c r="H1799" s="116"/>
      <c r="I1799" s="26"/>
      <c r="J1799" s="98"/>
      <c r="K1799" s="36"/>
      <c r="L1799" s="26"/>
      <c r="M1799" s="26"/>
      <c r="N1799" s="26"/>
      <c r="O1799" s="93"/>
      <c r="P1799" s="95"/>
      <c r="Q1799" s="197"/>
    </row>
    <row r="1800" spans="3:17" x14ac:dyDescent="0.25">
      <c r="C1800" s="199"/>
      <c r="D1800" s="112"/>
      <c r="E1800" s="33"/>
      <c r="F1800" s="105"/>
      <c r="H1800" s="116"/>
      <c r="I1800" s="26"/>
      <c r="J1800" s="98"/>
      <c r="K1800" s="36"/>
      <c r="L1800" s="26"/>
      <c r="M1800" s="26"/>
      <c r="N1800" s="26"/>
      <c r="O1800" s="93"/>
      <c r="P1800" s="95"/>
      <c r="Q1800" s="197"/>
    </row>
    <row r="1801" spans="3:17" x14ac:dyDescent="0.25">
      <c r="C1801" s="199"/>
      <c r="D1801" s="112"/>
      <c r="E1801" s="33"/>
      <c r="F1801" s="105"/>
      <c r="H1801" s="116"/>
      <c r="I1801" s="26"/>
      <c r="J1801" s="98"/>
      <c r="K1801" s="36"/>
      <c r="L1801" s="26"/>
      <c r="M1801" s="26"/>
      <c r="N1801" s="26"/>
      <c r="O1801" s="93"/>
      <c r="P1801" s="95"/>
      <c r="Q1801" s="197"/>
    </row>
    <row r="1802" spans="3:17" x14ac:dyDescent="0.25">
      <c r="C1802" s="199"/>
      <c r="D1802" s="112"/>
      <c r="E1802" s="33"/>
      <c r="F1802" s="105"/>
      <c r="H1802" s="116"/>
      <c r="I1802" s="26"/>
      <c r="J1802" s="98"/>
      <c r="K1802" s="36"/>
      <c r="L1802" s="26"/>
      <c r="M1802" s="26"/>
      <c r="N1802" s="26"/>
      <c r="O1802" s="93"/>
      <c r="P1802" s="95"/>
      <c r="Q1802" s="197"/>
    </row>
    <row r="1803" spans="3:17" x14ac:dyDescent="0.25">
      <c r="C1803" s="199"/>
      <c r="D1803" s="112"/>
      <c r="E1803" s="33"/>
      <c r="F1803" s="105"/>
      <c r="H1803" s="116"/>
      <c r="I1803" s="26"/>
      <c r="J1803" s="98"/>
      <c r="K1803" s="36"/>
      <c r="L1803" s="26"/>
      <c r="M1803" s="26"/>
      <c r="N1803" s="26"/>
      <c r="O1803" s="93"/>
      <c r="P1803" s="95"/>
      <c r="Q1803" s="197"/>
    </row>
    <row r="1804" spans="3:17" x14ac:dyDescent="0.25">
      <c r="C1804" s="199"/>
      <c r="D1804" s="112"/>
      <c r="E1804" s="33"/>
      <c r="F1804" s="105"/>
      <c r="H1804" s="116"/>
      <c r="I1804" s="26"/>
      <c r="J1804" s="98"/>
      <c r="K1804" s="36"/>
      <c r="L1804" s="26"/>
      <c r="M1804" s="26"/>
      <c r="N1804" s="26"/>
      <c r="O1804" s="93"/>
      <c r="P1804" s="95"/>
      <c r="Q1804" s="197"/>
    </row>
    <row r="1805" spans="3:17" x14ac:dyDescent="0.25">
      <c r="C1805" s="199"/>
      <c r="D1805" s="112"/>
      <c r="E1805" s="33"/>
      <c r="F1805" s="105"/>
      <c r="H1805" s="116"/>
      <c r="I1805" s="26"/>
      <c r="J1805" s="98"/>
      <c r="K1805" s="36"/>
      <c r="L1805" s="26"/>
      <c r="M1805" s="26"/>
      <c r="N1805" s="26"/>
      <c r="O1805" s="93"/>
      <c r="P1805" s="95"/>
      <c r="Q1805" s="197"/>
    </row>
    <row r="1806" spans="3:17" x14ac:dyDescent="0.25">
      <c r="C1806" s="199"/>
      <c r="D1806" s="112"/>
      <c r="E1806" s="33"/>
      <c r="F1806" s="105"/>
      <c r="H1806" s="116"/>
      <c r="I1806" s="26"/>
      <c r="J1806" s="98"/>
      <c r="K1806" s="36"/>
      <c r="L1806" s="26"/>
      <c r="M1806" s="26"/>
      <c r="N1806" s="26"/>
      <c r="O1806" s="93"/>
      <c r="P1806" s="95"/>
      <c r="Q1806" s="197"/>
    </row>
    <row r="1807" spans="3:17" x14ac:dyDescent="0.25">
      <c r="C1807" s="199"/>
      <c r="D1807" s="112"/>
      <c r="E1807" s="33"/>
      <c r="F1807" s="105"/>
      <c r="H1807" s="116"/>
      <c r="I1807" s="26"/>
      <c r="J1807" s="98"/>
      <c r="K1807" s="36"/>
      <c r="L1807" s="26"/>
      <c r="M1807" s="26"/>
      <c r="N1807" s="26"/>
      <c r="O1807" s="93"/>
      <c r="P1807" s="95"/>
      <c r="Q1807" s="197"/>
    </row>
    <row r="1808" spans="3:17" x14ac:dyDescent="0.25">
      <c r="C1808" s="199"/>
      <c r="D1808" s="112"/>
      <c r="E1808" s="33"/>
      <c r="F1808" s="105"/>
      <c r="H1808" s="116"/>
      <c r="I1808" s="26"/>
      <c r="J1808" s="98"/>
      <c r="K1808" s="36"/>
      <c r="L1808" s="26"/>
      <c r="M1808" s="26"/>
      <c r="N1808" s="26"/>
      <c r="O1808" s="93"/>
      <c r="P1808" s="95"/>
      <c r="Q1808" s="197"/>
    </row>
    <row r="1809" spans="3:17" x14ac:dyDescent="0.25">
      <c r="C1809" s="199"/>
      <c r="D1809" s="112"/>
      <c r="E1809" s="33"/>
      <c r="F1809" s="105"/>
      <c r="H1809" s="116"/>
      <c r="I1809" s="26"/>
      <c r="J1809" s="98"/>
      <c r="K1809" s="36"/>
      <c r="L1809" s="26"/>
      <c r="M1809" s="26"/>
      <c r="N1809" s="26"/>
      <c r="O1809" s="93"/>
      <c r="P1809" s="95"/>
      <c r="Q1809" s="197"/>
    </row>
    <row r="1810" spans="3:17" x14ac:dyDescent="0.25">
      <c r="C1810" s="199"/>
      <c r="D1810" s="112"/>
      <c r="E1810" s="33"/>
      <c r="F1810" s="105"/>
      <c r="H1810" s="116"/>
      <c r="I1810" s="26"/>
      <c r="J1810" s="98"/>
      <c r="K1810" s="36"/>
      <c r="L1810" s="26"/>
      <c r="M1810" s="26"/>
      <c r="N1810" s="26"/>
      <c r="O1810" s="93"/>
      <c r="P1810" s="95"/>
      <c r="Q1810" s="197"/>
    </row>
    <row r="1811" spans="3:17" x14ac:dyDescent="0.25">
      <c r="C1811" s="199"/>
      <c r="D1811" s="112"/>
      <c r="E1811" s="33"/>
      <c r="F1811" s="105"/>
      <c r="H1811" s="116"/>
      <c r="I1811" s="26"/>
      <c r="J1811" s="98"/>
      <c r="K1811" s="36"/>
      <c r="L1811" s="26"/>
      <c r="M1811" s="26"/>
      <c r="N1811" s="26"/>
      <c r="O1811" s="93"/>
      <c r="P1811" s="95"/>
      <c r="Q1811" s="197"/>
    </row>
    <row r="1812" spans="3:17" x14ac:dyDescent="0.25">
      <c r="C1812" s="199"/>
      <c r="D1812" s="112"/>
      <c r="E1812" s="33"/>
      <c r="F1812" s="105"/>
      <c r="H1812" s="116"/>
      <c r="I1812" s="26"/>
      <c r="J1812" s="98"/>
      <c r="K1812" s="36"/>
      <c r="L1812" s="26"/>
      <c r="M1812" s="26"/>
      <c r="N1812" s="26"/>
      <c r="O1812" s="93"/>
      <c r="P1812" s="95"/>
      <c r="Q1812" s="197"/>
    </row>
    <row r="1813" spans="3:17" x14ac:dyDescent="0.25">
      <c r="C1813" s="199"/>
      <c r="D1813" s="112"/>
      <c r="E1813" s="33"/>
      <c r="F1813" s="105"/>
      <c r="H1813" s="116"/>
      <c r="I1813" s="26"/>
      <c r="J1813" s="98"/>
      <c r="K1813" s="36"/>
      <c r="L1813" s="26"/>
      <c r="M1813" s="26"/>
      <c r="N1813" s="26"/>
      <c r="O1813" s="93"/>
      <c r="P1813" s="95"/>
      <c r="Q1813" s="197"/>
    </row>
    <row r="1814" spans="3:17" x14ac:dyDescent="0.25">
      <c r="C1814" s="199"/>
      <c r="D1814" s="112"/>
      <c r="E1814" s="33"/>
      <c r="F1814" s="105"/>
      <c r="H1814" s="116"/>
      <c r="I1814" s="26"/>
      <c r="J1814" s="98"/>
      <c r="K1814" s="36"/>
      <c r="L1814" s="26"/>
      <c r="M1814" s="26"/>
      <c r="N1814" s="26"/>
      <c r="O1814" s="93"/>
      <c r="P1814" s="95"/>
      <c r="Q1814" s="197"/>
    </row>
    <row r="1815" spans="3:17" x14ac:dyDescent="0.25">
      <c r="C1815" s="199"/>
      <c r="D1815" s="112"/>
      <c r="E1815" s="33"/>
      <c r="F1815" s="105"/>
      <c r="H1815" s="116"/>
      <c r="I1815" s="26"/>
      <c r="J1815" s="98"/>
      <c r="K1815" s="36"/>
      <c r="L1815" s="26"/>
      <c r="M1815" s="26"/>
      <c r="N1815" s="26"/>
      <c r="O1815" s="93"/>
      <c r="P1815" s="95"/>
      <c r="Q1815" s="197"/>
    </row>
    <row r="1816" spans="3:17" x14ac:dyDescent="0.25">
      <c r="C1816" s="199"/>
      <c r="D1816" s="112"/>
      <c r="E1816" s="33"/>
      <c r="F1816" s="105"/>
      <c r="H1816" s="116"/>
      <c r="I1816" s="26"/>
      <c r="J1816" s="98"/>
      <c r="K1816" s="36"/>
      <c r="L1816" s="26"/>
      <c r="M1816" s="26"/>
      <c r="N1816" s="26"/>
      <c r="O1816" s="93"/>
      <c r="P1816" s="95"/>
      <c r="Q1816" s="197"/>
    </row>
    <row r="1817" spans="3:17" x14ac:dyDescent="0.25">
      <c r="C1817" s="199"/>
      <c r="D1817" s="112"/>
      <c r="E1817" s="33"/>
      <c r="F1817" s="105"/>
      <c r="H1817" s="116"/>
      <c r="I1817" s="26"/>
      <c r="J1817" s="98"/>
      <c r="K1817" s="36"/>
      <c r="L1817" s="26"/>
      <c r="M1817" s="26"/>
      <c r="N1817" s="26"/>
      <c r="O1817" s="93"/>
      <c r="P1817" s="95"/>
      <c r="Q1817" s="197"/>
    </row>
    <row r="1818" spans="3:17" x14ac:dyDescent="0.25">
      <c r="C1818" s="199"/>
      <c r="D1818" s="112"/>
      <c r="E1818" s="33"/>
      <c r="F1818" s="105"/>
      <c r="H1818" s="116"/>
      <c r="I1818" s="26"/>
      <c r="J1818" s="98"/>
      <c r="K1818" s="36"/>
      <c r="L1818" s="26"/>
      <c r="M1818" s="26"/>
      <c r="N1818" s="26"/>
      <c r="O1818" s="93"/>
      <c r="P1818" s="95"/>
      <c r="Q1818" s="197"/>
    </row>
    <row r="1819" spans="3:17" x14ac:dyDescent="0.25">
      <c r="C1819" s="199"/>
      <c r="D1819" s="112"/>
      <c r="E1819" s="33"/>
      <c r="F1819" s="105"/>
      <c r="H1819" s="116"/>
      <c r="I1819" s="26"/>
      <c r="J1819" s="98"/>
      <c r="K1819" s="36"/>
      <c r="L1819" s="26"/>
      <c r="M1819" s="26"/>
      <c r="N1819" s="26"/>
      <c r="O1819" s="93"/>
      <c r="P1819" s="95"/>
      <c r="Q1819" s="197"/>
    </row>
    <row r="1820" spans="3:17" x14ac:dyDescent="0.25">
      <c r="C1820" s="199"/>
      <c r="D1820" s="112"/>
      <c r="E1820" s="33"/>
      <c r="F1820" s="105"/>
      <c r="H1820" s="116"/>
      <c r="I1820" s="26"/>
      <c r="J1820" s="98"/>
      <c r="K1820" s="36"/>
      <c r="L1820" s="26"/>
      <c r="M1820" s="26"/>
      <c r="N1820" s="26"/>
      <c r="O1820" s="93"/>
      <c r="P1820" s="95"/>
      <c r="Q1820" s="197"/>
    </row>
    <row r="1821" spans="3:17" x14ac:dyDescent="0.25">
      <c r="C1821" s="199"/>
      <c r="D1821" s="112"/>
      <c r="E1821" s="33"/>
      <c r="F1821" s="105"/>
      <c r="H1821" s="116"/>
      <c r="I1821" s="26"/>
      <c r="J1821" s="98"/>
      <c r="K1821" s="36"/>
      <c r="L1821" s="26"/>
      <c r="M1821" s="26"/>
      <c r="N1821" s="26"/>
      <c r="O1821" s="93"/>
      <c r="P1821" s="95"/>
      <c r="Q1821" s="197"/>
    </row>
    <row r="1822" spans="3:17" x14ac:dyDescent="0.25">
      <c r="C1822" s="199"/>
      <c r="D1822" s="112"/>
      <c r="E1822" s="33"/>
      <c r="F1822" s="105"/>
      <c r="H1822" s="116"/>
      <c r="I1822" s="26"/>
      <c r="J1822" s="98"/>
      <c r="K1822" s="36"/>
      <c r="L1822" s="26"/>
      <c r="M1822" s="26"/>
      <c r="N1822" s="26"/>
      <c r="O1822" s="93"/>
      <c r="P1822" s="95"/>
      <c r="Q1822" s="197"/>
    </row>
    <row r="1823" spans="3:17" x14ac:dyDescent="0.25">
      <c r="C1823" s="199"/>
      <c r="D1823" s="112"/>
      <c r="E1823" s="33"/>
      <c r="F1823" s="105"/>
      <c r="H1823" s="116"/>
      <c r="I1823" s="26"/>
      <c r="J1823" s="98"/>
      <c r="K1823" s="36"/>
      <c r="L1823" s="26"/>
      <c r="M1823" s="26"/>
      <c r="N1823" s="26"/>
      <c r="O1823" s="93"/>
      <c r="P1823" s="95"/>
      <c r="Q1823" s="197"/>
    </row>
    <row r="1824" spans="3:17" x14ac:dyDescent="0.25">
      <c r="C1824" s="199"/>
      <c r="D1824" s="112"/>
      <c r="E1824" s="33"/>
      <c r="F1824" s="105"/>
      <c r="H1824" s="116"/>
      <c r="I1824" s="26"/>
      <c r="J1824" s="98"/>
      <c r="K1824" s="36"/>
      <c r="L1824" s="26"/>
      <c r="M1824" s="26"/>
      <c r="N1824" s="26"/>
      <c r="O1824" s="93"/>
      <c r="P1824" s="95"/>
      <c r="Q1824" s="197"/>
    </row>
    <row r="1825" spans="3:17" x14ac:dyDescent="0.25">
      <c r="C1825" s="199"/>
      <c r="D1825" s="112"/>
      <c r="E1825" s="33"/>
      <c r="F1825" s="105"/>
      <c r="H1825" s="116"/>
      <c r="I1825" s="26"/>
      <c r="J1825" s="98"/>
      <c r="K1825" s="36"/>
      <c r="L1825" s="26"/>
      <c r="M1825" s="26"/>
      <c r="N1825" s="26"/>
      <c r="O1825" s="93"/>
      <c r="P1825" s="95"/>
      <c r="Q1825" s="197"/>
    </row>
    <row r="1826" spans="3:17" x14ac:dyDescent="0.25">
      <c r="C1826" s="199"/>
      <c r="D1826" s="112"/>
      <c r="E1826" s="33"/>
      <c r="F1826" s="105"/>
      <c r="H1826" s="116"/>
      <c r="I1826" s="26"/>
      <c r="J1826" s="98"/>
      <c r="K1826" s="36"/>
      <c r="L1826" s="26"/>
      <c r="M1826" s="26"/>
      <c r="N1826" s="26"/>
      <c r="O1826" s="93"/>
      <c r="P1826" s="95"/>
      <c r="Q1826" s="197"/>
    </row>
    <row r="1827" spans="3:17" x14ac:dyDescent="0.25">
      <c r="C1827" s="199"/>
      <c r="D1827" s="112"/>
      <c r="E1827" s="33"/>
      <c r="F1827" s="105"/>
      <c r="H1827" s="116"/>
      <c r="I1827" s="26"/>
      <c r="J1827" s="98"/>
      <c r="K1827" s="36"/>
      <c r="L1827" s="26"/>
      <c r="M1827" s="26"/>
      <c r="N1827" s="26"/>
      <c r="O1827" s="93"/>
      <c r="P1827" s="95"/>
      <c r="Q1827" s="197"/>
    </row>
    <row r="1828" spans="3:17" x14ac:dyDescent="0.25">
      <c r="C1828" s="199"/>
      <c r="D1828" s="112"/>
      <c r="E1828" s="33"/>
      <c r="F1828" s="105"/>
      <c r="H1828" s="116"/>
      <c r="I1828" s="26"/>
      <c r="J1828" s="98"/>
      <c r="K1828" s="36"/>
      <c r="L1828" s="26"/>
      <c r="M1828" s="26"/>
      <c r="N1828" s="26"/>
      <c r="O1828" s="93"/>
      <c r="P1828" s="95"/>
      <c r="Q1828" s="197"/>
    </row>
    <row r="1829" spans="3:17" x14ac:dyDescent="0.25">
      <c r="C1829" s="199"/>
      <c r="D1829" s="112"/>
      <c r="E1829" s="33"/>
      <c r="F1829" s="105"/>
      <c r="H1829" s="116"/>
      <c r="I1829" s="26"/>
      <c r="J1829" s="98"/>
      <c r="K1829" s="36"/>
      <c r="L1829" s="26"/>
      <c r="M1829" s="26"/>
      <c r="N1829" s="26"/>
      <c r="O1829" s="93"/>
      <c r="P1829" s="95"/>
      <c r="Q1829" s="197"/>
    </row>
    <row r="1830" spans="3:17" x14ac:dyDescent="0.25">
      <c r="C1830" s="199"/>
      <c r="D1830" s="112"/>
      <c r="E1830" s="33"/>
      <c r="F1830" s="105"/>
      <c r="H1830" s="116"/>
      <c r="I1830" s="26"/>
      <c r="J1830" s="98"/>
      <c r="K1830" s="36"/>
      <c r="L1830" s="26"/>
      <c r="M1830" s="26"/>
      <c r="N1830" s="26"/>
      <c r="O1830" s="93"/>
      <c r="P1830" s="95"/>
      <c r="Q1830" s="197"/>
    </row>
    <row r="1831" spans="3:17" x14ac:dyDescent="0.25">
      <c r="C1831" s="199"/>
      <c r="D1831" s="112"/>
      <c r="E1831" s="33"/>
      <c r="F1831" s="105"/>
      <c r="H1831" s="116"/>
      <c r="I1831" s="26"/>
      <c r="J1831" s="98"/>
      <c r="K1831" s="36"/>
      <c r="L1831" s="26"/>
      <c r="M1831" s="26"/>
      <c r="N1831" s="26"/>
      <c r="O1831" s="93"/>
      <c r="P1831" s="95"/>
      <c r="Q1831" s="197"/>
    </row>
    <row r="1832" spans="3:17" x14ac:dyDescent="0.25">
      <c r="C1832" s="199"/>
      <c r="D1832" s="112"/>
      <c r="E1832" s="33"/>
      <c r="F1832" s="105"/>
      <c r="H1832" s="116"/>
      <c r="I1832" s="26"/>
      <c r="J1832" s="98"/>
      <c r="K1832" s="36"/>
      <c r="L1832" s="26"/>
      <c r="M1832" s="26"/>
      <c r="N1832" s="26"/>
      <c r="O1832" s="93"/>
      <c r="P1832" s="95"/>
      <c r="Q1832" s="197"/>
    </row>
    <row r="1833" spans="3:17" x14ac:dyDescent="0.25">
      <c r="C1833" s="199"/>
      <c r="D1833" s="112"/>
      <c r="E1833" s="33"/>
      <c r="F1833" s="105"/>
      <c r="H1833" s="116"/>
      <c r="I1833" s="26"/>
      <c r="J1833" s="98"/>
      <c r="K1833" s="36"/>
      <c r="L1833" s="26"/>
      <c r="M1833" s="26"/>
      <c r="N1833" s="26"/>
      <c r="O1833" s="93"/>
      <c r="P1833" s="95"/>
      <c r="Q1833" s="197"/>
    </row>
    <row r="1834" spans="3:17" x14ac:dyDescent="0.25">
      <c r="C1834" s="199"/>
      <c r="D1834" s="112"/>
      <c r="E1834" s="33"/>
      <c r="F1834" s="105"/>
      <c r="H1834" s="116"/>
      <c r="I1834" s="26"/>
      <c r="J1834" s="98"/>
      <c r="K1834" s="36"/>
      <c r="L1834" s="26"/>
      <c r="M1834" s="26"/>
      <c r="N1834" s="26"/>
      <c r="O1834" s="93"/>
      <c r="P1834" s="95"/>
      <c r="Q1834" s="197"/>
    </row>
    <row r="1835" spans="3:17" x14ac:dyDescent="0.25">
      <c r="C1835" s="199"/>
      <c r="D1835" s="112"/>
      <c r="E1835" s="33"/>
      <c r="F1835" s="105"/>
      <c r="H1835" s="116"/>
      <c r="I1835" s="26"/>
      <c r="J1835" s="98"/>
      <c r="K1835" s="36"/>
      <c r="L1835" s="26"/>
      <c r="M1835" s="26"/>
      <c r="N1835" s="26"/>
      <c r="O1835" s="93"/>
      <c r="P1835" s="95"/>
      <c r="Q1835" s="197"/>
    </row>
    <row r="1836" spans="3:17" x14ac:dyDescent="0.25">
      <c r="C1836" s="199"/>
      <c r="D1836" s="112"/>
      <c r="E1836" s="33"/>
      <c r="F1836" s="105"/>
      <c r="H1836" s="116"/>
      <c r="I1836" s="26"/>
      <c r="J1836" s="98"/>
      <c r="K1836" s="36"/>
      <c r="L1836" s="26"/>
      <c r="M1836" s="26"/>
      <c r="N1836" s="26"/>
      <c r="O1836" s="93"/>
      <c r="P1836" s="95"/>
      <c r="Q1836" s="197"/>
    </row>
    <row r="1837" spans="3:17" x14ac:dyDescent="0.25">
      <c r="C1837" s="199"/>
      <c r="D1837" s="112"/>
      <c r="E1837" s="33"/>
      <c r="F1837" s="105"/>
      <c r="H1837" s="116"/>
      <c r="I1837" s="26"/>
      <c r="J1837" s="98"/>
      <c r="K1837" s="36"/>
      <c r="L1837" s="26"/>
      <c r="M1837" s="26"/>
      <c r="N1837" s="26"/>
      <c r="O1837" s="93"/>
      <c r="P1837" s="95"/>
      <c r="Q1837" s="197"/>
    </row>
    <row r="1838" spans="3:17" x14ac:dyDescent="0.25">
      <c r="C1838" s="199"/>
      <c r="D1838" s="112"/>
      <c r="E1838" s="33"/>
      <c r="F1838" s="105"/>
      <c r="H1838" s="116"/>
      <c r="I1838" s="26"/>
      <c r="J1838" s="98"/>
      <c r="K1838" s="36"/>
      <c r="L1838" s="26"/>
      <c r="M1838" s="26"/>
      <c r="N1838" s="26"/>
      <c r="O1838" s="93"/>
      <c r="P1838" s="95"/>
      <c r="Q1838" s="197"/>
    </row>
    <row r="1839" spans="3:17" x14ac:dyDescent="0.25">
      <c r="C1839" s="199"/>
      <c r="D1839" s="112"/>
      <c r="E1839" s="33"/>
      <c r="F1839" s="105"/>
      <c r="H1839" s="116"/>
      <c r="I1839" s="26"/>
      <c r="J1839" s="98"/>
      <c r="K1839" s="36"/>
      <c r="L1839" s="26"/>
      <c r="M1839" s="26"/>
      <c r="N1839" s="26"/>
      <c r="O1839" s="93"/>
      <c r="P1839" s="95"/>
      <c r="Q1839" s="197"/>
    </row>
    <row r="1840" spans="3:17" x14ac:dyDescent="0.25">
      <c r="C1840" s="199"/>
      <c r="D1840" s="112"/>
      <c r="E1840" s="33"/>
      <c r="F1840" s="105"/>
      <c r="H1840" s="116"/>
      <c r="I1840" s="26"/>
      <c r="J1840" s="98"/>
      <c r="K1840" s="36"/>
      <c r="L1840" s="26"/>
      <c r="M1840" s="26"/>
      <c r="N1840" s="26"/>
      <c r="O1840" s="93"/>
      <c r="P1840" s="95"/>
      <c r="Q1840" s="197"/>
    </row>
    <row r="1841" spans="3:17" x14ac:dyDescent="0.25">
      <c r="C1841" s="199"/>
      <c r="D1841" s="112"/>
      <c r="E1841" s="33"/>
      <c r="F1841" s="105"/>
      <c r="H1841" s="116"/>
      <c r="I1841" s="26"/>
      <c r="J1841" s="98"/>
      <c r="K1841" s="36"/>
      <c r="L1841" s="26"/>
      <c r="M1841" s="26"/>
      <c r="N1841" s="26"/>
      <c r="O1841" s="93"/>
      <c r="P1841" s="95"/>
      <c r="Q1841" s="197"/>
    </row>
    <row r="1842" spans="3:17" x14ac:dyDescent="0.25">
      <c r="C1842" s="199"/>
      <c r="D1842" s="112"/>
      <c r="E1842" s="33"/>
      <c r="F1842" s="105"/>
      <c r="H1842" s="116"/>
      <c r="I1842" s="26"/>
      <c r="J1842" s="98"/>
      <c r="K1842" s="36"/>
      <c r="L1842" s="26"/>
      <c r="M1842" s="26"/>
      <c r="N1842" s="26"/>
      <c r="O1842" s="93"/>
      <c r="P1842" s="95"/>
      <c r="Q1842" s="197"/>
    </row>
    <row r="1843" spans="3:17" x14ac:dyDescent="0.25">
      <c r="C1843" s="199"/>
      <c r="D1843" s="112"/>
      <c r="E1843" s="33"/>
      <c r="F1843" s="105"/>
      <c r="H1843" s="116"/>
      <c r="I1843" s="26"/>
      <c r="J1843" s="98"/>
      <c r="K1843" s="36"/>
      <c r="L1843" s="26"/>
      <c r="M1843" s="26"/>
      <c r="N1843" s="26"/>
      <c r="O1843" s="93"/>
      <c r="P1843" s="95"/>
      <c r="Q1843" s="197"/>
    </row>
    <row r="1844" spans="3:17" x14ac:dyDescent="0.25">
      <c r="C1844" s="199"/>
      <c r="D1844" s="112"/>
      <c r="E1844" s="33"/>
      <c r="F1844" s="105"/>
      <c r="H1844" s="116"/>
      <c r="I1844" s="26"/>
      <c r="J1844" s="98"/>
      <c r="K1844" s="36"/>
      <c r="L1844" s="26"/>
      <c r="M1844" s="26"/>
      <c r="N1844" s="26"/>
      <c r="O1844" s="93"/>
      <c r="P1844" s="95"/>
      <c r="Q1844" s="197"/>
    </row>
    <row r="1845" spans="3:17" x14ac:dyDescent="0.25">
      <c r="C1845" s="199"/>
      <c r="D1845" s="112"/>
      <c r="E1845" s="33"/>
      <c r="F1845" s="105"/>
      <c r="H1845" s="116"/>
      <c r="I1845" s="26"/>
      <c r="J1845" s="98"/>
      <c r="K1845" s="36"/>
      <c r="L1845" s="26"/>
      <c r="M1845" s="26"/>
      <c r="N1845" s="26"/>
      <c r="O1845" s="93"/>
      <c r="P1845" s="95"/>
      <c r="Q1845" s="197"/>
    </row>
    <row r="1846" spans="3:17" x14ac:dyDescent="0.25">
      <c r="C1846" s="199"/>
      <c r="D1846" s="112"/>
      <c r="E1846" s="33"/>
      <c r="F1846" s="105"/>
      <c r="H1846" s="116"/>
      <c r="I1846" s="26"/>
      <c r="J1846" s="98"/>
      <c r="K1846" s="36"/>
      <c r="L1846" s="26"/>
      <c r="M1846" s="26"/>
      <c r="N1846" s="26"/>
      <c r="O1846" s="93"/>
      <c r="P1846" s="95"/>
      <c r="Q1846" s="197"/>
    </row>
    <row r="1847" spans="3:17" x14ac:dyDescent="0.25">
      <c r="C1847" s="199"/>
      <c r="D1847" s="112"/>
      <c r="E1847" s="33"/>
      <c r="F1847" s="105"/>
      <c r="H1847" s="116"/>
      <c r="I1847" s="26"/>
      <c r="J1847" s="98"/>
      <c r="K1847" s="36"/>
      <c r="L1847" s="26"/>
      <c r="M1847" s="26"/>
      <c r="N1847" s="26"/>
      <c r="O1847" s="93"/>
      <c r="P1847" s="95"/>
      <c r="Q1847" s="197"/>
    </row>
    <row r="1848" spans="3:17" x14ac:dyDescent="0.25">
      <c r="C1848" s="199"/>
      <c r="D1848" s="112"/>
      <c r="E1848" s="33"/>
      <c r="F1848" s="105"/>
      <c r="H1848" s="116"/>
      <c r="I1848" s="26"/>
      <c r="J1848" s="98"/>
      <c r="K1848" s="36"/>
      <c r="L1848" s="26"/>
      <c r="M1848" s="26"/>
      <c r="N1848" s="26"/>
      <c r="O1848" s="93"/>
      <c r="P1848" s="95"/>
      <c r="Q1848" s="197"/>
    </row>
    <row r="1849" spans="3:17" x14ac:dyDescent="0.25">
      <c r="C1849" s="199"/>
      <c r="D1849" s="112"/>
      <c r="E1849" s="33"/>
      <c r="F1849" s="105"/>
      <c r="H1849" s="116"/>
      <c r="I1849" s="26"/>
      <c r="J1849" s="98"/>
      <c r="K1849" s="36"/>
      <c r="L1849" s="26"/>
      <c r="M1849" s="26"/>
      <c r="N1849" s="26"/>
      <c r="O1849" s="93"/>
      <c r="P1849" s="95"/>
      <c r="Q1849" s="197"/>
    </row>
    <row r="1850" spans="3:17" x14ac:dyDescent="0.25">
      <c r="C1850" s="199"/>
      <c r="D1850" s="112"/>
      <c r="E1850" s="33"/>
      <c r="F1850" s="105"/>
      <c r="H1850" s="116"/>
      <c r="I1850" s="26"/>
      <c r="J1850" s="98"/>
      <c r="K1850" s="36"/>
      <c r="L1850" s="26"/>
      <c r="M1850" s="26"/>
      <c r="N1850" s="26"/>
      <c r="O1850" s="93"/>
      <c r="P1850" s="95"/>
      <c r="Q1850" s="197"/>
    </row>
    <row r="1851" spans="3:17" x14ac:dyDescent="0.25">
      <c r="C1851" s="199"/>
      <c r="D1851" s="112"/>
      <c r="E1851" s="33"/>
      <c r="F1851" s="105"/>
      <c r="H1851" s="116"/>
      <c r="I1851" s="26"/>
      <c r="J1851" s="98"/>
      <c r="K1851" s="36"/>
      <c r="L1851" s="26"/>
      <c r="M1851" s="26"/>
      <c r="N1851" s="26"/>
      <c r="O1851" s="93"/>
      <c r="P1851" s="95"/>
      <c r="Q1851" s="197"/>
    </row>
    <row r="1852" spans="3:17" x14ac:dyDescent="0.25">
      <c r="C1852" s="199"/>
      <c r="D1852" s="112"/>
      <c r="E1852" s="33"/>
      <c r="F1852" s="105"/>
      <c r="H1852" s="116"/>
      <c r="I1852" s="26"/>
      <c r="J1852" s="98"/>
      <c r="K1852" s="36"/>
      <c r="L1852" s="26"/>
      <c r="M1852" s="26"/>
      <c r="N1852" s="26"/>
      <c r="O1852" s="93"/>
      <c r="P1852" s="95"/>
      <c r="Q1852" s="197"/>
    </row>
    <row r="1853" spans="3:17" x14ac:dyDescent="0.25">
      <c r="C1853" s="199"/>
      <c r="D1853" s="112"/>
      <c r="E1853" s="33"/>
      <c r="F1853" s="105"/>
      <c r="H1853" s="116"/>
      <c r="I1853" s="26"/>
      <c r="J1853" s="98"/>
      <c r="K1853" s="36"/>
      <c r="L1853" s="26"/>
      <c r="M1853" s="26"/>
      <c r="N1853" s="26"/>
      <c r="O1853" s="93"/>
      <c r="P1853" s="95"/>
      <c r="Q1853" s="197"/>
    </row>
    <row r="1854" spans="3:17" x14ac:dyDescent="0.25">
      <c r="C1854" s="199"/>
      <c r="D1854" s="112"/>
      <c r="E1854" s="33"/>
      <c r="F1854" s="105"/>
      <c r="H1854" s="116"/>
      <c r="I1854" s="26"/>
      <c r="J1854" s="98"/>
      <c r="K1854" s="36"/>
      <c r="L1854" s="26"/>
      <c r="M1854" s="26"/>
      <c r="N1854" s="26"/>
      <c r="O1854" s="93"/>
      <c r="P1854" s="95"/>
      <c r="Q1854" s="197"/>
    </row>
    <row r="1855" spans="3:17" x14ac:dyDescent="0.25">
      <c r="C1855" s="199"/>
      <c r="D1855" s="112"/>
      <c r="E1855" s="33"/>
      <c r="F1855" s="105"/>
      <c r="H1855" s="116"/>
      <c r="I1855" s="26"/>
      <c r="J1855" s="98"/>
      <c r="K1855" s="36"/>
      <c r="L1855" s="26"/>
      <c r="M1855" s="26"/>
      <c r="N1855" s="26"/>
      <c r="O1855" s="93"/>
      <c r="P1855" s="95"/>
      <c r="Q1855" s="197"/>
    </row>
    <row r="1856" spans="3:17" x14ac:dyDescent="0.25">
      <c r="C1856" s="199"/>
      <c r="D1856" s="112"/>
      <c r="E1856" s="33"/>
      <c r="F1856" s="105"/>
      <c r="H1856" s="116"/>
      <c r="I1856" s="26"/>
      <c r="J1856" s="98"/>
      <c r="K1856" s="36"/>
      <c r="L1856" s="26"/>
      <c r="M1856" s="26"/>
      <c r="N1856" s="26"/>
      <c r="O1856" s="93"/>
      <c r="P1856" s="95"/>
      <c r="Q1856" s="197"/>
    </row>
    <row r="1857" spans="3:17" x14ac:dyDescent="0.25">
      <c r="C1857" s="199"/>
      <c r="D1857" s="112"/>
      <c r="E1857" s="33"/>
      <c r="F1857" s="105"/>
      <c r="H1857" s="116"/>
      <c r="I1857" s="26"/>
      <c r="J1857" s="98"/>
      <c r="K1857" s="36"/>
      <c r="L1857" s="26"/>
      <c r="M1857" s="26"/>
      <c r="N1857" s="26"/>
      <c r="O1857" s="93"/>
      <c r="P1857" s="95"/>
      <c r="Q1857" s="197"/>
    </row>
    <row r="1858" spans="3:17" x14ac:dyDescent="0.25">
      <c r="C1858" s="199"/>
      <c r="D1858" s="112"/>
      <c r="E1858" s="33"/>
      <c r="F1858" s="105"/>
      <c r="H1858" s="116"/>
      <c r="I1858" s="26"/>
      <c r="J1858" s="98"/>
      <c r="K1858" s="36"/>
      <c r="L1858" s="26"/>
      <c r="M1858" s="26"/>
      <c r="N1858" s="26"/>
      <c r="O1858" s="93"/>
      <c r="P1858" s="95"/>
      <c r="Q1858" s="197"/>
    </row>
    <row r="1859" spans="3:17" x14ac:dyDescent="0.25">
      <c r="C1859" s="199"/>
      <c r="D1859" s="112"/>
      <c r="E1859" s="33"/>
      <c r="F1859" s="105"/>
      <c r="H1859" s="116"/>
      <c r="I1859" s="26"/>
      <c r="J1859" s="98"/>
      <c r="K1859" s="36"/>
      <c r="L1859" s="26"/>
      <c r="M1859" s="26"/>
      <c r="N1859" s="26"/>
      <c r="O1859" s="93"/>
      <c r="P1859" s="95"/>
      <c r="Q1859" s="197"/>
    </row>
    <row r="1860" spans="3:17" x14ac:dyDescent="0.25">
      <c r="C1860" s="199"/>
      <c r="D1860" s="112"/>
      <c r="E1860" s="33"/>
      <c r="F1860" s="105"/>
      <c r="H1860" s="116"/>
      <c r="I1860" s="26"/>
      <c r="J1860" s="98"/>
      <c r="K1860" s="36"/>
      <c r="L1860" s="26"/>
      <c r="M1860" s="26"/>
      <c r="N1860" s="26"/>
      <c r="O1860" s="93"/>
      <c r="P1860" s="95"/>
      <c r="Q1860" s="197"/>
    </row>
    <row r="1861" spans="3:17" x14ac:dyDescent="0.25">
      <c r="C1861" s="199"/>
      <c r="D1861" s="112"/>
      <c r="E1861" s="33"/>
      <c r="F1861" s="105"/>
      <c r="H1861" s="116"/>
      <c r="I1861" s="26"/>
      <c r="J1861" s="98"/>
      <c r="K1861" s="36"/>
      <c r="L1861" s="26"/>
      <c r="M1861" s="26"/>
      <c r="N1861" s="26"/>
      <c r="O1861" s="93"/>
      <c r="P1861" s="95"/>
      <c r="Q1861" s="197"/>
    </row>
    <row r="1862" spans="3:17" x14ac:dyDescent="0.25">
      <c r="C1862" s="199"/>
      <c r="D1862" s="112"/>
      <c r="E1862" s="33"/>
      <c r="F1862" s="105"/>
      <c r="H1862" s="116"/>
      <c r="I1862" s="26"/>
      <c r="J1862" s="98"/>
      <c r="K1862" s="36"/>
      <c r="L1862" s="26"/>
      <c r="M1862" s="26"/>
      <c r="N1862" s="26"/>
      <c r="O1862" s="93"/>
      <c r="P1862" s="95"/>
      <c r="Q1862" s="197"/>
    </row>
    <row r="1863" spans="3:17" x14ac:dyDescent="0.25">
      <c r="C1863" s="199"/>
      <c r="D1863" s="112"/>
      <c r="E1863" s="33"/>
      <c r="F1863" s="105"/>
      <c r="H1863" s="116"/>
      <c r="I1863" s="26"/>
      <c r="J1863" s="98"/>
      <c r="K1863" s="36"/>
      <c r="L1863" s="26"/>
      <c r="M1863" s="26"/>
      <c r="N1863" s="26"/>
      <c r="O1863" s="93"/>
      <c r="P1863" s="95"/>
      <c r="Q1863" s="197"/>
    </row>
    <row r="1864" spans="3:17" x14ac:dyDescent="0.25">
      <c r="C1864" s="199"/>
      <c r="D1864" s="112"/>
      <c r="E1864" s="33"/>
      <c r="F1864" s="105"/>
      <c r="H1864" s="116"/>
      <c r="I1864" s="26"/>
      <c r="J1864" s="98"/>
      <c r="K1864" s="36"/>
      <c r="L1864" s="26"/>
      <c r="M1864" s="26"/>
      <c r="N1864" s="26"/>
      <c r="O1864" s="93"/>
      <c r="P1864" s="95"/>
      <c r="Q1864" s="197"/>
    </row>
    <row r="1865" spans="3:17" x14ac:dyDescent="0.25">
      <c r="C1865" s="199"/>
      <c r="D1865" s="112"/>
      <c r="E1865" s="33"/>
      <c r="F1865" s="105"/>
      <c r="H1865" s="116"/>
      <c r="I1865" s="26"/>
      <c r="J1865" s="98"/>
      <c r="K1865" s="36"/>
      <c r="L1865" s="26"/>
      <c r="M1865" s="26"/>
      <c r="N1865" s="26"/>
      <c r="O1865" s="93"/>
      <c r="P1865" s="95"/>
      <c r="Q1865" s="197"/>
    </row>
    <row r="1866" spans="3:17" x14ac:dyDescent="0.25">
      <c r="C1866" s="199"/>
      <c r="D1866" s="112"/>
      <c r="E1866" s="33"/>
      <c r="F1866" s="105"/>
      <c r="H1866" s="116"/>
      <c r="I1866" s="26"/>
      <c r="J1866" s="98"/>
      <c r="K1866" s="36"/>
      <c r="L1866" s="26"/>
      <c r="M1866" s="26"/>
      <c r="N1866" s="26"/>
      <c r="O1866" s="93"/>
      <c r="P1866" s="95"/>
      <c r="Q1866" s="197"/>
    </row>
    <row r="1867" spans="3:17" x14ac:dyDescent="0.25">
      <c r="C1867" s="199"/>
      <c r="D1867" s="112"/>
      <c r="E1867" s="33"/>
      <c r="F1867" s="105"/>
      <c r="H1867" s="116"/>
      <c r="I1867" s="26"/>
      <c r="J1867" s="98"/>
      <c r="K1867" s="36"/>
      <c r="L1867" s="26"/>
      <c r="M1867" s="26"/>
      <c r="N1867" s="26"/>
      <c r="O1867" s="93"/>
      <c r="P1867" s="95"/>
      <c r="Q1867" s="197"/>
    </row>
    <row r="1868" spans="3:17" x14ac:dyDescent="0.25">
      <c r="C1868" s="199"/>
      <c r="D1868" s="112"/>
      <c r="E1868" s="33"/>
      <c r="F1868" s="105"/>
      <c r="H1868" s="116"/>
      <c r="I1868" s="26"/>
      <c r="J1868" s="98"/>
      <c r="K1868" s="36"/>
      <c r="L1868" s="26"/>
      <c r="M1868" s="26"/>
      <c r="N1868" s="26"/>
      <c r="O1868" s="93"/>
      <c r="P1868" s="95"/>
      <c r="Q1868" s="197"/>
    </row>
    <row r="1869" spans="3:17" x14ac:dyDescent="0.25">
      <c r="C1869" s="199"/>
      <c r="D1869" s="112"/>
      <c r="E1869" s="33"/>
      <c r="F1869" s="105"/>
      <c r="H1869" s="116"/>
      <c r="I1869" s="26"/>
      <c r="J1869" s="98"/>
      <c r="K1869" s="36"/>
      <c r="L1869" s="26"/>
      <c r="M1869" s="26"/>
      <c r="N1869" s="26"/>
      <c r="O1869" s="93"/>
      <c r="P1869" s="95"/>
      <c r="Q1869" s="197"/>
    </row>
    <row r="1870" spans="3:17" x14ac:dyDescent="0.25">
      <c r="C1870" s="199"/>
      <c r="D1870" s="112"/>
      <c r="E1870" s="33"/>
      <c r="F1870" s="105"/>
      <c r="H1870" s="116"/>
      <c r="I1870" s="26"/>
      <c r="J1870" s="98"/>
      <c r="K1870" s="36"/>
      <c r="L1870" s="26"/>
      <c r="M1870" s="26"/>
      <c r="N1870" s="26"/>
      <c r="O1870" s="93"/>
      <c r="P1870" s="95"/>
      <c r="Q1870" s="197"/>
    </row>
    <row r="1871" spans="3:17" x14ac:dyDescent="0.25">
      <c r="C1871" s="199"/>
      <c r="D1871" s="112"/>
      <c r="E1871" s="33"/>
      <c r="F1871" s="105"/>
      <c r="H1871" s="116"/>
      <c r="I1871" s="26"/>
      <c r="J1871" s="98"/>
      <c r="K1871" s="36"/>
      <c r="L1871" s="26"/>
      <c r="M1871" s="26"/>
      <c r="N1871" s="26"/>
      <c r="O1871" s="93"/>
      <c r="P1871" s="95"/>
      <c r="Q1871" s="197"/>
    </row>
    <row r="1872" spans="3:17" x14ac:dyDescent="0.25">
      <c r="C1872" s="199"/>
      <c r="D1872" s="112"/>
      <c r="E1872" s="33"/>
      <c r="F1872" s="105"/>
      <c r="H1872" s="116"/>
      <c r="I1872" s="26"/>
      <c r="J1872" s="98"/>
      <c r="K1872" s="36"/>
      <c r="L1872" s="26"/>
      <c r="M1872" s="26"/>
      <c r="N1872" s="26"/>
      <c r="O1872" s="93"/>
      <c r="P1872" s="95"/>
      <c r="Q1872" s="197"/>
    </row>
    <row r="1873" spans="3:17" x14ac:dyDescent="0.25">
      <c r="C1873" s="199"/>
      <c r="D1873" s="112"/>
      <c r="E1873" s="33"/>
      <c r="F1873" s="105"/>
      <c r="H1873" s="116"/>
      <c r="I1873" s="26"/>
      <c r="J1873" s="98"/>
      <c r="K1873" s="36"/>
      <c r="L1873" s="26"/>
      <c r="M1873" s="26"/>
      <c r="N1873" s="26"/>
      <c r="O1873" s="93"/>
      <c r="P1873" s="95"/>
      <c r="Q1873" s="197"/>
    </row>
    <row r="1874" spans="3:17" x14ac:dyDescent="0.25">
      <c r="C1874" s="199"/>
      <c r="D1874" s="112"/>
      <c r="E1874" s="33"/>
      <c r="F1874" s="105"/>
      <c r="H1874" s="116"/>
      <c r="I1874" s="26"/>
      <c r="J1874" s="98"/>
      <c r="K1874" s="36"/>
      <c r="L1874" s="26"/>
      <c r="M1874" s="26"/>
      <c r="N1874" s="26"/>
      <c r="O1874" s="93"/>
      <c r="P1874" s="95"/>
      <c r="Q1874" s="197"/>
    </row>
    <row r="1875" spans="3:17" x14ac:dyDescent="0.25">
      <c r="C1875" s="199"/>
      <c r="D1875" s="112"/>
      <c r="E1875" s="33"/>
      <c r="F1875" s="105"/>
      <c r="H1875" s="116"/>
      <c r="I1875" s="26"/>
      <c r="J1875" s="98"/>
      <c r="K1875" s="36"/>
      <c r="L1875" s="26"/>
      <c r="M1875" s="26"/>
      <c r="N1875" s="26"/>
      <c r="O1875" s="93"/>
      <c r="P1875" s="95"/>
      <c r="Q1875" s="197"/>
    </row>
    <row r="1876" spans="3:17" x14ac:dyDescent="0.25">
      <c r="C1876" s="199"/>
      <c r="D1876" s="112"/>
      <c r="E1876" s="33"/>
      <c r="F1876" s="105"/>
      <c r="H1876" s="116"/>
      <c r="I1876" s="26"/>
      <c r="J1876" s="98"/>
      <c r="K1876" s="36"/>
      <c r="L1876" s="26"/>
      <c r="M1876" s="26"/>
      <c r="N1876" s="26"/>
      <c r="O1876" s="93"/>
      <c r="P1876" s="95"/>
      <c r="Q1876" s="197"/>
    </row>
    <row r="1877" spans="3:17" x14ac:dyDescent="0.25">
      <c r="C1877" s="199"/>
      <c r="D1877" s="112"/>
      <c r="E1877" s="33"/>
      <c r="F1877" s="105"/>
      <c r="H1877" s="116"/>
      <c r="I1877" s="26"/>
      <c r="J1877" s="98"/>
      <c r="K1877" s="36"/>
      <c r="L1877" s="26"/>
      <c r="M1877" s="26"/>
      <c r="N1877" s="26"/>
      <c r="O1877" s="93"/>
      <c r="P1877" s="95"/>
      <c r="Q1877" s="197"/>
    </row>
    <row r="1878" spans="3:17" x14ac:dyDescent="0.25">
      <c r="C1878" s="199"/>
      <c r="D1878" s="112"/>
      <c r="E1878" s="33"/>
      <c r="F1878" s="105"/>
      <c r="H1878" s="116"/>
      <c r="I1878" s="26"/>
      <c r="J1878" s="98"/>
      <c r="K1878" s="36"/>
      <c r="L1878" s="26"/>
      <c r="M1878" s="26"/>
      <c r="N1878" s="26"/>
      <c r="O1878" s="93"/>
      <c r="P1878" s="95"/>
      <c r="Q1878" s="197"/>
    </row>
    <row r="1879" spans="3:17" x14ac:dyDescent="0.25">
      <c r="C1879" s="199"/>
      <c r="D1879" s="112"/>
      <c r="E1879" s="33"/>
      <c r="F1879" s="105"/>
      <c r="H1879" s="116"/>
      <c r="I1879" s="26"/>
      <c r="J1879" s="98"/>
      <c r="K1879" s="36"/>
      <c r="L1879" s="26"/>
      <c r="M1879" s="26"/>
      <c r="N1879" s="26"/>
      <c r="O1879" s="93"/>
      <c r="P1879" s="95"/>
      <c r="Q1879" s="197"/>
    </row>
    <row r="1880" spans="3:17" x14ac:dyDescent="0.25">
      <c r="C1880" s="199"/>
      <c r="D1880" s="112"/>
      <c r="E1880" s="33"/>
      <c r="F1880" s="105"/>
      <c r="H1880" s="116"/>
      <c r="I1880" s="26"/>
      <c r="J1880" s="98"/>
      <c r="K1880" s="36"/>
      <c r="L1880" s="26"/>
      <c r="M1880" s="26"/>
      <c r="N1880" s="26"/>
      <c r="O1880" s="93"/>
      <c r="P1880" s="95"/>
      <c r="Q1880" s="197"/>
    </row>
    <row r="1881" spans="3:17" x14ac:dyDescent="0.25">
      <c r="C1881" s="199"/>
      <c r="D1881" s="112"/>
      <c r="E1881" s="33"/>
      <c r="F1881" s="105"/>
      <c r="H1881" s="116"/>
      <c r="I1881" s="26"/>
      <c r="J1881" s="98"/>
      <c r="K1881" s="36"/>
      <c r="L1881" s="26"/>
      <c r="M1881" s="26"/>
      <c r="N1881" s="26"/>
      <c r="O1881" s="93"/>
      <c r="P1881" s="95"/>
      <c r="Q1881" s="197"/>
    </row>
    <row r="1882" spans="3:17" x14ac:dyDescent="0.25">
      <c r="C1882" s="199"/>
      <c r="D1882" s="112"/>
      <c r="E1882" s="33"/>
      <c r="F1882" s="105"/>
      <c r="H1882" s="116"/>
      <c r="I1882" s="26"/>
      <c r="J1882" s="98"/>
      <c r="K1882" s="36"/>
      <c r="L1882" s="26"/>
      <c r="M1882" s="26"/>
      <c r="N1882" s="26"/>
      <c r="O1882" s="93"/>
      <c r="P1882" s="95"/>
      <c r="Q1882" s="197"/>
    </row>
    <row r="1883" spans="3:17" x14ac:dyDescent="0.25">
      <c r="C1883" s="199"/>
      <c r="D1883" s="112"/>
      <c r="E1883" s="33"/>
      <c r="F1883" s="105"/>
      <c r="H1883" s="116"/>
      <c r="I1883" s="26"/>
      <c r="J1883" s="98"/>
      <c r="K1883" s="36"/>
      <c r="L1883" s="26"/>
      <c r="M1883" s="26"/>
      <c r="N1883" s="26"/>
      <c r="O1883" s="93"/>
      <c r="P1883" s="95"/>
      <c r="Q1883" s="197"/>
    </row>
    <row r="1884" spans="3:17" x14ac:dyDescent="0.25">
      <c r="C1884" s="199"/>
      <c r="D1884" s="112"/>
      <c r="E1884" s="33"/>
      <c r="F1884" s="105"/>
      <c r="H1884" s="116"/>
      <c r="I1884" s="26"/>
      <c r="J1884" s="98"/>
      <c r="K1884" s="36"/>
      <c r="L1884" s="26"/>
      <c r="M1884" s="26"/>
      <c r="N1884" s="26"/>
      <c r="O1884" s="93"/>
      <c r="P1884" s="95"/>
      <c r="Q1884" s="197"/>
    </row>
    <row r="1885" spans="3:17" x14ac:dyDescent="0.25">
      <c r="C1885" s="199"/>
      <c r="D1885" s="112"/>
      <c r="E1885" s="33"/>
      <c r="F1885" s="105"/>
      <c r="H1885" s="116"/>
      <c r="I1885" s="26"/>
      <c r="J1885" s="98"/>
      <c r="K1885" s="36"/>
      <c r="L1885" s="26"/>
      <c r="M1885" s="26"/>
      <c r="N1885" s="26"/>
      <c r="O1885" s="93"/>
      <c r="P1885" s="95"/>
      <c r="Q1885" s="197"/>
    </row>
    <row r="1886" spans="3:17" x14ac:dyDescent="0.25">
      <c r="C1886" s="199"/>
      <c r="D1886" s="112"/>
      <c r="E1886" s="33"/>
      <c r="F1886" s="105"/>
      <c r="H1886" s="116"/>
      <c r="I1886" s="26"/>
      <c r="J1886" s="98"/>
      <c r="K1886" s="36"/>
      <c r="L1886" s="26"/>
      <c r="M1886" s="26"/>
      <c r="N1886" s="26"/>
      <c r="O1886" s="93"/>
      <c r="P1886" s="95"/>
      <c r="Q1886" s="197"/>
    </row>
    <row r="1887" spans="3:17" x14ac:dyDescent="0.25">
      <c r="C1887" s="199"/>
      <c r="D1887" s="112"/>
      <c r="E1887" s="33"/>
      <c r="F1887" s="105"/>
      <c r="H1887" s="116"/>
      <c r="I1887" s="26"/>
      <c r="J1887" s="98"/>
      <c r="K1887" s="36"/>
      <c r="L1887" s="26"/>
      <c r="M1887" s="26"/>
      <c r="N1887" s="26"/>
      <c r="O1887" s="93"/>
      <c r="P1887" s="95"/>
      <c r="Q1887" s="197"/>
    </row>
    <row r="1888" spans="3:17" x14ac:dyDescent="0.25">
      <c r="C1888" s="199"/>
      <c r="D1888" s="112"/>
      <c r="E1888" s="33"/>
      <c r="F1888" s="105"/>
      <c r="H1888" s="116"/>
      <c r="I1888" s="26"/>
      <c r="J1888" s="98"/>
      <c r="K1888" s="36"/>
      <c r="L1888" s="26"/>
      <c r="M1888" s="26"/>
      <c r="N1888" s="26"/>
      <c r="O1888" s="93"/>
      <c r="P1888" s="95"/>
      <c r="Q1888" s="197"/>
    </row>
    <row r="1889" spans="3:17" x14ac:dyDescent="0.25">
      <c r="C1889" s="199"/>
      <c r="D1889" s="112"/>
      <c r="E1889" s="33"/>
      <c r="F1889" s="105"/>
      <c r="H1889" s="116"/>
      <c r="I1889" s="26"/>
      <c r="J1889" s="98"/>
      <c r="K1889" s="36"/>
      <c r="L1889" s="26"/>
      <c r="M1889" s="26"/>
      <c r="N1889" s="26"/>
      <c r="O1889" s="93"/>
      <c r="P1889" s="95"/>
      <c r="Q1889" s="197"/>
    </row>
    <row r="1890" spans="3:17" x14ac:dyDescent="0.25">
      <c r="C1890" s="199"/>
      <c r="D1890" s="112"/>
      <c r="E1890" s="33"/>
      <c r="F1890" s="105"/>
      <c r="H1890" s="116"/>
      <c r="I1890" s="26"/>
      <c r="J1890" s="98"/>
      <c r="K1890" s="36"/>
      <c r="L1890" s="26"/>
      <c r="M1890" s="26"/>
      <c r="N1890" s="26"/>
      <c r="O1890" s="93"/>
      <c r="P1890" s="95"/>
      <c r="Q1890" s="197"/>
    </row>
    <row r="1891" spans="3:17" x14ac:dyDescent="0.25">
      <c r="C1891" s="199"/>
      <c r="D1891" s="112"/>
      <c r="E1891" s="33"/>
      <c r="F1891" s="105"/>
      <c r="H1891" s="116"/>
      <c r="I1891" s="26"/>
      <c r="J1891" s="98"/>
      <c r="K1891" s="36"/>
      <c r="L1891" s="26"/>
      <c r="M1891" s="26"/>
      <c r="N1891" s="26"/>
      <c r="O1891" s="93"/>
      <c r="P1891" s="95"/>
      <c r="Q1891" s="197"/>
    </row>
    <row r="1892" spans="3:17" x14ac:dyDescent="0.25">
      <c r="C1892" s="199"/>
      <c r="D1892" s="112"/>
      <c r="E1892" s="33"/>
      <c r="F1892" s="105"/>
      <c r="H1892" s="116"/>
      <c r="I1892" s="26"/>
      <c r="J1892" s="98"/>
      <c r="K1892" s="36"/>
      <c r="L1892" s="26"/>
      <c r="M1892" s="26"/>
      <c r="N1892" s="26"/>
      <c r="O1892" s="93"/>
      <c r="P1892" s="95"/>
      <c r="Q1892" s="197"/>
    </row>
    <row r="1893" spans="3:17" x14ac:dyDescent="0.25">
      <c r="C1893" s="199"/>
      <c r="D1893" s="112"/>
      <c r="E1893" s="33"/>
      <c r="F1893" s="105"/>
      <c r="H1893" s="116"/>
      <c r="I1893" s="26"/>
      <c r="J1893" s="98"/>
      <c r="K1893" s="36"/>
      <c r="L1893" s="26"/>
      <c r="M1893" s="26"/>
      <c r="N1893" s="26"/>
      <c r="O1893" s="93"/>
      <c r="P1893" s="95"/>
      <c r="Q1893" s="197"/>
    </row>
    <row r="1894" spans="3:17" x14ac:dyDescent="0.25">
      <c r="C1894" s="199"/>
      <c r="D1894" s="112"/>
      <c r="E1894" s="33"/>
      <c r="F1894" s="105"/>
      <c r="H1894" s="116"/>
      <c r="I1894" s="26"/>
      <c r="J1894" s="98"/>
      <c r="K1894" s="36"/>
      <c r="L1894" s="26"/>
      <c r="M1894" s="26"/>
      <c r="N1894" s="26"/>
      <c r="O1894" s="93"/>
      <c r="P1894" s="95"/>
      <c r="Q1894" s="197"/>
    </row>
    <row r="1895" spans="3:17" x14ac:dyDescent="0.25">
      <c r="C1895" s="199"/>
      <c r="D1895" s="112"/>
      <c r="E1895" s="33"/>
      <c r="F1895" s="105"/>
      <c r="H1895" s="116"/>
      <c r="I1895" s="26"/>
      <c r="J1895" s="98"/>
      <c r="K1895" s="36"/>
      <c r="L1895" s="26"/>
      <c r="M1895" s="26"/>
      <c r="N1895" s="26"/>
      <c r="O1895" s="93"/>
      <c r="P1895" s="95"/>
      <c r="Q1895" s="197"/>
    </row>
    <row r="1896" spans="3:17" x14ac:dyDescent="0.25">
      <c r="C1896" s="199"/>
      <c r="D1896" s="112"/>
      <c r="E1896" s="33"/>
      <c r="F1896" s="105"/>
      <c r="H1896" s="116"/>
      <c r="I1896" s="26"/>
      <c r="J1896" s="98"/>
      <c r="K1896" s="36"/>
      <c r="L1896" s="26"/>
      <c r="M1896" s="26"/>
      <c r="N1896" s="26"/>
      <c r="O1896" s="93"/>
      <c r="P1896" s="95"/>
      <c r="Q1896" s="197"/>
    </row>
    <row r="1897" spans="3:17" x14ac:dyDescent="0.25">
      <c r="C1897" s="199"/>
      <c r="D1897" s="112"/>
      <c r="E1897" s="33"/>
      <c r="F1897" s="105"/>
      <c r="H1897" s="116"/>
      <c r="I1897" s="26"/>
      <c r="J1897" s="98"/>
      <c r="K1897" s="36"/>
      <c r="L1897" s="26"/>
      <c r="M1897" s="26"/>
      <c r="N1897" s="26"/>
      <c r="O1897" s="93"/>
      <c r="P1897" s="95"/>
      <c r="Q1897" s="197"/>
    </row>
    <row r="1898" spans="3:17" x14ac:dyDescent="0.25">
      <c r="C1898" s="199"/>
      <c r="D1898" s="112"/>
      <c r="E1898" s="33"/>
      <c r="F1898" s="105"/>
      <c r="H1898" s="116"/>
      <c r="I1898" s="26"/>
      <c r="J1898" s="98"/>
      <c r="K1898" s="36"/>
      <c r="L1898" s="26"/>
      <c r="M1898" s="26"/>
      <c r="N1898" s="26"/>
      <c r="O1898" s="93"/>
      <c r="P1898" s="95"/>
      <c r="Q1898" s="197"/>
    </row>
    <row r="1899" spans="3:17" x14ac:dyDescent="0.25">
      <c r="C1899" s="199"/>
      <c r="D1899" s="112"/>
      <c r="E1899" s="33"/>
      <c r="F1899" s="105"/>
      <c r="H1899" s="116"/>
      <c r="I1899" s="26"/>
      <c r="J1899" s="98"/>
      <c r="K1899" s="36"/>
      <c r="L1899" s="26"/>
      <c r="M1899" s="26"/>
      <c r="N1899" s="26"/>
      <c r="O1899" s="93"/>
      <c r="P1899" s="95"/>
      <c r="Q1899" s="197"/>
    </row>
    <row r="1900" spans="3:17" x14ac:dyDescent="0.25">
      <c r="C1900" s="199"/>
      <c r="D1900" s="112"/>
      <c r="E1900" s="33"/>
      <c r="F1900" s="105"/>
      <c r="H1900" s="116"/>
      <c r="I1900" s="26"/>
      <c r="J1900" s="98"/>
      <c r="K1900" s="36"/>
      <c r="L1900" s="26"/>
      <c r="M1900" s="26"/>
      <c r="N1900" s="26"/>
      <c r="O1900" s="93"/>
      <c r="P1900" s="95"/>
      <c r="Q1900" s="197"/>
    </row>
    <row r="1901" spans="3:17" x14ac:dyDescent="0.25">
      <c r="C1901" s="199"/>
      <c r="D1901" s="112"/>
      <c r="E1901" s="33"/>
      <c r="F1901" s="105"/>
      <c r="H1901" s="116"/>
      <c r="I1901" s="26"/>
      <c r="J1901" s="98"/>
      <c r="K1901" s="36"/>
      <c r="L1901" s="26"/>
      <c r="M1901" s="26"/>
      <c r="N1901" s="26"/>
      <c r="O1901" s="93"/>
      <c r="P1901" s="95"/>
      <c r="Q1901" s="197"/>
    </row>
    <row r="1902" spans="3:17" x14ac:dyDescent="0.25">
      <c r="C1902" s="199"/>
      <c r="D1902" s="112"/>
      <c r="E1902" s="33"/>
      <c r="F1902" s="105"/>
      <c r="H1902" s="116"/>
      <c r="I1902" s="26"/>
      <c r="J1902" s="98"/>
      <c r="K1902" s="36"/>
      <c r="L1902" s="26"/>
      <c r="M1902" s="26"/>
      <c r="N1902" s="26"/>
      <c r="O1902" s="93"/>
      <c r="P1902" s="95"/>
      <c r="Q1902" s="197"/>
    </row>
    <row r="1903" spans="3:17" x14ac:dyDescent="0.25">
      <c r="C1903" s="199"/>
      <c r="D1903" s="112"/>
      <c r="E1903" s="33"/>
      <c r="F1903" s="105"/>
      <c r="H1903" s="116"/>
      <c r="I1903" s="26"/>
      <c r="J1903" s="98"/>
      <c r="K1903" s="36"/>
      <c r="L1903" s="26"/>
      <c r="M1903" s="26"/>
      <c r="N1903" s="26"/>
      <c r="O1903" s="93"/>
      <c r="P1903" s="95"/>
      <c r="Q1903" s="197"/>
    </row>
    <row r="1904" spans="3:17" x14ac:dyDescent="0.25">
      <c r="C1904" s="199"/>
      <c r="D1904" s="112"/>
      <c r="E1904" s="33"/>
      <c r="F1904" s="105"/>
      <c r="H1904" s="116"/>
      <c r="I1904" s="26"/>
      <c r="J1904" s="98"/>
      <c r="K1904" s="36"/>
      <c r="L1904" s="26"/>
      <c r="M1904" s="26"/>
      <c r="N1904" s="26"/>
      <c r="O1904" s="93"/>
      <c r="P1904" s="95"/>
      <c r="Q1904" s="197"/>
    </row>
    <row r="1905" spans="3:17" x14ac:dyDescent="0.25">
      <c r="C1905" s="199"/>
      <c r="D1905" s="112"/>
      <c r="E1905" s="33"/>
      <c r="F1905" s="105"/>
      <c r="H1905" s="116"/>
      <c r="I1905" s="26"/>
      <c r="J1905" s="98"/>
      <c r="K1905" s="36"/>
      <c r="L1905" s="26"/>
      <c r="M1905" s="26"/>
      <c r="N1905" s="26"/>
      <c r="O1905" s="93"/>
      <c r="P1905" s="95"/>
      <c r="Q1905" s="197"/>
    </row>
    <row r="1906" spans="3:17" x14ac:dyDescent="0.25">
      <c r="C1906" s="199"/>
      <c r="D1906" s="112"/>
      <c r="E1906" s="33"/>
      <c r="F1906" s="105"/>
      <c r="H1906" s="116"/>
      <c r="I1906" s="26"/>
      <c r="J1906" s="98"/>
      <c r="K1906" s="36"/>
      <c r="L1906" s="26"/>
      <c r="M1906" s="26"/>
      <c r="N1906" s="26"/>
      <c r="O1906" s="93"/>
      <c r="P1906" s="95"/>
      <c r="Q1906" s="197"/>
    </row>
    <row r="1907" spans="3:17" x14ac:dyDescent="0.25">
      <c r="C1907" s="199"/>
      <c r="D1907" s="112"/>
      <c r="E1907" s="33"/>
      <c r="F1907" s="105"/>
      <c r="H1907" s="116"/>
      <c r="I1907" s="26"/>
      <c r="J1907" s="98"/>
      <c r="K1907" s="36"/>
      <c r="L1907" s="26"/>
      <c r="M1907" s="26"/>
      <c r="N1907" s="26"/>
      <c r="O1907" s="93"/>
      <c r="P1907" s="95"/>
      <c r="Q1907" s="197"/>
    </row>
    <row r="1908" spans="3:17" x14ac:dyDescent="0.25">
      <c r="C1908" s="199"/>
      <c r="D1908" s="112"/>
      <c r="E1908" s="33"/>
      <c r="F1908" s="105"/>
      <c r="H1908" s="116"/>
      <c r="I1908" s="26"/>
      <c r="J1908" s="98"/>
      <c r="K1908" s="36"/>
      <c r="L1908" s="26"/>
      <c r="M1908" s="26"/>
      <c r="N1908" s="26"/>
      <c r="O1908" s="93"/>
      <c r="P1908" s="95"/>
      <c r="Q1908" s="197"/>
    </row>
    <row r="1909" spans="3:17" x14ac:dyDescent="0.25">
      <c r="C1909" s="199"/>
      <c r="D1909" s="112"/>
      <c r="E1909" s="33"/>
      <c r="F1909" s="105"/>
      <c r="H1909" s="116"/>
      <c r="I1909" s="26"/>
      <c r="J1909" s="98"/>
      <c r="K1909" s="36"/>
      <c r="L1909" s="26"/>
      <c r="M1909" s="26"/>
      <c r="N1909" s="26"/>
      <c r="O1909" s="93"/>
      <c r="P1909" s="95"/>
      <c r="Q1909" s="197"/>
    </row>
    <row r="1910" spans="3:17" x14ac:dyDescent="0.25">
      <c r="C1910" s="199"/>
      <c r="D1910" s="112"/>
      <c r="E1910" s="33"/>
      <c r="F1910" s="105"/>
      <c r="H1910" s="116"/>
      <c r="I1910" s="26"/>
      <c r="J1910" s="98"/>
      <c r="K1910" s="36"/>
      <c r="L1910" s="26"/>
      <c r="M1910" s="26"/>
      <c r="N1910" s="26"/>
      <c r="O1910" s="93"/>
      <c r="P1910" s="95"/>
      <c r="Q1910" s="197"/>
    </row>
    <row r="1911" spans="3:17" x14ac:dyDescent="0.25">
      <c r="C1911" s="199"/>
      <c r="D1911" s="112"/>
      <c r="E1911" s="33"/>
      <c r="F1911" s="105"/>
      <c r="H1911" s="116"/>
      <c r="I1911" s="26"/>
      <c r="J1911" s="98"/>
      <c r="K1911" s="36"/>
      <c r="L1911" s="26"/>
      <c r="M1911" s="26"/>
      <c r="N1911" s="26"/>
      <c r="O1911" s="93"/>
      <c r="P1911" s="95"/>
      <c r="Q1911" s="197"/>
    </row>
    <row r="1912" spans="3:17" x14ac:dyDescent="0.25">
      <c r="C1912" s="199"/>
      <c r="D1912" s="112"/>
      <c r="E1912" s="33"/>
      <c r="F1912" s="105"/>
      <c r="H1912" s="116"/>
      <c r="I1912" s="26"/>
      <c r="J1912" s="98"/>
      <c r="K1912" s="36"/>
      <c r="L1912" s="26"/>
      <c r="M1912" s="26"/>
      <c r="N1912" s="26"/>
      <c r="O1912" s="93"/>
      <c r="P1912" s="95"/>
      <c r="Q1912" s="197"/>
    </row>
    <row r="1913" spans="3:17" x14ac:dyDescent="0.25">
      <c r="C1913" s="199"/>
      <c r="D1913" s="112"/>
      <c r="E1913" s="33"/>
      <c r="F1913" s="105"/>
      <c r="H1913" s="116"/>
      <c r="I1913" s="26"/>
      <c r="J1913" s="98"/>
      <c r="K1913" s="36"/>
      <c r="L1913" s="26"/>
      <c r="M1913" s="26"/>
      <c r="N1913" s="26"/>
      <c r="O1913" s="93"/>
      <c r="P1913" s="95"/>
      <c r="Q1913" s="197"/>
    </row>
    <row r="1914" spans="3:17" x14ac:dyDescent="0.25">
      <c r="C1914" s="199"/>
      <c r="D1914" s="112"/>
      <c r="E1914" s="33"/>
      <c r="F1914" s="105"/>
      <c r="H1914" s="116"/>
      <c r="I1914" s="26"/>
      <c r="J1914" s="98"/>
      <c r="K1914" s="36"/>
      <c r="L1914" s="26"/>
      <c r="M1914" s="26"/>
      <c r="N1914" s="26"/>
      <c r="O1914" s="93"/>
      <c r="P1914" s="95"/>
      <c r="Q1914" s="197"/>
    </row>
    <row r="1915" spans="3:17" x14ac:dyDescent="0.25">
      <c r="C1915" s="199"/>
      <c r="D1915" s="112"/>
      <c r="E1915" s="33"/>
      <c r="F1915" s="105"/>
      <c r="H1915" s="116"/>
      <c r="I1915" s="26"/>
      <c r="J1915" s="98"/>
      <c r="K1915" s="36"/>
      <c r="L1915" s="26"/>
      <c r="M1915" s="26"/>
      <c r="N1915" s="26"/>
      <c r="O1915" s="93"/>
      <c r="P1915" s="95"/>
      <c r="Q1915" s="197"/>
    </row>
    <row r="1916" spans="3:17" x14ac:dyDescent="0.25">
      <c r="C1916" s="199"/>
      <c r="D1916" s="112"/>
      <c r="E1916" s="33"/>
      <c r="F1916" s="105"/>
      <c r="H1916" s="116"/>
      <c r="I1916" s="26"/>
      <c r="J1916" s="98"/>
      <c r="K1916" s="36"/>
      <c r="L1916" s="26"/>
      <c r="M1916" s="26"/>
      <c r="N1916" s="26"/>
      <c r="O1916" s="93"/>
      <c r="P1916" s="95"/>
      <c r="Q1916" s="197"/>
    </row>
    <row r="1917" spans="3:17" x14ac:dyDescent="0.25">
      <c r="C1917" s="199"/>
      <c r="D1917" s="112"/>
      <c r="E1917" s="33"/>
      <c r="F1917" s="105"/>
      <c r="H1917" s="116"/>
      <c r="I1917" s="26"/>
      <c r="J1917" s="98"/>
      <c r="K1917" s="36"/>
      <c r="L1917" s="26"/>
      <c r="M1917" s="26"/>
      <c r="N1917" s="26"/>
      <c r="O1917" s="93"/>
      <c r="P1917" s="95"/>
      <c r="Q1917" s="197"/>
    </row>
    <row r="1918" spans="3:17" x14ac:dyDescent="0.25">
      <c r="C1918" s="199"/>
      <c r="D1918" s="112"/>
      <c r="E1918" s="33"/>
      <c r="F1918" s="105"/>
      <c r="H1918" s="116"/>
      <c r="I1918" s="26"/>
      <c r="J1918" s="98"/>
      <c r="K1918" s="36"/>
      <c r="L1918" s="26"/>
      <c r="M1918" s="26"/>
      <c r="N1918" s="26"/>
      <c r="O1918" s="93"/>
      <c r="P1918" s="95"/>
      <c r="Q1918" s="197"/>
    </row>
    <row r="1919" spans="3:17" x14ac:dyDescent="0.25">
      <c r="C1919" s="199"/>
      <c r="D1919" s="112"/>
      <c r="E1919" s="33"/>
      <c r="F1919" s="105"/>
      <c r="H1919" s="116"/>
      <c r="I1919" s="26"/>
      <c r="J1919" s="98"/>
      <c r="K1919" s="36"/>
      <c r="L1919" s="26"/>
      <c r="M1919" s="26"/>
      <c r="N1919" s="26"/>
      <c r="O1919" s="93"/>
      <c r="P1919" s="95"/>
      <c r="Q1919" s="197"/>
    </row>
    <row r="1920" spans="3:17" x14ac:dyDescent="0.25">
      <c r="C1920" s="199"/>
      <c r="D1920" s="112"/>
      <c r="E1920" s="33"/>
      <c r="F1920" s="105"/>
      <c r="H1920" s="116"/>
      <c r="I1920" s="26"/>
      <c r="J1920" s="98"/>
      <c r="K1920" s="36"/>
      <c r="L1920" s="26"/>
      <c r="M1920" s="26"/>
      <c r="N1920" s="26"/>
      <c r="O1920" s="93"/>
      <c r="P1920" s="95"/>
      <c r="Q1920" s="197"/>
    </row>
    <row r="1921" spans="3:17" x14ac:dyDescent="0.25">
      <c r="C1921" s="199"/>
      <c r="D1921" s="112"/>
      <c r="E1921" s="33"/>
      <c r="F1921" s="105"/>
      <c r="H1921" s="116"/>
      <c r="I1921" s="26"/>
      <c r="J1921" s="98"/>
      <c r="K1921" s="36"/>
      <c r="L1921" s="26"/>
      <c r="M1921" s="26"/>
      <c r="N1921" s="26"/>
      <c r="O1921" s="93"/>
      <c r="P1921" s="95"/>
      <c r="Q1921" s="197"/>
    </row>
    <row r="1922" spans="3:17" x14ac:dyDescent="0.25">
      <c r="C1922" s="199"/>
      <c r="D1922" s="112"/>
      <c r="E1922" s="33"/>
      <c r="F1922" s="105"/>
      <c r="H1922" s="116"/>
      <c r="I1922" s="26"/>
      <c r="J1922" s="98"/>
      <c r="K1922" s="36"/>
      <c r="L1922" s="26"/>
      <c r="M1922" s="26"/>
      <c r="N1922" s="26"/>
      <c r="O1922" s="93"/>
      <c r="P1922" s="95"/>
      <c r="Q1922" s="197"/>
    </row>
    <row r="1923" spans="3:17" x14ac:dyDescent="0.25">
      <c r="C1923" s="199"/>
      <c r="D1923" s="112"/>
      <c r="E1923" s="33"/>
      <c r="F1923" s="105"/>
      <c r="H1923" s="116"/>
      <c r="I1923" s="26"/>
      <c r="J1923" s="98"/>
      <c r="K1923" s="36"/>
      <c r="L1923" s="26"/>
      <c r="M1923" s="26"/>
      <c r="N1923" s="26"/>
      <c r="O1923" s="93"/>
      <c r="P1923" s="95"/>
      <c r="Q1923" s="197"/>
    </row>
    <row r="1924" spans="3:17" x14ac:dyDescent="0.25">
      <c r="C1924" s="199"/>
      <c r="D1924" s="112"/>
      <c r="E1924" s="33"/>
      <c r="F1924" s="105"/>
      <c r="H1924" s="116"/>
      <c r="I1924" s="26"/>
      <c r="J1924" s="98"/>
      <c r="K1924" s="36"/>
      <c r="L1924" s="26"/>
      <c r="M1924" s="26"/>
      <c r="N1924" s="26"/>
      <c r="O1924" s="93"/>
      <c r="P1924" s="95"/>
      <c r="Q1924" s="197"/>
    </row>
    <row r="1925" spans="3:17" x14ac:dyDescent="0.25">
      <c r="C1925" s="199"/>
      <c r="D1925" s="112"/>
      <c r="E1925" s="33"/>
      <c r="F1925" s="105"/>
      <c r="H1925" s="116"/>
      <c r="I1925" s="26"/>
      <c r="J1925" s="98"/>
      <c r="K1925" s="36"/>
      <c r="L1925" s="26"/>
      <c r="M1925" s="26"/>
      <c r="N1925" s="26"/>
      <c r="O1925" s="93"/>
      <c r="P1925" s="95"/>
      <c r="Q1925" s="197"/>
    </row>
    <row r="1926" spans="3:17" x14ac:dyDescent="0.25">
      <c r="C1926" s="199"/>
      <c r="D1926" s="112"/>
      <c r="E1926" s="33"/>
      <c r="F1926" s="105"/>
      <c r="H1926" s="116"/>
      <c r="I1926" s="26"/>
      <c r="J1926" s="98"/>
      <c r="K1926" s="36"/>
      <c r="L1926" s="26"/>
      <c r="M1926" s="26"/>
      <c r="N1926" s="26"/>
      <c r="O1926" s="93"/>
      <c r="P1926" s="95"/>
      <c r="Q1926" s="197"/>
    </row>
    <row r="1927" spans="3:17" x14ac:dyDescent="0.25">
      <c r="C1927" s="199"/>
      <c r="D1927" s="112"/>
      <c r="E1927" s="33"/>
      <c r="F1927" s="105"/>
      <c r="H1927" s="116"/>
      <c r="I1927" s="26"/>
      <c r="J1927" s="98"/>
      <c r="K1927" s="36"/>
      <c r="L1927" s="26"/>
      <c r="M1927" s="26"/>
      <c r="N1927" s="26"/>
      <c r="O1927" s="93"/>
      <c r="P1927" s="95"/>
      <c r="Q1927" s="197"/>
    </row>
    <row r="1928" spans="3:17" x14ac:dyDescent="0.25">
      <c r="C1928" s="199"/>
      <c r="D1928" s="112"/>
      <c r="E1928" s="33"/>
      <c r="F1928" s="105"/>
      <c r="H1928" s="116"/>
      <c r="I1928" s="26"/>
      <c r="J1928" s="98"/>
      <c r="K1928" s="36"/>
      <c r="L1928" s="26"/>
      <c r="M1928" s="26"/>
      <c r="N1928" s="26"/>
      <c r="O1928" s="93"/>
      <c r="P1928" s="95"/>
      <c r="Q1928" s="197"/>
    </row>
    <row r="1929" spans="3:17" x14ac:dyDescent="0.25">
      <c r="C1929" s="199"/>
      <c r="D1929" s="112"/>
      <c r="E1929" s="33"/>
      <c r="F1929" s="105"/>
      <c r="H1929" s="116"/>
      <c r="I1929" s="26"/>
      <c r="J1929" s="98"/>
      <c r="K1929" s="36"/>
      <c r="L1929" s="26"/>
      <c r="M1929" s="26"/>
      <c r="N1929" s="26"/>
      <c r="O1929" s="93"/>
      <c r="P1929" s="95"/>
      <c r="Q1929" s="197"/>
    </row>
    <row r="1930" spans="3:17" x14ac:dyDescent="0.25">
      <c r="C1930" s="199"/>
      <c r="D1930" s="112"/>
      <c r="E1930" s="33"/>
      <c r="F1930" s="105"/>
      <c r="H1930" s="116"/>
      <c r="I1930" s="26"/>
      <c r="J1930" s="98"/>
      <c r="K1930" s="36"/>
      <c r="L1930" s="26"/>
      <c r="M1930" s="26"/>
      <c r="N1930" s="26"/>
      <c r="O1930" s="93"/>
      <c r="P1930" s="95"/>
      <c r="Q1930" s="197"/>
    </row>
    <row r="1931" spans="3:17" x14ac:dyDescent="0.25">
      <c r="C1931" s="199"/>
      <c r="D1931" s="112"/>
      <c r="E1931" s="33"/>
      <c r="F1931" s="105"/>
      <c r="H1931" s="116"/>
      <c r="I1931" s="26"/>
      <c r="J1931" s="98"/>
      <c r="K1931" s="36"/>
      <c r="L1931" s="26"/>
      <c r="M1931" s="26"/>
      <c r="N1931" s="26"/>
      <c r="O1931" s="93"/>
      <c r="P1931" s="95"/>
      <c r="Q1931" s="197"/>
    </row>
    <row r="1932" spans="3:17" x14ac:dyDescent="0.25">
      <c r="C1932" s="199"/>
      <c r="D1932" s="112"/>
      <c r="E1932" s="33"/>
      <c r="F1932" s="105"/>
      <c r="H1932" s="116"/>
      <c r="I1932" s="26"/>
      <c r="J1932" s="98"/>
      <c r="K1932" s="36"/>
      <c r="L1932" s="26"/>
      <c r="M1932" s="26"/>
      <c r="N1932" s="26"/>
      <c r="O1932" s="93"/>
      <c r="P1932" s="95"/>
      <c r="Q1932" s="197"/>
    </row>
    <row r="1933" spans="3:17" x14ac:dyDescent="0.25">
      <c r="C1933" s="199"/>
      <c r="D1933" s="112"/>
      <c r="E1933" s="33"/>
      <c r="F1933" s="105"/>
      <c r="H1933" s="116"/>
      <c r="I1933" s="26"/>
      <c r="J1933" s="98"/>
      <c r="K1933" s="36"/>
      <c r="L1933" s="26"/>
      <c r="M1933" s="26"/>
      <c r="N1933" s="26"/>
      <c r="O1933" s="93"/>
      <c r="P1933" s="95"/>
      <c r="Q1933" s="197"/>
    </row>
    <row r="1934" spans="3:17" x14ac:dyDescent="0.25">
      <c r="C1934" s="199"/>
      <c r="D1934" s="112"/>
      <c r="E1934" s="33"/>
      <c r="F1934" s="105"/>
      <c r="H1934" s="116"/>
      <c r="I1934" s="26"/>
      <c r="J1934" s="98"/>
      <c r="K1934" s="36"/>
      <c r="L1934" s="26"/>
      <c r="M1934" s="26"/>
      <c r="N1934" s="26"/>
      <c r="O1934" s="93"/>
      <c r="P1934" s="95"/>
      <c r="Q1934" s="197"/>
    </row>
    <row r="1935" spans="3:17" x14ac:dyDescent="0.25">
      <c r="C1935" s="199"/>
      <c r="D1935" s="112"/>
      <c r="E1935" s="33"/>
      <c r="F1935" s="105"/>
      <c r="H1935" s="116"/>
      <c r="I1935" s="26"/>
      <c r="J1935" s="98"/>
      <c r="K1935" s="36"/>
      <c r="L1935" s="26"/>
      <c r="M1935" s="26"/>
      <c r="N1935" s="26"/>
      <c r="O1935" s="93"/>
      <c r="P1935" s="95"/>
      <c r="Q1935" s="197"/>
    </row>
    <row r="1936" spans="3:17" x14ac:dyDescent="0.25">
      <c r="C1936" s="199"/>
      <c r="D1936" s="112"/>
      <c r="E1936" s="33"/>
      <c r="F1936" s="105"/>
      <c r="H1936" s="116"/>
      <c r="I1936" s="26"/>
      <c r="J1936" s="98"/>
      <c r="K1936" s="36"/>
      <c r="L1936" s="26"/>
      <c r="M1936" s="26"/>
      <c r="N1936" s="26"/>
      <c r="O1936" s="93"/>
      <c r="P1936" s="95"/>
      <c r="Q1936" s="197"/>
    </row>
    <row r="1937" spans="3:17" x14ac:dyDescent="0.25">
      <c r="C1937" s="199"/>
      <c r="D1937" s="112"/>
      <c r="E1937" s="33"/>
      <c r="F1937" s="105"/>
      <c r="H1937" s="116"/>
      <c r="I1937" s="26"/>
      <c r="J1937" s="98"/>
      <c r="K1937" s="36"/>
      <c r="L1937" s="26"/>
      <c r="M1937" s="26"/>
      <c r="N1937" s="26"/>
      <c r="O1937" s="93"/>
      <c r="P1937" s="95"/>
      <c r="Q1937" s="197"/>
    </row>
    <row r="1938" spans="3:17" x14ac:dyDescent="0.25">
      <c r="C1938" s="199"/>
      <c r="D1938" s="112"/>
      <c r="E1938" s="33"/>
      <c r="F1938" s="105"/>
      <c r="H1938" s="116"/>
      <c r="I1938" s="26"/>
      <c r="J1938" s="98"/>
      <c r="K1938" s="36"/>
      <c r="L1938" s="26"/>
      <c r="M1938" s="26"/>
      <c r="N1938" s="26"/>
      <c r="O1938" s="93"/>
      <c r="P1938" s="95"/>
      <c r="Q1938" s="197"/>
    </row>
    <row r="1939" spans="3:17" x14ac:dyDescent="0.25">
      <c r="C1939" s="199"/>
      <c r="D1939" s="112"/>
      <c r="E1939" s="33"/>
      <c r="F1939" s="105"/>
      <c r="H1939" s="116"/>
      <c r="I1939" s="26"/>
      <c r="J1939" s="98"/>
      <c r="K1939" s="36"/>
      <c r="L1939" s="26"/>
      <c r="M1939" s="26"/>
      <c r="N1939" s="26"/>
      <c r="O1939" s="93"/>
      <c r="P1939" s="95"/>
      <c r="Q1939" s="197"/>
    </row>
    <row r="1940" spans="3:17" x14ac:dyDescent="0.25">
      <c r="C1940" s="199"/>
      <c r="D1940" s="112"/>
      <c r="E1940" s="33"/>
      <c r="F1940" s="105"/>
      <c r="H1940" s="116"/>
      <c r="I1940" s="26"/>
      <c r="J1940" s="98"/>
      <c r="K1940" s="36"/>
      <c r="L1940" s="26"/>
      <c r="M1940" s="26"/>
      <c r="N1940" s="26"/>
      <c r="O1940" s="93"/>
      <c r="P1940" s="95"/>
      <c r="Q1940" s="197"/>
    </row>
    <row r="1941" spans="3:17" x14ac:dyDescent="0.25">
      <c r="C1941" s="199"/>
      <c r="D1941" s="112"/>
      <c r="E1941" s="33"/>
      <c r="F1941" s="105"/>
      <c r="H1941" s="116"/>
      <c r="I1941" s="26"/>
      <c r="J1941" s="98"/>
      <c r="K1941" s="36"/>
      <c r="L1941" s="26"/>
      <c r="M1941" s="26"/>
      <c r="N1941" s="26"/>
      <c r="O1941" s="93"/>
      <c r="P1941" s="95"/>
      <c r="Q1941" s="197"/>
    </row>
    <row r="1942" spans="3:17" x14ac:dyDescent="0.25">
      <c r="C1942" s="199"/>
      <c r="D1942" s="112"/>
      <c r="E1942" s="33"/>
      <c r="F1942" s="105"/>
      <c r="H1942" s="116"/>
      <c r="I1942" s="26"/>
      <c r="J1942" s="98"/>
      <c r="K1942" s="36"/>
      <c r="L1942" s="26"/>
      <c r="M1942" s="26"/>
      <c r="N1942" s="26"/>
      <c r="O1942" s="93"/>
      <c r="P1942" s="95"/>
      <c r="Q1942" s="197"/>
    </row>
    <row r="1943" spans="3:17" x14ac:dyDescent="0.25">
      <c r="C1943" s="199"/>
      <c r="D1943" s="112"/>
      <c r="E1943" s="33"/>
      <c r="F1943" s="105"/>
      <c r="H1943" s="116"/>
      <c r="I1943" s="26"/>
      <c r="J1943" s="98"/>
      <c r="K1943" s="36"/>
      <c r="L1943" s="26"/>
      <c r="M1943" s="26"/>
      <c r="N1943" s="26"/>
      <c r="O1943" s="93"/>
      <c r="P1943" s="95"/>
      <c r="Q1943" s="197"/>
    </row>
    <row r="1944" spans="3:17" x14ac:dyDescent="0.25">
      <c r="C1944" s="199"/>
      <c r="D1944" s="112"/>
      <c r="E1944" s="33"/>
      <c r="F1944" s="105"/>
      <c r="H1944" s="116"/>
      <c r="I1944" s="26"/>
      <c r="J1944" s="98"/>
      <c r="K1944" s="36"/>
      <c r="L1944" s="26"/>
      <c r="M1944" s="26"/>
      <c r="N1944" s="26"/>
      <c r="O1944" s="93"/>
      <c r="P1944" s="95"/>
      <c r="Q1944" s="197"/>
    </row>
    <row r="1945" spans="3:17" x14ac:dyDescent="0.25">
      <c r="C1945" s="199"/>
      <c r="D1945" s="112"/>
      <c r="E1945" s="33"/>
      <c r="F1945" s="105"/>
      <c r="H1945" s="116"/>
      <c r="I1945" s="26"/>
      <c r="J1945" s="98"/>
      <c r="K1945" s="36"/>
      <c r="L1945" s="26"/>
      <c r="M1945" s="26"/>
      <c r="N1945" s="26"/>
      <c r="O1945" s="93"/>
      <c r="P1945" s="95"/>
      <c r="Q1945" s="197"/>
    </row>
    <row r="1946" spans="3:17" x14ac:dyDescent="0.25">
      <c r="C1946" s="199"/>
      <c r="D1946" s="112"/>
      <c r="E1946" s="33"/>
      <c r="F1946" s="105"/>
      <c r="H1946" s="116"/>
      <c r="I1946" s="26"/>
      <c r="J1946" s="98"/>
      <c r="K1946" s="36"/>
      <c r="L1946" s="26"/>
      <c r="M1946" s="26"/>
      <c r="N1946" s="26"/>
      <c r="O1946" s="93"/>
      <c r="P1946" s="95"/>
      <c r="Q1946" s="197"/>
    </row>
    <row r="1947" spans="3:17" x14ac:dyDescent="0.25">
      <c r="C1947" s="199"/>
      <c r="D1947" s="112"/>
      <c r="E1947" s="33"/>
      <c r="F1947" s="105"/>
      <c r="H1947" s="116"/>
      <c r="I1947" s="26"/>
      <c r="J1947" s="98"/>
      <c r="K1947" s="36"/>
      <c r="L1947" s="26"/>
      <c r="M1947" s="26"/>
      <c r="N1947" s="26"/>
      <c r="O1947" s="93"/>
      <c r="P1947" s="95"/>
      <c r="Q1947" s="197"/>
    </row>
    <row r="1948" spans="3:17" x14ac:dyDescent="0.25">
      <c r="C1948" s="199"/>
      <c r="D1948" s="112"/>
      <c r="E1948" s="33"/>
      <c r="F1948" s="105"/>
      <c r="H1948" s="116"/>
      <c r="I1948" s="26"/>
      <c r="J1948" s="98"/>
      <c r="K1948" s="36"/>
      <c r="L1948" s="26"/>
      <c r="M1948" s="26"/>
      <c r="N1948" s="26"/>
      <c r="O1948" s="93"/>
      <c r="P1948" s="95"/>
      <c r="Q1948" s="197"/>
    </row>
    <row r="1949" spans="3:17" x14ac:dyDescent="0.25">
      <c r="C1949" s="199"/>
      <c r="D1949" s="112"/>
      <c r="E1949" s="33"/>
      <c r="F1949" s="105"/>
      <c r="H1949" s="116"/>
      <c r="I1949" s="26"/>
      <c r="J1949" s="98"/>
      <c r="K1949" s="36"/>
      <c r="L1949" s="26"/>
      <c r="M1949" s="26"/>
      <c r="N1949" s="26"/>
      <c r="O1949" s="93"/>
      <c r="P1949" s="95"/>
      <c r="Q1949" s="197"/>
    </row>
    <row r="1950" spans="3:17" x14ac:dyDescent="0.25">
      <c r="C1950" s="199"/>
      <c r="D1950" s="112"/>
      <c r="E1950" s="33"/>
      <c r="F1950" s="105"/>
      <c r="H1950" s="116"/>
      <c r="I1950" s="26"/>
      <c r="J1950" s="98"/>
      <c r="K1950" s="36"/>
      <c r="L1950" s="26"/>
      <c r="M1950" s="26"/>
      <c r="N1950" s="26"/>
      <c r="O1950" s="93"/>
      <c r="P1950" s="95"/>
      <c r="Q1950" s="197"/>
    </row>
    <row r="1951" spans="3:17" x14ac:dyDescent="0.25">
      <c r="C1951" s="199"/>
      <c r="D1951" s="112"/>
      <c r="E1951" s="33"/>
      <c r="F1951" s="105"/>
      <c r="H1951" s="116"/>
      <c r="I1951" s="26"/>
      <c r="J1951" s="98"/>
      <c r="K1951" s="36"/>
      <c r="L1951" s="26"/>
      <c r="M1951" s="26"/>
      <c r="N1951" s="26"/>
      <c r="O1951" s="93"/>
      <c r="P1951" s="95"/>
      <c r="Q1951" s="197"/>
    </row>
    <row r="1952" spans="3:17" x14ac:dyDescent="0.25">
      <c r="C1952" s="199"/>
      <c r="D1952" s="112"/>
      <c r="E1952" s="33"/>
      <c r="F1952" s="105"/>
      <c r="H1952" s="116"/>
      <c r="I1952" s="26"/>
      <c r="J1952" s="98"/>
      <c r="K1952" s="36"/>
      <c r="L1952" s="26"/>
      <c r="M1952" s="26"/>
      <c r="N1952" s="26"/>
      <c r="O1952" s="93"/>
      <c r="P1952" s="95"/>
      <c r="Q1952" s="197"/>
    </row>
    <row r="1953" spans="3:17" x14ac:dyDescent="0.25">
      <c r="C1953" s="199"/>
      <c r="D1953" s="112"/>
      <c r="E1953" s="33"/>
      <c r="F1953" s="105"/>
      <c r="H1953" s="116"/>
      <c r="I1953" s="26"/>
      <c r="J1953" s="98"/>
      <c r="K1953" s="36"/>
      <c r="L1953" s="26"/>
      <c r="M1953" s="26"/>
      <c r="N1953" s="26"/>
      <c r="O1953" s="93"/>
      <c r="P1953" s="95"/>
      <c r="Q1953" s="197"/>
    </row>
    <row r="1954" spans="3:17" x14ac:dyDescent="0.25">
      <c r="C1954" s="199"/>
      <c r="D1954" s="112"/>
      <c r="E1954" s="33"/>
      <c r="F1954" s="105"/>
      <c r="H1954" s="116"/>
      <c r="I1954" s="26"/>
      <c r="J1954" s="98"/>
      <c r="K1954" s="36"/>
      <c r="L1954" s="26"/>
      <c r="M1954" s="26"/>
      <c r="N1954" s="26"/>
      <c r="O1954" s="93"/>
      <c r="P1954" s="95"/>
      <c r="Q1954" s="197"/>
    </row>
    <row r="1955" spans="3:17" x14ac:dyDescent="0.25">
      <c r="C1955" s="199"/>
      <c r="D1955" s="112"/>
      <c r="E1955" s="33"/>
      <c r="F1955" s="105"/>
      <c r="H1955" s="116"/>
      <c r="I1955" s="26"/>
      <c r="J1955" s="98"/>
      <c r="K1955" s="36"/>
      <c r="L1955" s="26"/>
      <c r="M1955" s="26"/>
      <c r="N1955" s="26"/>
      <c r="O1955" s="93"/>
      <c r="P1955" s="95"/>
      <c r="Q1955" s="197"/>
    </row>
    <row r="1956" spans="3:17" x14ac:dyDescent="0.25">
      <c r="C1956" s="199"/>
      <c r="D1956" s="112"/>
      <c r="E1956" s="33"/>
      <c r="F1956" s="105"/>
      <c r="H1956" s="116"/>
      <c r="I1956" s="26"/>
      <c r="J1956" s="98"/>
      <c r="K1956" s="36"/>
      <c r="L1956" s="26"/>
      <c r="M1956" s="26"/>
      <c r="N1956" s="26"/>
      <c r="O1956" s="93"/>
      <c r="P1956" s="95"/>
      <c r="Q1956" s="197"/>
    </row>
    <row r="1957" spans="3:17" x14ac:dyDescent="0.25">
      <c r="C1957" s="199"/>
      <c r="D1957" s="112"/>
      <c r="E1957" s="33"/>
      <c r="F1957" s="105"/>
      <c r="H1957" s="116"/>
      <c r="I1957" s="26"/>
      <c r="J1957" s="98"/>
      <c r="K1957" s="36"/>
      <c r="L1957" s="26"/>
      <c r="M1957" s="26"/>
      <c r="N1957" s="26"/>
      <c r="O1957" s="93"/>
      <c r="P1957" s="95"/>
      <c r="Q1957" s="197"/>
    </row>
    <row r="1958" spans="3:17" x14ac:dyDescent="0.25">
      <c r="C1958" s="199"/>
      <c r="D1958" s="112"/>
      <c r="E1958" s="33"/>
      <c r="F1958" s="105"/>
      <c r="H1958" s="116"/>
      <c r="I1958" s="26"/>
      <c r="J1958" s="98"/>
      <c r="K1958" s="36"/>
      <c r="L1958" s="26"/>
      <c r="M1958" s="26"/>
      <c r="N1958" s="26"/>
      <c r="O1958" s="93"/>
      <c r="P1958" s="95"/>
      <c r="Q1958" s="197"/>
    </row>
    <row r="1959" spans="3:17" x14ac:dyDescent="0.25">
      <c r="C1959" s="199"/>
      <c r="D1959" s="112"/>
      <c r="E1959" s="33"/>
      <c r="F1959" s="105"/>
      <c r="H1959" s="116"/>
      <c r="I1959" s="26"/>
      <c r="J1959" s="98"/>
      <c r="K1959" s="36"/>
      <c r="L1959" s="26"/>
      <c r="M1959" s="26"/>
      <c r="N1959" s="26"/>
      <c r="O1959" s="93"/>
      <c r="P1959" s="95"/>
      <c r="Q1959" s="197"/>
    </row>
    <row r="1960" spans="3:17" x14ac:dyDescent="0.25">
      <c r="C1960" s="199"/>
      <c r="D1960" s="112"/>
      <c r="E1960" s="33"/>
      <c r="F1960" s="105"/>
      <c r="H1960" s="116"/>
      <c r="I1960" s="26"/>
      <c r="J1960" s="98"/>
      <c r="K1960" s="36"/>
      <c r="L1960" s="26"/>
      <c r="M1960" s="26"/>
      <c r="N1960" s="26"/>
      <c r="O1960" s="93"/>
      <c r="P1960" s="95"/>
      <c r="Q1960" s="197"/>
    </row>
    <row r="1961" spans="3:17" x14ac:dyDescent="0.25">
      <c r="C1961" s="199"/>
      <c r="D1961" s="112"/>
      <c r="E1961" s="33"/>
      <c r="F1961" s="105"/>
      <c r="H1961" s="116"/>
      <c r="I1961" s="26"/>
      <c r="J1961" s="98"/>
      <c r="K1961" s="36"/>
      <c r="L1961" s="26"/>
      <c r="M1961" s="26"/>
      <c r="N1961" s="26"/>
      <c r="O1961" s="93"/>
      <c r="P1961" s="95"/>
      <c r="Q1961" s="197"/>
    </row>
    <row r="1962" spans="3:17" x14ac:dyDescent="0.25">
      <c r="C1962" s="199"/>
      <c r="D1962" s="112"/>
      <c r="E1962" s="33"/>
      <c r="F1962" s="105"/>
      <c r="H1962" s="116"/>
      <c r="I1962" s="26"/>
      <c r="J1962" s="98"/>
      <c r="K1962" s="36"/>
      <c r="L1962" s="26"/>
      <c r="M1962" s="26"/>
      <c r="N1962" s="26"/>
      <c r="O1962" s="93"/>
      <c r="P1962" s="95"/>
      <c r="Q1962" s="197"/>
    </row>
    <row r="1963" spans="3:17" x14ac:dyDescent="0.25">
      <c r="C1963" s="199"/>
      <c r="D1963" s="112"/>
      <c r="E1963" s="33"/>
      <c r="F1963" s="105"/>
      <c r="H1963" s="116"/>
      <c r="I1963" s="26"/>
      <c r="J1963" s="98"/>
      <c r="K1963" s="36"/>
      <c r="L1963" s="26"/>
      <c r="M1963" s="26"/>
      <c r="N1963" s="26"/>
      <c r="O1963" s="93"/>
      <c r="P1963" s="95"/>
      <c r="Q1963" s="197"/>
    </row>
    <row r="1964" spans="3:17" x14ac:dyDescent="0.25">
      <c r="C1964" s="199"/>
      <c r="D1964" s="112"/>
      <c r="E1964" s="33"/>
      <c r="F1964" s="105"/>
      <c r="H1964" s="116"/>
      <c r="I1964" s="26"/>
      <c r="J1964" s="98"/>
      <c r="K1964" s="36"/>
      <c r="L1964" s="26"/>
      <c r="M1964" s="26"/>
      <c r="N1964" s="26"/>
      <c r="O1964" s="93"/>
      <c r="P1964" s="95"/>
      <c r="Q1964" s="197"/>
    </row>
    <row r="1965" spans="3:17" x14ac:dyDescent="0.25">
      <c r="C1965" s="199"/>
      <c r="D1965" s="112"/>
      <c r="E1965" s="33"/>
      <c r="F1965" s="105"/>
      <c r="H1965" s="116"/>
      <c r="I1965" s="26"/>
      <c r="J1965" s="98"/>
      <c r="K1965" s="36"/>
      <c r="L1965" s="26"/>
      <c r="M1965" s="26"/>
      <c r="N1965" s="26"/>
      <c r="O1965" s="93"/>
      <c r="P1965" s="95"/>
      <c r="Q1965" s="197"/>
    </row>
    <row r="1966" spans="3:17" x14ac:dyDescent="0.25">
      <c r="C1966" s="199"/>
      <c r="D1966" s="112"/>
      <c r="E1966" s="33"/>
      <c r="F1966" s="105"/>
      <c r="H1966" s="116"/>
      <c r="I1966" s="26"/>
      <c r="J1966" s="98"/>
      <c r="K1966" s="36"/>
      <c r="L1966" s="26"/>
      <c r="M1966" s="26"/>
      <c r="N1966" s="26"/>
      <c r="O1966" s="93"/>
      <c r="P1966" s="95"/>
      <c r="Q1966" s="197"/>
    </row>
    <row r="1967" spans="3:17" x14ac:dyDescent="0.25">
      <c r="C1967" s="199"/>
      <c r="D1967" s="112"/>
      <c r="E1967" s="33"/>
      <c r="F1967" s="105"/>
      <c r="H1967" s="116"/>
      <c r="I1967" s="26"/>
      <c r="J1967" s="98"/>
      <c r="K1967" s="36"/>
      <c r="L1967" s="26"/>
      <c r="M1967" s="26"/>
      <c r="N1967" s="26"/>
      <c r="O1967" s="93"/>
      <c r="P1967" s="95"/>
      <c r="Q1967" s="197"/>
    </row>
    <row r="1968" spans="3:17" x14ac:dyDescent="0.25">
      <c r="C1968" s="199"/>
      <c r="D1968" s="112"/>
      <c r="E1968" s="33"/>
      <c r="F1968" s="105"/>
      <c r="H1968" s="116"/>
      <c r="I1968" s="26"/>
      <c r="J1968" s="98"/>
      <c r="K1968" s="36"/>
      <c r="L1968" s="26"/>
      <c r="M1968" s="26"/>
      <c r="N1968" s="26"/>
      <c r="O1968" s="93"/>
      <c r="P1968" s="95"/>
      <c r="Q1968" s="197"/>
    </row>
    <row r="1969" spans="3:17" x14ac:dyDescent="0.25">
      <c r="C1969" s="199"/>
      <c r="D1969" s="112"/>
      <c r="E1969" s="33"/>
      <c r="F1969" s="105"/>
      <c r="H1969" s="116"/>
      <c r="I1969" s="26"/>
      <c r="J1969" s="98"/>
      <c r="K1969" s="36"/>
      <c r="L1969" s="26"/>
      <c r="M1969" s="26"/>
      <c r="N1969" s="26"/>
      <c r="O1969" s="93"/>
      <c r="P1969" s="95"/>
      <c r="Q1969" s="197"/>
    </row>
    <row r="1970" spans="3:17" x14ac:dyDescent="0.25">
      <c r="C1970" s="199"/>
      <c r="D1970" s="112"/>
      <c r="E1970" s="33"/>
      <c r="F1970" s="105"/>
      <c r="H1970" s="116"/>
      <c r="I1970" s="26"/>
      <c r="J1970" s="98"/>
      <c r="K1970" s="36"/>
      <c r="L1970" s="26"/>
      <c r="M1970" s="26"/>
      <c r="N1970" s="26"/>
      <c r="O1970" s="93"/>
      <c r="P1970" s="95"/>
      <c r="Q1970" s="197"/>
    </row>
    <row r="1971" spans="3:17" x14ac:dyDescent="0.25">
      <c r="C1971" s="199"/>
      <c r="D1971" s="112"/>
      <c r="E1971" s="33"/>
      <c r="F1971" s="105"/>
      <c r="H1971" s="116"/>
      <c r="I1971" s="26"/>
      <c r="J1971" s="98"/>
      <c r="K1971" s="36"/>
      <c r="L1971" s="26"/>
      <c r="M1971" s="26"/>
      <c r="N1971" s="26"/>
      <c r="O1971" s="93"/>
      <c r="P1971" s="95"/>
      <c r="Q1971" s="197"/>
    </row>
    <row r="1972" spans="3:17" x14ac:dyDescent="0.25">
      <c r="C1972" s="199"/>
      <c r="D1972" s="112"/>
      <c r="E1972" s="33"/>
      <c r="F1972" s="105"/>
      <c r="H1972" s="116"/>
      <c r="I1972" s="26"/>
      <c r="J1972" s="98"/>
      <c r="K1972" s="36"/>
      <c r="L1972" s="26"/>
      <c r="M1972" s="26"/>
      <c r="N1972" s="26"/>
      <c r="O1972" s="93"/>
      <c r="P1972" s="95"/>
      <c r="Q1972" s="197"/>
    </row>
    <row r="1973" spans="3:17" x14ac:dyDescent="0.25">
      <c r="C1973" s="199"/>
      <c r="D1973" s="112"/>
      <c r="E1973" s="33"/>
      <c r="F1973" s="105"/>
      <c r="H1973" s="116"/>
      <c r="I1973" s="26"/>
      <c r="J1973" s="98"/>
      <c r="K1973" s="36"/>
      <c r="L1973" s="26"/>
      <c r="M1973" s="26"/>
      <c r="N1973" s="26"/>
      <c r="O1973" s="93"/>
      <c r="P1973" s="95"/>
      <c r="Q1973" s="197"/>
    </row>
    <row r="1974" spans="3:17" x14ac:dyDescent="0.25">
      <c r="C1974" s="199"/>
      <c r="D1974" s="112"/>
      <c r="E1974" s="33"/>
      <c r="F1974" s="105"/>
      <c r="H1974" s="116"/>
      <c r="I1974" s="26"/>
      <c r="J1974" s="98"/>
      <c r="K1974" s="36"/>
      <c r="L1974" s="26"/>
      <c r="M1974" s="26"/>
      <c r="N1974" s="26"/>
      <c r="O1974" s="93"/>
      <c r="P1974" s="95"/>
      <c r="Q1974" s="197"/>
    </row>
    <row r="1975" spans="3:17" x14ac:dyDescent="0.25">
      <c r="C1975" s="199"/>
      <c r="D1975" s="112"/>
      <c r="E1975" s="33"/>
      <c r="F1975" s="105"/>
      <c r="H1975" s="116"/>
      <c r="I1975" s="26"/>
      <c r="J1975" s="98"/>
      <c r="K1975" s="36"/>
      <c r="L1975" s="26"/>
      <c r="M1975" s="26"/>
      <c r="N1975" s="26"/>
      <c r="O1975" s="93"/>
      <c r="P1975" s="95"/>
      <c r="Q1975" s="197"/>
    </row>
    <row r="1976" spans="3:17" x14ac:dyDescent="0.25">
      <c r="C1976" s="199"/>
      <c r="D1976" s="112"/>
      <c r="E1976" s="33"/>
      <c r="F1976" s="105"/>
      <c r="H1976" s="116"/>
      <c r="I1976" s="26"/>
      <c r="J1976" s="98"/>
      <c r="K1976" s="36"/>
      <c r="L1976" s="26"/>
      <c r="M1976" s="26"/>
      <c r="N1976" s="26"/>
      <c r="O1976" s="93"/>
      <c r="P1976" s="95"/>
      <c r="Q1976" s="197"/>
    </row>
    <row r="1977" spans="3:17" x14ac:dyDescent="0.25">
      <c r="C1977" s="199"/>
      <c r="D1977" s="112"/>
      <c r="E1977" s="33"/>
      <c r="F1977" s="105"/>
      <c r="H1977" s="116"/>
      <c r="I1977" s="26"/>
      <c r="J1977" s="98"/>
      <c r="K1977" s="36"/>
      <c r="L1977" s="26"/>
      <c r="M1977" s="26"/>
      <c r="N1977" s="26"/>
      <c r="O1977" s="93"/>
      <c r="P1977" s="95"/>
      <c r="Q1977" s="197"/>
    </row>
    <row r="1978" spans="3:17" x14ac:dyDescent="0.25">
      <c r="C1978" s="199"/>
      <c r="D1978" s="112"/>
      <c r="E1978" s="33"/>
      <c r="F1978" s="105"/>
      <c r="H1978" s="116"/>
      <c r="I1978" s="26"/>
      <c r="J1978" s="98"/>
      <c r="K1978" s="36"/>
      <c r="L1978" s="26"/>
      <c r="M1978" s="26"/>
      <c r="N1978" s="26"/>
      <c r="O1978" s="93"/>
      <c r="P1978" s="95"/>
      <c r="Q1978" s="197"/>
    </row>
    <row r="1979" spans="3:17" x14ac:dyDescent="0.25">
      <c r="C1979" s="199"/>
      <c r="D1979" s="112"/>
      <c r="E1979" s="33"/>
      <c r="F1979" s="105"/>
      <c r="H1979" s="116"/>
      <c r="I1979" s="26"/>
      <c r="J1979" s="98"/>
      <c r="K1979" s="36"/>
      <c r="L1979" s="26"/>
      <c r="M1979" s="26"/>
      <c r="N1979" s="26"/>
      <c r="O1979" s="93"/>
      <c r="P1979" s="95"/>
      <c r="Q1979" s="197"/>
    </row>
    <row r="1980" spans="3:17" x14ac:dyDescent="0.25">
      <c r="C1980" s="199"/>
      <c r="D1980" s="112"/>
      <c r="E1980" s="33"/>
      <c r="F1980" s="105"/>
      <c r="H1980" s="116"/>
      <c r="I1980" s="26"/>
      <c r="J1980" s="98"/>
      <c r="K1980" s="36"/>
      <c r="L1980" s="26"/>
      <c r="M1980" s="26"/>
      <c r="N1980" s="26"/>
      <c r="O1980" s="93"/>
      <c r="P1980" s="95"/>
      <c r="Q1980" s="197"/>
    </row>
    <row r="1981" spans="3:17" x14ac:dyDescent="0.25">
      <c r="C1981" s="199"/>
      <c r="D1981" s="112"/>
      <c r="E1981" s="33"/>
      <c r="F1981" s="105"/>
      <c r="H1981" s="116"/>
      <c r="I1981" s="26"/>
      <c r="J1981" s="98"/>
      <c r="K1981" s="36"/>
      <c r="L1981" s="26"/>
      <c r="M1981" s="26"/>
      <c r="N1981" s="26"/>
      <c r="O1981" s="93"/>
      <c r="P1981" s="95"/>
      <c r="Q1981" s="197"/>
    </row>
    <row r="1982" spans="3:17" x14ac:dyDescent="0.25">
      <c r="C1982" s="199"/>
      <c r="D1982" s="112"/>
      <c r="E1982" s="33"/>
      <c r="F1982" s="105"/>
      <c r="H1982" s="116"/>
      <c r="I1982" s="26"/>
      <c r="J1982" s="98"/>
      <c r="K1982" s="36"/>
      <c r="L1982" s="26"/>
      <c r="M1982" s="26"/>
      <c r="N1982" s="26"/>
      <c r="O1982" s="93"/>
      <c r="P1982" s="95"/>
      <c r="Q1982" s="197"/>
    </row>
    <row r="1983" spans="3:17" x14ac:dyDescent="0.25">
      <c r="C1983" s="199"/>
      <c r="D1983" s="112"/>
      <c r="E1983" s="33"/>
      <c r="F1983" s="105"/>
      <c r="H1983" s="116"/>
      <c r="I1983" s="26"/>
      <c r="J1983" s="98"/>
      <c r="K1983" s="36"/>
      <c r="L1983" s="26"/>
      <c r="M1983" s="26"/>
      <c r="N1983" s="26"/>
      <c r="O1983" s="93"/>
      <c r="P1983" s="95"/>
      <c r="Q1983" s="197"/>
    </row>
    <row r="1984" spans="3:17" x14ac:dyDescent="0.25">
      <c r="C1984" s="199"/>
      <c r="D1984" s="112"/>
      <c r="E1984" s="33"/>
      <c r="F1984" s="105"/>
      <c r="H1984" s="116"/>
      <c r="I1984" s="26"/>
      <c r="J1984" s="98"/>
      <c r="K1984" s="36"/>
      <c r="L1984" s="26"/>
      <c r="M1984" s="26"/>
      <c r="N1984" s="26"/>
      <c r="O1984" s="93"/>
      <c r="P1984" s="95"/>
      <c r="Q1984" s="197"/>
    </row>
    <row r="1985" spans="3:17" x14ac:dyDescent="0.25">
      <c r="C1985" s="199"/>
      <c r="D1985" s="112"/>
      <c r="E1985" s="33"/>
      <c r="F1985" s="105"/>
      <c r="H1985" s="116"/>
      <c r="I1985" s="26"/>
      <c r="J1985" s="98"/>
      <c r="K1985" s="36"/>
      <c r="L1985" s="26"/>
      <c r="M1985" s="26"/>
      <c r="N1985" s="26"/>
      <c r="O1985" s="93"/>
      <c r="P1985" s="95"/>
      <c r="Q1985" s="197"/>
    </row>
    <row r="1986" spans="3:17" x14ac:dyDescent="0.25">
      <c r="C1986" s="199"/>
      <c r="D1986" s="112"/>
      <c r="E1986" s="33"/>
      <c r="F1986" s="105"/>
      <c r="H1986" s="116"/>
      <c r="I1986" s="26"/>
      <c r="J1986" s="98"/>
      <c r="K1986" s="36"/>
      <c r="L1986" s="26"/>
      <c r="M1986" s="26"/>
      <c r="N1986" s="26"/>
      <c r="O1986" s="93"/>
      <c r="P1986" s="95"/>
      <c r="Q1986" s="197"/>
    </row>
    <row r="1987" spans="3:17" x14ac:dyDescent="0.25">
      <c r="C1987" s="199"/>
      <c r="D1987" s="112"/>
      <c r="E1987" s="33"/>
      <c r="F1987" s="105"/>
      <c r="H1987" s="116"/>
      <c r="I1987" s="26"/>
      <c r="J1987" s="98"/>
      <c r="K1987" s="36"/>
      <c r="L1987" s="26"/>
      <c r="M1987" s="26"/>
      <c r="N1987" s="26"/>
      <c r="O1987" s="93"/>
      <c r="P1987" s="95"/>
      <c r="Q1987" s="197"/>
    </row>
    <row r="1988" spans="3:17" x14ac:dyDescent="0.25">
      <c r="C1988" s="199"/>
      <c r="D1988" s="112"/>
      <c r="E1988" s="33"/>
      <c r="F1988" s="105"/>
      <c r="H1988" s="116"/>
      <c r="I1988" s="26"/>
      <c r="J1988" s="98"/>
      <c r="K1988" s="36"/>
      <c r="L1988" s="26"/>
      <c r="M1988" s="26"/>
      <c r="N1988" s="26"/>
      <c r="O1988" s="93"/>
      <c r="P1988" s="95"/>
      <c r="Q1988" s="197"/>
    </row>
    <row r="1989" spans="3:17" x14ac:dyDescent="0.25">
      <c r="C1989" s="199"/>
      <c r="D1989" s="112"/>
      <c r="E1989" s="33"/>
      <c r="F1989" s="105"/>
      <c r="H1989" s="116"/>
      <c r="I1989" s="26"/>
      <c r="J1989" s="98"/>
      <c r="K1989" s="36"/>
      <c r="L1989" s="26"/>
      <c r="M1989" s="26"/>
      <c r="N1989" s="26"/>
      <c r="O1989" s="93"/>
      <c r="P1989" s="95"/>
      <c r="Q1989" s="197"/>
    </row>
    <row r="1990" spans="3:17" x14ac:dyDescent="0.25">
      <c r="C1990" s="199"/>
      <c r="D1990" s="112"/>
      <c r="E1990" s="33"/>
      <c r="F1990" s="105"/>
      <c r="H1990" s="116"/>
      <c r="I1990" s="26"/>
      <c r="J1990" s="98"/>
      <c r="K1990" s="36"/>
      <c r="L1990" s="26"/>
      <c r="M1990" s="26"/>
      <c r="N1990" s="26"/>
      <c r="O1990" s="93"/>
      <c r="P1990" s="95"/>
      <c r="Q1990" s="197"/>
    </row>
    <row r="1991" spans="3:17" x14ac:dyDescent="0.25">
      <c r="C1991" s="199"/>
      <c r="D1991" s="112"/>
      <c r="E1991" s="33"/>
      <c r="F1991" s="105"/>
      <c r="H1991" s="116"/>
      <c r="I1991" s="26"/>
      <c r="J1991" s="98"/>
      <c r="K1991" s="36"/>
      <c r="L1991" s="26"/>
      <c r="M1991" s="26"/>
      <c r="N1991" s="26"/>
      <c r="O1991" s="93"/>
      <c r="P1991" s="95"/>
      <c r="Q1991" s="197"/>
    </row>
    <row r="1992" spans="3:17" x14ac:dyDescent="0.25">
      <c r="C1992" s="199"/>
      <c r="D1992" s="112"/>
      <c r="E1992" s="33"/>
      <c r="F1992" s="105"/>
      <c r="H1992" s="116"/>
      <c r="I1992" s="26"/>
      <c r="J1992" s="98"/>
      <c r="K1992" s="36"/>
      <c r="L1992" s="26"/>
      <c r="M1992" s="26"/>
      <c r="N1992" s="26"/>
      <c r="O1992" s="93"/>
      <c r="P1992" s="95"/>
      <c r="Q1992" s="197"/>
    </row>
    <row r="1993" spans="3:17" x14ac:dyDescent="0.25">
      <c r="C1993" s="199"/>
      <c r="D1993" s="112"/>
      <c r="E1993" s="33"/>
      <c r="F1993" s="105"/>
      <c r="H1993" s="116"/>
      <c r="I1993" s="26"/>
      <c r="J1993" s="98"/>
      <c r="K1993" s="36"/>
      <c r="L1993" s="26"/>
      <c r="M1993" s="26"/>
      <c r="N1993" s="26"/>
      <c r="O1993" s="93"/>
      <c r="P1993" s="95"/>
      <c r="Q1993" s="197"/>
    </row>
    <row r="1994" spans="3:17" x14ac:dyDescent="0.25">
      <c r="C1994" s="199"/>
      <c r="D1994" s="112"/>
      <c r="E1994" s="33"/>
      <c r="F1994" s="105"/>
      <c r="H1994" s="116"/>
      <c r="I1994" s="26"/>
      <c r="J1994" s="98"/>
      <c r="K1994" s="36"/>
      <c r="L1994" s="26"/>
      <c r="M1994" s="26"/>
      <c r="N1994" s="26"/>
      <c r="O1994" s="93"/>
      <c r="P1994" s="95"/>
      <c r="Q1994" s="197"/>
    </row>
    <row r="1995" spans="3:17" x14ac:dyDescent="0.25">
      <c r="C1995" s="199"/>
      <c r="D1995" s="112"/>
      <c r="E1995" s="33"/>
      <c r="F1995" s="105"/>
      <c r="H1995" s="116"/>
      <c r="I1995" s="26"/>
      <c r="J1995" s="98"/>
      <c r="K1995" s="36"/>
      <c r="L1995" s="26"/>
      <c r="M1995" s="26"/>
      <c r="N1995" s="26"/>
      <c r="O1995" s="93"/>
      <c r="P1995" s="95"/>
      <c r="Q1995" s="197"/>
    </row>
    <row r="1996" spans="3:17" x14ac:dyDescent="0.25">
      <c r="C1996" s="199"/>
      <c r="D1996" s="112"/>
      <c r="E1996" s="33"/>
      <c r="F1996" s="105"/>
      <c r="H1996" s="116"/>
      <c r="I1996" s="26"/>
      <c r="J1996" s="98"/>
      <c r="K1996" s="36"/>
      <c r="L1996" s="26"/>
      <c r="M1996" s="26"/>
      <c r="N1996" s="26"/>
      <c r="O1996" s="93"/>
      <c r="P1996" s="95"/>
      <c r="Q1996" s="197"/>
    </row>
    <row r="1997" spans="3:17" x14ac:dyDescent="0.25">
      <c r="C1997" s="199"/>
      <c r="D1997" s="112"/>
      <c r="E1997" s="33"/>
      <c r="F1997" s="105"/>
      <c r="H1997" s="116"/>
      <c r="I1997" s="26"/>
      <c r="J1997" s="98"/>
      <c r="K1997" s="36"/>
      <c r="L1997" s="26"/>
      <c r="M1997" s="26"/>
      <c r="N1997" s="26"/>
      <c r="O1997" s="93"/>
      <c r="P1997" s="95"/>
      <c r="Q1997" s="197"/>
    </row>
    <row r="1998" spans="3:17" x14ac:dyDescent="0.25">
      <c r="C1998" s="199"/>
      <c r="D1998" s="112"/>
      <c r="E1998" s="33"/>
      <c r="F1998" s="105"/>
      <c r="H1998" s="116"/>
      <c r="I1998" s="26"/>
      <c r="J1998" s="98"/>
      <c r="K1998" s="36"/>
      <c r="L1998" s="26"/>
      <c r="M1998" s="26"/>
      <c r="N1998" s="26"/>
      <c r="O1998" s="93"/>
      <c r="P1998" s="95"/>
      <c r="Q1998" s="197"/>
    </row>
    <row r="1999" spans="3:17" x14ac:dyDescent="0.25">
      <c r="C1999" s="199"/>
      <c r="D1999" s="112"/>
      <c r="E1999" s="33"/>
      <c r="F1999" s="105"/>
      <c r="H1999" s="116"/>
      <c r="I1999" s="26"/>
      <c r="J1999" s="98"/>
      <c r="K1999" s="36"/>
      <c r="L1999" s="26"/>
      <c r="M1999" s="26"/>
      <c r="N1999" s="26"/>
      <c r="O1999" s="93"/>
      <c r="P1999" s="95"/>
      <c r="Q1999" s="197"/>
    </row>
    <row r="2000" spans="3:17" x14ac:dyDescent="0.25">
      <c r="C2000" s="199"/>
      <c r="D2000" s="112"/>
      <c r="E2000" s="33"/>
      <c r="F2000" s="105"/>
      <c r="H2000" s="116"/>
      <c r="I2000" s="26"/>
      <c r="J2000" s="98"/>
      <c r="K2000" s="36"/>
      <c r="L2000" s="26"/>
      <c r="M2000" s="26"/>
      <c r="N2000" s="26"/>
      <c r="O2000" s="93"/>
      <c r="P2000" s="95"/>
      <c r="Q2000" s="197"/>
    </row>
    <row r="2001" spans="3:17" x14ac:dyDescent="0.25">
      <c r="C2001" s="199"/>
      <c r="D2001" s="112"/>
      <c r="E2001" s="33"/>
      <c r="F2001" s="105"/>
      <c r="H2001" s="116"/>
      <c r="I2001" s="26"/>
      <c r="J2001" s="98"/>
      <c r="K2001" s="36"/>
      <c r="L2001" s="26"/>
      <c r="M2001" s="26"/>
      <c r="N2001" s="26"/>
      <c r="O2001" s="93"/>
      <c r="P2001" s="95"/>
      <c r="Q2001" s="197"/>
    </row>
    <row r="2002" spans="3:17" x14ac:dyDescent="0.25">
      <c r="C2002" s="199"/>
      <c r="D2002" s="112"/>
      <c r="E2002" s="33"/>
      <c r="F2002" s="105"/>
      <c r="H2002" s="116"/>
      <c r="I2002" s="26"/>
      <c r="J2002" s="98"/>
      <c r="K2002" s="36"/>
      <c r="L2002" s="26"/>
      <c r="M2002" s="26"/>
      <c r="N2002" s="26"/>
      <c r="O2002" s="93"/>
      <c r="P2002" s="95"/>
      <c r="Q2002" s="197"/>
    </row>
    <row r="2003" spans="3:17" x14ac:dyDescent="0.25">
      <c r="C2003" s="199"/>
      <c r="D2003" s="112"/>
      <c r="E2003" s="33"/>
      <c r="F2003" s="105"/>
      <c r="H2003" s="116"/>
      <c r="I2003" s="26"/>
      <c r="J2003" s="98"/>
      <c r="K2003" s="36"/>
      <c r="L2003" s="26"/>
      <c r="M2003" s="26"/>
      <c r="N2003" s="26"/>
      <c r="O2003" s="93"/>
      <c r="P2003" s="95"/>
      <c r="Q2003" s="197"/>
    </row>
    <row r="2004" spans="3:17" x14ac:dyDescent="0.25">
      <c r="C2004" s="199"/>
      <c r="D2004" s="112"/>
      <c r="E2004" s="33"/>
      <c r="F2004" s="105"/>
      <c r="H2004" s="116"/>
      <c r="I2004" s="26"/>
      <c r="J2004" s="98"/>
      <c r="K2004" s="36"/>
      <c r="L2004" s="26"/>
      <c r="M2004" s="26"/>
      <c r="N2004" s="26"/>
      <c r="O2004" s="93"/>
      <c r="P2004" s="95"/>
      <c r="Q2004" s="197"/>
    </row>
    <row r="2005" spans="3:17" x14ac:dyDescent="0.25">
      <c r="C2005" s="199"/>
      <c r="D2005" s="112"/>
      <c r="E2005" s="33"/>
      <c r="F2005" s="105"/>
      <c r="H2005" s="116"/>
      <c r="I2005" s="26"/>
      <c r="J2005" s="98"/>
      <c r="K2005" s="36"/>
      <c r="L2005" s="26"/>
      <c r="M2005" s="26"/>
      <c r="N2005" s="26"/>
      <c r="O2005" s="93"/>
      <c r="P2005" s="95"/>
      <c r="Q2005" s="197"/>
    </row>
    <row r="2006" spans="3:17" x14ac:dyDescent="0.25">
      <c r="C2006" s="199"/>
      <c r="D2006" s="112"/>
      <c r="E2006" s="33"/>
      <c r="F2006" s="105"/>
      <c r="H2006" s="116"/>
      <c r="I2006" s="26"/>
      <c r="J2006" s="98"/>
      <c r="K2006" s="36"/>
      <c r="L2006" s="26"/>
      <c r="M2006" s="26"/>
      <c r="N2006" s="26"/>
      <c r="O2006" s="93"/>
      <c r="P2006" s="95"/>
      <c r="Q2006" s="197"/>
    </row>
    <row r="2007" spans="3:17" x14ac:dyDescent="0.25">
      <c r="C2007" s="199"/>
      <c r="D2007" s="112"/>
      <c r="E2007" s="33"/>
      <c r="F2007" s="105"/>
      <c r="H2007" s="116"/>
      <c r="I2007" s="26"/>
      <c r="J2007" s="98"/>
      <c r="K2007" s="36"/>
      <c r="L2007" s="26"/>
      <c r="M2007" s="26"/>
      <c r="N2007" s="26"/>
      <c r="O2007" s="93"/>
      <c r="P2007" s="95"/>
      <c r="Q2007" s="197"/>
    </row>
    <row r="2008" spans="3:17" x14ac:dyDescent="0.25">
      <c r="C2008" s="199"/>
      <c r="D2008" s="112"/>
      <c r="E2008" s="33"/>
      <c r="F2008" s="105"/>
      <c r="H2008" s="116"/>
      <c r="I2008" s="26"/>
      <c r="J2008" s="98"/>
      <c r="K2008" s="36"/>
      <c r="L2008" s="26"/>
      <c r="M2008" s="26"/>
      <c r="N2008" s="26"/>
      <c r="O2008" s="93"/>
      <c r="P2008" s="95"/>
      <c r="Q2008" s="197"/>
    </row>
    <row r="2009" spans="3:17" x14ac:dyDescent="0.25">
      <c r="C2009" s="199"/>
      <c r="D2009" s="112"/>
      <c r="E2009" s="33"/>
      <c r="F2009" s="105"/>
      <c r="H2009" s="116"/>
      <c r="I2009" s="26"/>
      <c r="J2009" s="98"/>
      <c r="K2009" s="36"/>
      <c r="L2009" s="26"/>
      <c r="M2009" s="26"/>
      <c r="N2009" s="26"/>
      <c r="O2009" s="93"/>
      <c r="P2009" s="95"/>
      <c r="Q2009" s="197"/>
    </row>
    <row r="2010" spans="3:17" x14ac:dyDescent="0.25">
      <c r="C2010" s="199"/>
      <c r="D2010" s="112"/>
      <c r="E2010" s="33"/>
      <c r="F2010" s="105"/>
      <c r="H2010" s="116"/>
      <c r="I2010" s="26"/>
      <c r="J2010" s="98"/>
      <c r="K2010" s="36"/>
      <c r="L2010" s="26"/>
      <c r="M2010" s="26"/>
      <c r="N2010" s="26"/>
      <c r="O2010" s="93"/>
      <c r="P2010" s="95"/>
      <c r="Q2010" s="197"/>
    </row>
    <row r="2011" spans="3:17" x14ac:dyDescent="0.25">
      <c r="C2011" s="199"/>
      <c r="D2011" s="112"/>
      <c r="E2011" s="33"/>
      <c r="F2011" s="105"/>
      <c r="H2011" s="116"/>
      <c r="I2011" s="26"/>
      <c r="J2011" s="98"/>
      <c r="K2011" s="36"/>
      <c r="L2011" s="26"/>
      <c r="M2011" s="26"/>
      <c r="N2011" s="26"/>
      <c r="O2011" s="93"/>
      <c r="P2011" s="95"/>
      <c r="Q2011" s="197"/>
    </row>
    <row r="2012" spans="3:17" x14ac:dyDescent="0.25">
      <c r="C2012" s="199"/>
      <c r="D2012" s="112"/>
      <c r="E2012" s="33"/>
      <c r="F2012" s="105"/>
      <c r="H2012" s="116"/>
      <c r="I2012" s="26"/>
      <c r="J2012" s="98"/>
      <c r="K2012" s="36"/>
      <c r="L2012" s="26"/>
      <c r="M2012" s="26"/>
      <c r="N2012" s="26"/>
      <c r="O2012" s="93"/>
      <c r="P2012" s="95"/>
      <c r="Q2012" s="197"/>
    </row>
    <row r="2013" spans="3:17" x14ac:dyDescent="0.25">
      <c r="C2013" s="199"/>
      <c r="D2013" s="112"/>
      <c r="E2013" s="33"/>
      <c r="F2013" s="105"/>
      <c r="H2013" s="116"/>
      <c r="I2013" s="26"/>
      <c r="J2013" s="98"/>
      <c r="K2013" s="36"/>
      <c r="L2013" s="26"/>
      <c r="M2013" s="26"/>
      <c r="N2013" s="26"/>
      <c r="O2013" s="93"/>
      <c r="P2013" s="95"/>
      <c r="Q2013" s="197"/>
    </row>
    <row r="2014" spans="3:17" x14ac:dyDescent="0.25">
      <c r="C2014" s="199"/>
      <c r="D2014" s="112"/>
      <c r="E2014" s="33"/>
      <c r="F2014" s="105"/>
      <c r="H2014" s="116"/>
      <c r="I2014" s="26"/>
      <c r="J2014" s="98"/>
      <c r="K2014" s="36"/>
      <c r="L2014" s="26"/>
      <c r="M2014" s="26"/>
      <c r="N2014" s="26"/>
      <c r="O2014" s="93"/>
      <c r="P2014" s="95"/>
      <c r="Q2014" s="197"/>
    </row>
    <row r="2015" spans="3:17" x14ac:dyDescent="0.25">
      <c r="C2015" s="199"/>
      <c r="D2015" s="112"/>
      <c r="E2015" s="33"/>
      <c r="F2015" s="105"/>
      <c r="H2015" s="116"/>
      <c r="I2015" s="26"/>
      <c r="J2015" s="98"/>
      <c r="K2015" s="36"/>
      <c r="L2015" s="26"/>
      <c r="M2015" s="26"/>
      <c r="N2015" s="26"/>
      <c r="O2015" s="93"/>
      <c r="P2015" s="95"/>
      <c r="Q2015" s="197"/>
    </row>
    <row r="2016" spans="3:17" x14ac:dyDescent="0.25">
      <c r="C2016" s="199"/>
      <c r="D2016" s="112"/>
      <c r="E2016" s="33"/>
      <c r="F2016" s="105"/>
      <c r="H2016" s="116"/>
      <c r="I2016" s="26"/>
      <c r="J2016" s="98"/>
      <c r="K2016" s="36"/>
      <c r="L2016" s="26"/>
      <c r="M2016" s="26"/>
      <c r="N2016" s="26"/>
      <c r="O2016" s="93"/>
      <c r="P2016" s="95"/>
      <c r="Q2016" s="197"/>
    </row>
    <row r="2017" spans="3:17" x14ac:dyDescent="0.25">
      <c r="C2017" s="199"/>
      <c r="D2017" s="112"/>
      <c r="E2017" s="33"/>
      <c r="F2017" s="105"/>
      <c r="H2017" s="116"/>
      <c r="I2017" s="26"/>
      <c r="J2017" s="98"/>
      <c r="K2017" s="36"/>
      <c r="L2017" s="26"/>
      <c r="M2017" s="26"/>
      <c r="N2017" s="26"/>
      <c r="O2017" s="93"/>
      <c r="P2017" s="95"/>
      <c r="Q2017" s="197"/>
    </row>
    <row r="2018" spans="3:17" x14ac:dyDescent="0.25">
      <c r="C2018" s="199"/>
      <c r="D2018" s="112"/>
      <c r="E2018" s="33"/>
      <c r="F2018" s="105"/>
      <c r="H2018" s="116"/>
      <c r="I2018" s="26"/>
      <c r="J2018" s="98"/>
      <c r="K2018" s="36"/>
      <c r="L2018" s="26"/>
      <c r="M2018" s="26"/>
      <c r="N2018" s="26"/>
      <c r="O2018" s="93"/>
      <c r="P2018" s="95"/>
      <c r="Q2018" s="197"/>
    </row>
    <row r="2019" spans="3:17" x14ac:dyDescent="0.25">
      <c r="C2019" s="199"/>
      <c r="D2019" s="112"/>
      <c r="E2019" s="33"/>
      <c r="F2019" s="105"/>
      <c r="H2019" s="116"/>
      <c r="I2019" s="26"/>
      <c r="J2019" s="98"/>
      <c r="K2019" s="36"/>
      <c r="L2019" s="26"/>
      <c r="M2019" s="26"/>
      <c r="N2019" s="26"/>
      <c r="O2019" s="93"/>
      <c r="P2019" s="95"/>
      <c r="Q2019" s="197"/>
    </row>
    <row r="2020" spans="3:17" x14ac:dyDescent="0.25">
      <c r="C2020" s="199"/>
      <c r="D2020" s="112"/>
      <c r="E2020" s="33"/>
      <c r="F2020" s="105"/>
      <c r="H2020" s="116"/>
      <c r="I2020" s="26"/>
      <c r="J2020" s="98"/>
      <c r="K2020" s="36"/>
      <c r="L2020" s="26"/>
      <c r="M2020" s="26"/>
      <c r="N2020" s="26"/>
      <c r="O2020" s="93"/>
      <c r="P2020" s="95"/>
      <c r="Q2020" s="197"/>
    </row>
    <row r="2021" spans="3:17" x14ac:dyDescent="0.25">
      <c r="C2021" s="199"/>
      <c r="D2021" s="112"/>
      <c r="E2021" s="33"/>
      <c r="F2021" s="105"/>
      <c r="H2021" s="116"/>
      <c r="I2021" s="26"/>
      <c r="J2021" s="98"/>
      <c r="K2021" s="36"/>
      <c r="L2021" s="26"/>
      <c r="M2021" s="26"/>
      <c r="N2021" s="26"/>
      <c r="O2021" s="93"/>
      <c r="P2021" s="95"/>
      <c r="Q2021" s="197"/>
    </row>
    <row r="2022" spans="3:17" x14ac:dyDescent="0.25">
      <c r="C2022" s="199"/>
      <c r="D2022" s="112"/>
      <c r="E2022" s="33"/>
      <c r="F2022" s="105"/>
      <c r="H2022" s="116"/>
      <c r="I2022" s="26"/>
      <c r="J2022" s="98"/>
      <c r="K2022" s="36"/>
      <c r="L2022" s="26"/>
      <c r="M2022" s="26"/>
      <c r="N2022" s="26"/>
      <c r="O2022" s="93"/>
      <c r="P2022" s="95"/>
      <c r="Q2022" s="197"/>
    </row>
    <row r="2023" spans="3:17" x14ac:dyDescent="0.25">
      <c r="C2023" s="199"/>
      <c r="D2023" s="112"/>
      <c r="E2023" s="33"/>
      <c r="F2023" s="105"/>
      <c r="H2023" s="116"/>
      <c r="I2023" s="26"/>
      <c r="J2023" s="98"/>
      <c r="K2023" s="36"/>
      <c r="L2023" s="26"/>
      <c r="M2023" s="26"/>
      <c r="N2023" s="26"/>
      <c r="O2023" s="93"/>
      <c r="P2023" s="95"/>
      <c r="Q2023" s="197"/>
    </row>
    <row r="2024" spans="3:17" x14ac:dyDescent="0.25">
      <c r="C2024" s="199"/>
      <c r="D2024" s="112"/>
      <c r="E2024" s="33"/>
      <c r="F2024" s="105"/>
      <c r="H2024" s="116"/>
      <c r="I2024" s="26"/>
      <c r="J2024" s="98"/>
      <c r="K2024" s="36"/>
      <c r="L2024" s="26"/>
      <c r="M2024" s="26"/>
      <c r="N2024" s="26"/>
      <c r="O2024" s="93"/>
      <c r="P2024" s="95"/>
      <c r="Q2024" s="197"/>
    </row>
    <row r="2025" spans="3:17" x14ac:dyDescent="0.25">
      <c r="C2025" s="199"/>
      <c r="D2025" s="112"/>
      <c r="E2025" s="33"/>
      <c r="F2025" s="105"/>
      <c r="H2025" s="116"/>
      <c r="I2025" s="26"/>
      <c r="J2025" s="98"/>
      <c r="K2025" s="36"/>
      <c r="L2025" s="26"/>
      <c r="M2025" s="26"/>
      <c r="N2025" s="26"/>
      <c r="O2025" s="93"/>
      <c r="P2025" s="95"/>
      <c r="Q2025" s="197"/>
    </row>
    <row r="2026" spans="3:17" x14ac:dyDescent="0.25">
      <c r="C2026" s="199"/>
      <c r="D2026" s="112"/>
      <c r="E2026" s="33"/>
      <c r="F2026" s="105"/>
      <c r="H2026" s="116"/>
      <c r="I2026" s="26"/>
      <c r="J2026" s="98"/>
      <c r="K2026" s="36"/>
      <c r="L2026" s="26"/>
      <c r="M2026" s="26"/>
      <c r="N2026" s="26"/>
      <c r="O2026" s="93"/>
      <c r="P2026" s="95"/>
      <c r="Q2026" s="197"/>
    </row>
    <row r="2027" spans="3:17" x14ac:dyDescent="0.25">
      <c r="C2027" s="199"/>
      <c r="D2027" s="112"/>
      <c r="E2027" s="33"/>
      <c r="F2027" s="105"/>
      <c r="H2027" s="116"/>
      <c r="I2027" s="26"/>
      <c r="J2027" s="98"/>
      <c r="K2027" s="36"/>
      <c r="L2027" s="26"/>
      <c r="M2027" s="26"/>
      <c r="N2027" s="26"/>
      <c r="O2027" s="93"/>
      <c r="P2027" s="95"/>
      <c r="Q2027" s="197"/>
    </row>
    <row r="2028" spans="3:17" x14ac:dyDescent="0.25">
      <c r="C2028" s="199"/>
      <c r="D2028" s="112"/>
      <c r="E2028" s="33"/>
      <c r="F2028" s="105"/>
      <c r="H2028" s="116"/>
      <c r="I2028" s="26"/>
      <c r="J2028" s="98"/>
      <c r="K2028" s="36"/>
      <c r="L2028" s="26"/>
      <c r="M2028" s="26"/>
      <c r="N2028" s="26"/>
      <c r="O2028" s="93"/>
      <c r="P2028" s="95"/>
      <c r="Q2028" s="197"/>
    </row>
    <row r="2029" spans="3:17" x14ac:dyDescent="0.25">
      <c r="C2029" s="199"/>
      <c r="D2029" s="112"/>
      <c r="E2029" s="33"/>
      <c r="F2029" s="105"/>
      <c r="H2029" s="116"/>
      <c r="I2029" s="26"/>
      <c r="J2029" s="98"/>
      <c r="K2029" s="36"/>
      <c r="L2029" s="26"/>
      <c r="M2029" s="26"/>
      <c r="N2029" s="26"/>
      <c r="O2029" s="93"/>
      <c r="P2029" s="95"/>
      <c r="Q2029" s="197"/>
    </row>
    <row r="2030" spans="3:17" x14ac:dyDescent="0.25">
      <c r="C2030" s="199"/>
      <c r="D2030" s="112"/>
      <c r="E2030" s="33"/>
      <c r="F2030" s="105"/>
      <c r="H2030" s="116"/>
      <c r="I2030" s="26"/>
      <c r="J2030" s="98"/>
      <c r="K2030" s="36"/>
      <c r="L2030" s="26"/>
      <c r="M2030" s="26"/>
      <c r="N2030" s="26"/>
      <c r="O2030" s="93"/>
      <c r="P2030" s="95"/>
      <c r="Q2030" s="197"/>
    </row>
    <row r="2031" spans="3:17" x14ac:dyDescent="0.25">
      <c r="C2031" s="199"/>
      <c r="D2031" s="112"/>
      <c r="E2031" s="33"/>
      <c r="F2031" s="105"/>
      <c r="H2031" s="116"/>
      <c r="I2031" s="26"/>
      <c r="J2031" s="98"/>
      <c r="K2031" s="36"/>
      <c r="L2031" s="26"/>
      <c r="M2031" s="26"/>
      <c r="N2031" s="26"/>
      <c r="O2031" s="93"/>
      <c r="P2031" s="95"/>
      <c r="Q2031" s="197"/>
    </row>
    <row r="2032" spans="3:17" x14ac:dyDescent="0.25">
      <c r="C2032" s="199"/>
      <c r="D2032" s="112"/>
      <c r="E2032" s="33"/>
      <c r="F2032" s="105"/>
      <c r="H2032" s="116"/>
      <c r="I2032" s="26"/>
      <c r="J2032" s="98"/>
      <c r="K2032" s="36"/>
      <c r="L2032" s="26"/>
      <c r="M2032" s="26"/>
      <c r="N2032" s="26"/>
      <c r="O2032" s="93"/>
      <c r="P2032" s="95"/>
      <c r="Q2032" s="197"/>
    </row>
    <row r="2033" spans="3:17" x14ac:dyDescent="0.25">
      <c r="C2033" s="199"/>
      <c r="D2033" s="112"/>
      <c r="E2033" s="33"/>
      <c r="F2033" s="105"/>
      <c r="H2033" s="116"/>
      <c r="I2033" s="26"/>
      <c r="J2033" s="98"/>
      <c r="K2033" s="36"/>
      <c r="L2033" s="26"/>
      <c r="M2033" s="26"/>
      <c r="N2033" s="26"/>
      <c r="O2033" s="93"/>
      <c r="P2033" s="95"/>
      <c r="Q2033" s="197"/>
    </row>
    <row r="2034" spans="3:17" x14ac:dyDescent="0.25">
      <c r="C2034" s="199"/>
      <c r="D2034" s="112"/>
      <c r="E2034" s="33"/>
      <c r="F2034" s="105"/>
      <c r="H2034" s="116"/>
      <c r="I2034" s="26"/>
      <c r="J2034" s="98"/>
      <c r="K2034" s="36"/>
      <c r="L2034" s="26"/>
      <c r="M2034" s="26"/>
      <c r="N2034" s="26"/>
      <c r="O2034" s="93"/>
      <c r="P2034" s="95"/>
      <c r="Q2034" s="197"/>
    </row>
    <row r="2035" spans="3:17" x14ac:dyDescent="0.25">
      <c r="C2035" s="199"/>
      <c r="D2035" s="112"/>
      <c r="E2035" s="33"/>
      <c r="F2035" s="105"/>
      <c r="H2035" s="116"/>
      <c r="I2035" s="26"/>
      <c r="J2035" s="98"/>
      <c r="K2035" s="36"/>
      <c r="L2035" s="26"/>
      <c r="M2035" s="26"/>
      <c r="N2035" s="26"/>
      <c r="O2035" s="93"/>
      <c r="P2035" s="95"/>
      <c r="Q2035" s="197"/>
    </row>
    <row r="2036" spans="3:17" x14ac:dyDescent="0.25">
      <c r="C2036" s="199"/>
      <c r="D2036" s="112"/>
      <c r="E2036" s="33"/>
      <c r="F2036" s="105"/>
      <c r="H2036" s="116"/>
      <c r="I2036" s="26"/>
      <c r="J2036" s="98"/>
      <c r="K2036" s="36"/>
      <c r="L2036" s="26"/>
      <c r="M2036" s="26"/>
      <c r="N2036" s="26"/>
      <c r="O2036" s="93"/>
      <c r="P2036" s="95"/>
      <c r="Q2036" s="197"/>
    </row>
    <row r="2037" spans="3:17" x14ac:dyDescent="0.25">
      <c r="C2037" s="199"/>
      <c r="D2037" s="112"/>
      <c r="E2037" s="33"/>
      <c r="F2037" s="105"/>
      <c r="H2037" s="116"/>
      <c r="I2037" s="26"/>
      <c r="J2037" s="98"/>
      <c r="K2037" s="36"/>
      <c r="L2037" s="26"/>
      <c r="M2037" s="26"/>
      <c r="N2037" s="26"/>
      <c r="O2037" s="93"/>
      <c r="P2037" s="95"/>
      <c r="Q2037" s="197"/>
    </row>
    <row r="2038" spans="3:17" x14ac:dyDescent="0.25">
      <c r="C2038" s="199"/>
      <c r="D2038" s="112"/>
      <c r="E2038" s="33"/>
      <c r="F2038" s="105"/>
      <c r="H2038" s="116"/>
      <c r="I2038" s="26"/>
      <c r="J2038" s="98"/>
      <c r="K2038" s="36"/>
      <c r="L2038" s="26"/>
      <c r="M2038" s="26"/>
      <c r="N2038" s="26"/>
      <c r="O2038" s="93"/>
      <c r="P2038" s="95"/>
      <c r="Q2038" s="197"/>
    </row>
    <row r="2039" spans="3:17" x14ac:dyDescent="0.25">
      <c r="C2039" s="199"/>
      <c r="D2039" s="112"/>
      <c r="E2039" s="33"/>
      <c r="F2039" s="105"/>
      <c r="H2039" s="116"/>
      <c r="I2039" s="26"/>
      <c r="J2039" s="98"/>
      <c r="K2039" s="36"/>
      <c r="L2039" s="26"/>
      <c r="M2039" s="26"/>
      <c r="N2039" s="26"/>
      <c r="O2039" s="93"/>
      <c r="P2039" s="95"/>
      <c r="Q2039" s="197"/>
    </row>
    <row r="2040" spans="3:17" x14ac:dyDescent="0.25">
      <c r="C2040" s="199"/>
      <c r="D2040" s="112"/>
      <c r="E2040" s="33"/>
      <c r="F2040" s="105"/>
      <c r="H2040" s="116"/>
      <c r="I2040" s="26"/>
      <c r="J2040" s="98"/>
      <c r="K2040" s="36"/>
      <c r="L2040" s="26"/>
      <c r="M2040" s="26"/>
      <c r="N2040" s="26"/>
      <c r="O2040" s="93"/>
      <c r="P2040" s="95"/>
      <c r="Q2040" s="197"/>
    </row>
    <row r="2041" spans="3:17" x14ac:dyDescent="0.25">
      <c r="C2041" s="199"/>
      <c r="D2041" s="112"/>
      <c r="E2041" s="33"/>
      <c r="F2041" s="105"/>
      <c r="H2041" s="116"/>
      <c r="I2041" s="26"/>
      <c r="J2041" s="98"/>
      <c r="K2041" s="36"/>
      <c r="L2041" s="26"/>
      <c r="M2041" s="26"/>
      <c r="N2041" s="26"/>
      <c r="O2041" s="93"/>
      <c r="P2041" s="95"/>
      <c r="Q2041" s="197"/>
    </row>
    <row r="2042" spans="3:17" x14ac:dyDescent="0.25">
      <c r="C2042" s="199"/>
      <c r="D2042" s="112"/>
      <c r="E2042" s="33"/>
      <c r="F2042" s="105"/>
      <c r="H2042" s="116"/>
      <c r="I2042" s="26"/>
      <c r="J2042" s="98"/>
      <c r="K2042" s="36"/>
      <c r="L2042" s="26"/>
      <c r="M2042" s="26"/>
      <c r="N2042" s="26"/>
      <c r="O2042" s="93"/>
      <c r="P2042" s="95"/>
      <c r="Q2042" s="197"/>
    </row>
    <row r="2043" spans="3:17" x14ac:dyDescent="0.25">
      <c r="C2043" s="199"/>
      <c r="D2043" s="112"/>
      <c r="E2043" s="33"/>
      <c r="F2043" s="105"/>
      <c r="H2043" s="116"/>
      <c r="I2043" s="26"/>
      <c r="J2043" s="98"/>
      <c r="K2043" s="36"/>
      <c r="L2043" s="26"/>
      <c r="M2043" s="26"/>
      <c r="N2043" s="26"/>
      <c r="O2043" s="93"/>
      <c r="P2043" s="95"/>
      <c r="Q2043" s="197"/>
    </row>
    <row r="2044" spans="3:17" x14ac:dyDescent="0.25">
      <c r="C2044" s="199"/>
      <c r="D2044" s="112"/>
      <c r="E2044" s="33"/>
      <c r="F2044" s="105"/>
      <c r="H2044" s="116"/>
      <c r="I2044" s="26"/>
      <c r="J2044" s="98"/>
      <c r="K2044" s="36"/>
      <c r="L2044" s="26"/>
      <c r="M2044" s="26"/>
      <c r="N2044" s="26"/>
      <c r="O2044" s="93"/>
      <c r="P2044" s="95"/>
      <c r="Q2044" s="197"/>
    </row>
    <row r="2045" spans="3:17" x14ac:dyDescent="0.25">
      <c r="C2045" s="199"/>
      <c r="D2045" s="112"/>
      <c r="E2045" s="33"/>
      <c r="F2045" s="105"/>
      <c r="H2045" s="116"/>
      <c r="I2045" s="26"/>
      <c r="J2045" s="98"/>
      <c r="K2045" s="36"/>
      <c r="L2045" s="26"/>
      <c r="M2045" s="26"/>
      <c r="N2045" s="26"/>
      <c r="O2045" s="93"/>
      <c r="P2045" s="95"/>
      <c r="Q2045" s="197"/>
    </row>
    <row r="2046" spans="3:17" x14ac:dyDescent="0.25">
      <c r="C2046" s="199"/>
      <c r="D2046" s="112"/>
      <c r="E2046" s="33"/>
      <c r="F2046" s="105"/>
      <c r="H2046" s="116"/>
      <c r="I2046" s="26"/>
      <c r="J2046" s="98"/>
      <c r="K2046" s="36"/>
      <c r="L2046" s="26"/>
      <c r="M2046" s="26"/>
      <c r="N2046" s="26"/>
      <c r="O2046" s="93"/>
      <c r="P2046" s="95"/>
      <c r="Q2046" s="197"/>
    </row>
    <row r="2047" spans="3:17" x14ac:dyDescent="0.25">
      <c r="C2047" s="199"/>
      <c r="D2047" s="112"/>
      <c r="E2047" s="33"/>
      <c r="F2047" s="105"/>
      <c r="H2047" s="116"/>
      <c r="I2047" s="26"/>
      <c r="J2047" s="98"/>
      <c r="K2047" s="36"/>
      <c r="L2047" s="26"/>
      <c r="M2047" s="26"/>
      <c r="N2047" s="26"/>
      <c r="O2047" s="93"/>
      <c r="P2047" s="95"/>
      <c r="Q2047" s="197"/>
    </row>
    <row r="2048" spans="3:17" x14ac:dyDescent="0.25">
      <c r="C2048" s="199"/>
      <c r="D2048" s="112"/>
      <c r="E2048" s="33"/>
      <c r="F2048" s="105"/>
      <c r="H2048" s="116"/>
      <c r="I2048" s="26"/>
      <c r="J2048" s="98"/>
      <c r="K2048" s="36"/>
      <c r="L2048" s="26"/>
      <c r="M2048" s="26"/>
      <c r="N2048" s="26"/>
      <c r="O2048" s="93"/>
      <c r="P2048" s="95"/>
      <c r="Q2048" s="197"/>
    </row>
    <row r="2049" spans="3:17" x14ac:dyDescent="0.25">
      <c r="C2049" s="199"/>
      <c r="D2049" s="112"/>
      <c r="E2049" s="33"/>
      <c r="F2049" s="105"/>
      <c r="H2049" s="116"/>
      <c r="I2049" s="26"/>
      <c r="J2049" s="98"/>
      <c r="K2049" s="36"/>
      <c r="L2049" s="26"/>
      <c r="M2049" s="26"/>
      <c r="N2049" s="26"/>
      <c r="O2049" s="93"/>
      <c r="P2049" s="95"/>
      <c r="Q2049" s="197"/>
    </row>
    <row r="2050" spans="3:17" x14ac:dyDescent="0.25">
      <c r="C2050" s="199"/>
      <c r="D2050" s="112"/>
      <c r="E2050" s="33"/>
      <c r="F2050" s="105"/>
      <c r="H2050" s="116"/>
      <c r="I2050" s="26"/>
      <c r="J2050" s="98"/>
      <c r="K2050" s="36"/>
      <c r="L2050" s="26"/>
      <c r="M2050" s="26"/>
      <c r="N2050" s="26"/>
      <c r="O2050" s="93"/>
      <c r="P2050" s="95"/>
      <c r="Q2050" s="197"/>
    </row>
    <row r="2051" spans="3:17" x14ac:dyDescent="0.25">
      <c r="C2051" s="199"/>
      <c r="D2051" s="112"/>
      <c r="E2051" s="33"/>
      <c r="F2051" s="105"/>
      <c r="H2051" s="116"/>
      <c r="I2051" s="26"/>
      <c r="J2051" s="98"/>
      <c r="K2051" s="36"/>
      <c r="L2051" s="26"/>
      <c r="M2051" s="26"/>
      <c r="N2051" s="26"/>
      <c r="O2051" s="93"/>
      <c r="P2051" s="95"/>
      <c r="Q2051" s="197"/>
    </row>
    <row r="2052" spans="3:17" x14ac:dyDescent="0.25">
      <c r="C2052" s="199"/>
      <c r="D2052" s="112"/>
      <c r="E2052" s="33"/>
      <c r="F2052" s="105"/>
      <c r="H2052" s="116"/>
      <c r="I2052" s="26"/>
      <c r="J2052" s="98"/>
      <c r="K2052" s="36"/>
      <c r="L2052" s="26"/>
      <c r="M2052" s="26"/>
      <c r="N2052" s="26"/>
      <c r="O2052" s="93"/>
      <c r="P2052" s="95"/>
      <c r="Q2052" s="197"/>
    </row>
    <row r="2053" spans="3:17" x14ac:dyDescent="0.25">
      <c r="C2053" s="199"/>
      <c r="D2053" s="112"/>
      <c r="E2053" s="33"/>
      <c r="F2053" s="105"/>
      <c r="H2053" s="116"/>
      <c r="I2053" s="26"/>
      <c r="J2053" s="98"/>
      <c r="K2053" s="36"/>
      <c r="L2053" s="26"/>
      <c r="M2053" s="26"/>
      <c r="N2053" s="26"/>
      <c r="O2053" s="93"/>
      <c r="P2053" s="95"/>
      <c r="Q2053" s="197"/>
    </row>
    <row r="2054" spans="3:17" x14ac:dyDescent="0.25">
      <c r="C2054" s="199"/>
      <c r="D2054" s="112"/>
      <c r="E2054" s="33"/>
      <c r="F2054" s="105"/>
      <c r="H2054" s="116"/>
      <c r="I2054" s="26"/>
      <c r="J2054" s="98"/>
      <c r="K2054" s="36"/>
      <c r="L2054" s="26"/>
      <c r="M2054" s="26"/>
      <c r="N2054" s="26"/>
      <c r="O2054" s="93"/>
      <c r="P2054" s="95"/>
      <c r="Q2054" s="197"/>
    </row>
    <row r="2055" spans="3:17" x14ac:dyDescent="0.25">
      <c r="C2055" s="199"/>
      <c r="D2055" s="112"/>
      <c r="E2055" s="33"/>
      <c r="F2055" s="105"/>
      <c r="H2055" s="116"/>
      <c r="I2055" s="26"/>
      <c r="J2055" s="98"/>
      <c r="K2055" s="36"/>
      <c r="L2055" s="26"/>
      <c r="M2055" s="26"/>
      <c r="N2055" s="26"/>
      <c r="O2055" s="93"/>
      <c r="P2055" s="95"/>
      <c r="Q2055" s="197"/>
    </row>
    <row r="2056" spans="3:17" x14ac:dyDescent="0.25">
      <c r="C2056" s="199"/>
      <c r="D2056" s="112"/>
      <c r="E2056" s="33"/>
      <c r="F2056" s="105"/>
      <c r="H2056" s="116"/>
      <c r="I2056" s="26"/>
      <c r="J2056" s="98"/>
      <c r="K2056" s="36"/>
      <c r="L2056" s="26"/>
      <c r="M2056" s="26"/>
      <c r="N2056" s="26"/>
      <c r="O2056" s="93"/>
      <c r="P2056" s="95"/>
      <c r="Q2056" s="197"/>
    </row>
    <row r="2057" spans="3:17" x14ac:dyDescent="0.25">
      <c r="C2057" s="199"/>
      <c r="D2057" s="112"/>
      <c r="E2057" s="33"/>
      <c r="F2057" s="105"/>
      <c r="H2057" s="116"/>
      <c r="I2057" s="26"/>
      <c r="J2057" s="98"/>
      <c r="K2057" s="36"/>
      <c r="L2057" s="26"/>
      <c r="M2057" s="26"/>
      <c r="N2057" s="26"/>
      <c r="O2057" s="93"/>
      <c r="P2057" s="95"/>
      <c r="Q2057" s="197"/>
    </row>
    <row r="2058" spans="3:17" x14ac:dyDescent="0.25">
      <c r="C2058" s="199"/>
      <c r="D2058" s="112"/>
      <c r="E2058" s="33"/>
      <c r="F2058" s="105"/>
      <c r="H2058" s="116"/>
      <c r="I2058" s="26"/>
      <c r="J2058" s="98"/>
      <c r="K2058" s="36"/>
      <c r="L2058" s="26"/>
      <c r="M2058" s="26"/>
      <c r="N2058" s="26"/>
      <c r="O2058" s="93"/>
      <c r="P2058" s="95"/>
      <c r="Q2058" s="197"/>
    </row>
    <row r="2059" spans="3:17" x14ac:dyDescent="0.25">
      <c r="C2059" s="199"/>
      <c r="D2059" s="112"/>
      <c r="E2059" s="33"/>
      <c r="F2059" s="105"/>
      <c r="H2059" s="116"/>
      <c r="I2059" s="26"/>
      <c r="J2059" s="98"/>
      <c r="K2059" s="36"/>
      <c r="L2059" s="26"/>
      <c r="M2059" s="26"/>
      <c r="N2059" s="26"/>
      <c r="O2059" s="93"/>
      <c r="P2059" s="95"/>
      <c r="Q2059" s="197"/>
    </row>
    <row r="2060" spans="3:17" x14ac:dyDescent="0.25">
      <c r="C2060" s="199"/>
      <c r="D2060" s="112"/>
      <c r="E2060" s="33"/>
      <c r="F2060" s="105"/>
      <c r="H2060" s="116"/>
      <c r="I2060" s="26"/>
      <c r="J2060" s="98"/>
      <c r="K2060" s="36"/>
      <c r="L2060" s="26"/>
      <c r="M2060" s="26"/>
      <c r="N2060" s="26"/>
      <c r="O2060" s="93"/>
      <c r="P2060" s="95"/>
      <c r="Q2060" s="197"/>
    </row>
    <row r="2061" spans="3:17" x14ac:dyDescent="0.25">
      <c r="C2061" s="199"/>
      <c r="D2061" s="112"/>
      <c r="E2061" s="33"/>
      <c r="F2061" s="105"/>
      <c r="H2061" s="116"/>
      <c r="I2061" s="26"/>
      <c r="J2061" s="98"/>
      <c r="K2061" s="36"/>
      <c r="L2061" s="26"/>
      <c r="M2061" s="26"/>
      <c r="N2061" s="26"/>
      <c r="O2061" s="93"/>
      <c r="P2061" s="95"/>
      <c r="Q2061" s="197"/>
    </row>
    <row r="2062" spans="3:17" x14ac:dyDescent="0.25">
      <c r="C2062" s="199"/>
      <c r="D2062" s="112"/>
      <c r="E2062" s="33"/>
      <c r="F2062" s="105"/>
      <c r="H2062" s="116"/>
      <c r="I2062" s="26"/>
      <c r="J2062" s="98"/>
      <c r="K2062" s="36"/>
      <c r="L2062" s="26"/>
      <c r="M2062" s="26"/>
      <c r="N2062" s="26"/>
      <c r="O2062" s="93"/>
      <c r="P2062" s="95"/>
      <c r="Q2062" s="197"/>
    </row>
    <row r="2063" spans="3:17" x14ac:dyDescent="0.25">
      <c r="C2063" s="199"/>
      <c r="D2063" s="112"/>
      <c r="E2063" s="33"/>
      <c r="F2063" s="105"/>
      <c r="H2063" s="116"/>
      <c r="I2063" s="26"/>
      <c r="J2063" s="98"/>
      <c r="K2063" s="36"/>
      <c r="L2063" s="26"/>
      <c r="M2063" s="26"/>
      <c r="N2063" s="26"/>
      <c r="O2063" s="93"/>
      <c r="P2063" s="95"/>
      <c r="Q2063" s="197"/>
    </row>
    <row r="2064" spans="3:17" x14ac:dyDescent="0.25">
      <c r="C2064" s="199"/>
      <c r="D2064" s="112"/>
      <c r="E2064" s="33"/>
      <c r="F2064" s="105"/>
      <c r="H2064" s="116"/>
      <c r="I2064" s="26"/>
      <c r="J2064" s="98"/>
      <c r="K2064" s="36"/>
      <c r="L2064" s="26"/>
      <c r="M2064" s="26"/>
      <c r="N2064" s="26"/>
      <c r="O2064" s="93"/>
      <c r="P2064" s="95"/>
      <c r="Q2064" s="197"/>
    </row>
    <row r="2065" spans="3:17" x14ac:dyDescent="0.25">
      <c r="C2065" s="199"/>
      <c r="D2065" s="112"/>
      <c r="E2065" s="33"/>
      <c r="F2065" s="105"/>
      <c r="H2065" s="116"/>
      <c r="I2065" s="26"/>
      <c r="J2065" s="98"/>
      <c r="K2065" s="36"/>
      <c r="L2065" s="26"/>
      <c r="M2065" s="26"/>
      <c r="N2065" s="26"/>
      <c r="O2065" s="93"/>
      <c r="P2065" s="95"/>
      <c r="Q2065" s="197"/>
    </row>
    <row r="2066" spans="3:17" x14ac:dyDescent="0.25">
      <c r="C2066" s="199"/>
      <c r="D2066" s="112"/>
      <c r="E2066" s="33"/>
      <c r="F2066" s="105"/>
      <c r="H2066" s="116"/>
      <c r="I2066" s="26"/>
      <c r="J2066" s="98"/>
      <c r="K2066" s="36"/>
      <c r="L2066" s="26"/>
      <c r="M2066" s="26"/>
      <c r="N2066" s="26"/>
      <c r="O2066" s="93"/>
      <c r="P2066" s="95"/>
      <c r="Q2066" s="197"/>
    </row>
    <row r="2067" spans="3:17" x14ac:dyDescent="0.25">
      <c r="C2067" s="199"/>
      <c r="D2067" s="112"/>
      <c r="E2067" s="33"/>
      <c r="F2067" s="105"/>
      <c r="H2067" s="116"/>
      <c r="I2067" s="26"/>
      <c r="J2067" s="98"/>
      <c r="K2067" s="36"/>
      <c r="L2067" s="26"/>
      <c r="M2067" s="26"/>
      <c r="N2067" s="26"/>
      <c r="O2067" s="93"/>
      <c r="P2067" s="95"/>
      <c r="Q2067" s="197"/>
    </row>
    <row r="2068" spans="3:17" x14ac:dyDescent="0.25">
      <c r="C2068" s="199"/>
      <c r="D2068" s="112"/>
      <c r="E2068" s="33"/>
      <c r="F2068" s="105"/>
      <c r="H2068" s="116"/>
      <c r="I2068" s="26"/>
      <c r="J2068" s="98"/>
      <c r="K2068" s="36"/>
      <c r="L2068" s="26"/>
      <c r="M2068" s="26"/>
      <c r="N2068" s="26"/>
      <c r="O2068" s="93"/>
      <c r="P2068" s="95"/>
      <c r="Q2068" s="197"/>
    </row>
    <row r="2069" spans="3:17" x14ac:dyDescent="0.25">
      <c r="C2069" s="199"/>
      <c r="D2069" s="112"/>
      <c r="E2069" s="33"/>
      <c r="F2069" s="105"/>
      <c r="H2069" s="116"/>
      <c r="I2069" s="26"/>
      <c r="J2069" s="98"/>
      <c r="K2069" s="36"/>
      <c r="L2069" s="26"/>
      <c r="M2069" s="26"/>
      <c r="N2069" s="26"/>
      <c r="O2069" s="93"/>
      <c r="P2069" s="95"/>
      <c r="Q2069" s="197"/>
    </row>
    <row r="2070" spans="3:17" x14ac:dyDescent="0.25">
      <c r="C2070" s="199"/>
      <c r="D2070" s="112"/>
      <c r="E2070" s="33"/>
      <c r="F2070" s="105"/>
      <c r="H2070" s="116"/>
      <c r="I2070" s="26"/>
      <c r="J2070" s="98"/>
      <c r="K2070" s="36"/>
      <c r="L2070" s="26"/>
      <c r="M2070" s="26"/>
      <c r="N2070" s="26"/>
      <c r="O2070" s="93"/>
      <c r="P2070" s="95"/>
      <c r="Q2070" s="197"/>
    </row>
    <row r="2071" spans="3:17" x14ac:dyDescent="0.25">
      <c r="C2071" s="199"/>
      <c r="D2071" s="112"/>
      <c r="E2071" s="33"/>
      <c r="F2071" s="105"/>
      <c r="H2071" s="116"/>
      <c r="I2071" s="26"/>
      <c r="J2071" s="98"/>
      <c r="K2071" s="36"/>
      <c r="L2071" s="26"/>
      <c r="M2071" s="26"/>
      <c r="N2071" s="26"/>
      <c r="O2071" s="93"/>
      <c r="P2071" s="95"/>
      <c r="Q2071" s="197"/>
    </row>
    <row r="2072" spans="3:17" x14ac:dyDescent="0.25">
      <c r="C2072" s="199"/>
      <c r="D2072" s="112"/>
      <c r="E2072" s="33"/>
      <c r="F2072" s="105"/>
      <c r="H2072" s="116"/>
      <c r="I2072" s="26"/>
      <c r="J2072" s="98"/>
      <c r="K2072" s="36"/>
      <c r="L2072" s="26"/>
      <c r="M2072" s="26"/>
      <c r="N2072" s="26"/>
      <c r="O2072" s="93"/>
      <c r="P2072" s="95"/>
      <c r="Q2072" s="197"/>
    </row>
    <row r="2073" spans="3:17" x14ac:dyDescent="0.25">
      <c r="C2073" s="199"/>
      <c r="D2073" s="112"/>
      <c r="E2073" s="33"/>
      <c r="F2073" s="105"/>
      <c r="H2073" s="116"/>
      <c r="I2073" s="26"/>
      <c r="J2073" s="98"/>
      <c r="K2073" s="36"/>
      <c r="L2073" s="26"/>
      <c r="M2073" s="26"/>
      <c r="N2073" s="26"/>
      <c r="O2073" s="93"/>
      <c r="P2073" s="95"/>
      <c r="Q2073" s="197"/>
    </row>
    <row r="2074" spans="3:17" x14ac:dyDescent="0.25">
      <c r="C2074" s="199"/>
      <c r="D2074" s="112"/>
      <c r="E2074" s="33"/>
      <c r="F2074" s="105"/>
      <c r="H2074" s="116"/>
      <c r="I2074" s="26"/>
      <c r="J2074" s="98"/>
      <c r="K2074" s="36"/>
      <c r="L2074" s="26"/>
      <c r="M2074" s="26"/>
      <c r="N2074" s="26"/>
      <c r="O2074" s="93"/>
      <c r="P2074" s="95"/>
      <c r="Q2074" s="197"/>
    </row>
    <row r="2075" spans="3:17" x14ac:dyDescent="0.25">
      <c r="C2075" s="199"/>
      <c r="D2075" s="112"/>
      <c r="E2075" s="33"/>
      <c r="F2075" s="105"/>
      <c r="H2075" s="116"/>
      <c r="I2075" s="26"/>
      <c r="J2075" s="98"/>
      <c r="K2075" s="36"/>
      <c r="L2075" s="26"/>
      <c r="M2075" s="26"/>
      <c r="N2075" s="26"/>
      <c r="O2075" s="93"/>
      <c r="P2075" s="95"/>
      <c r="Q2075" s="197"/>
    </row>
    <row r="2076" spans="3:17" x14ac:dyDescent="0.25">
      <c r="C2076" s="199"/>
      <c r="D2076" s="112"/>
      <c r="E2076" s="33"/>
      <c r="F2076" s="105"/>
      <c r="H2076" s="116"/>
      <c r="I2076" s="26"/>
      <c r="J2076" s="98"/>
      <c r="K2076" s="36"/>
      <c r="L2076" s="26"/>
      <c r="M2076" s="26"/>
      <c r="N2076" s="26"/>
      <c r="O2076" s="93"/>
      <c r="P2076" s="95"/>
      <c r="Q2076" s="197"/>
    </row>
    <row r="2077" spans="3:17" x14ac:dyDescent="0.25">
      <c r="C2077" s="199"/>
      <c r="D2077" s="112"/>
      <c r="E2077" s="33"/>
      <c r="F2077" s="105"/>
      <c r="H2077" s="116"/>
      <c r="I2077" s="26"/>
      <c r="J2077" s="98"/>
      <c r="K2077" s="36"/>
      <c r="L2077" s="26"/>
      <c r="M2077" s="26"/>
      <c r="N2077" s="26"/>
      <c r="O2077" s="93"/>
      <c r="P2077" s="95"/>
      <c r="Q2077" s="197"/>
    </row>
    <row r="2078" spans="3:17" x14ac:dyDescent="0.25">
      <c r="C2078" s="199"/>
      <c r="D2078" s="112"/>
      <c r="E2078" s="33"/>
      <c r="F2078" s="105"/>
      <c r="H2078" s="116"/>
      <c r="I2078" s="26"/>
      <c r="J2078" s="98"/>
      <c r="K2078" s="36"/>
      <c r="L2078" s="26"/>
      <c r="M2078" s="26"/>
      <c r="N2078" s="26"/>
      <c r="O2078" s="93"/>
      <c r="P2078" s="95"/>
      <c r="Q2078" s="197"/>
    </row>
    <row r="2079" spans="3:17" x14ac:dyDescent="0.25">
      <c r="C2079" s="199"/>
      <c r="D2079" s="112"/>
      <c r="E2079" s="33"/>
      <c r="F2079" s="105"/>
      <c r="H2079" s="116"/>
      <c r="I2079" s="26"/>
      <c r="J2079" s="98"/>
      <c r="K2079" s="36"/>
      <c r="L2079" s="26"/>
      <c r="M2079" s="26"/>
      <c r="N2079" s="26"/>
      <c r="O2079" s="93"/>
      <c r="P2079" s="95"/>
      <c r="Q2079" s="197"/>
    </row>
    <row r="2080" spans="3:17" x14ac:dyDescent="0.25">
      <c r="C2080" s="199"/>
      <c r="D2080" s="112"/>
      <c r="E2080" s="33"/>
      <c r="F2080" s="105"/>
      <c r="H2080" s="116"/>
      <c r="I2080" s="26"/>
      <c r="J2080" s="98"/>
      <c r="K2080" s="36"/>
      <c r="L2080" s="26"/>
      <c r="M2080" s="26"/>
      <c r="N2080" s="26"/>
      <c r="O2080" s="93"/>
      <c r="P2080" s="95"/>
      <c r="Q2080" s="197"/>
    </row>
    <row r="2081" spans="3:17" x14ac:dyDescent="0.25">
      <c r="C2081" s="199"/>
      <c r="D2081" s="112"/>
      <c r="E2081" s="33"/>
      <c r="F2081" s="105"/>
      <c r="H2081" s="116"/>
      <c r="I2081" s="26"/>
      <c r="J2081" s="98"/>
      <c r="K2081" s="36"/>
      <c r="L2081" s="26"/>
      <c r="M2081" s="26"/>
      <c r="N2081" s="26"/>
      <c r="O2081" s="93"/>
      <c r="P2081" s="95"/>
      <c r="Q2081" s="197"/>
    </row>
    <row r="2082" spans="3:17" x14ac:dyDescent="0.25">
      <c r="C2082" s="199"/>
      <c r="D2082" s="112"/>
      <c r="E2082" s="33"/>
      <c r="F2082" s="105"/>
      <c r="H2082" s="116"/>
      <c r="I2082" s="26"/>
      <c r="J2082" s="98"/>
      <c r="K2082" s="36"/>
      <c r="L2082" s="26"/>
      <c r="M2082" s="26"/>
      <c r="N2082" s="26"/>
      <c r="O2082" s="93"/>
      <c r="P2082" s="95"/>
      <c r="Q2082" s="197"/>
    </row>
    <row r="2083" spans="3:17" x14ac:dyDescent="0.25">
      <c r="C2083" s="199"/>
      <c r="D2083" s="112"/>
      <c r="E2083" s="33"/>
      <c r="F2083" s="105"/>
      <c r="H2083" s="116"/>
      <c r="I2083" s="26"/>
      <c r="J2083" s="98"/>
      <c r="K2083" s="36"/>
      <c r="L2083" s="26"/>
      <c r="M2083" s="26"/>
      <c r="N2083" s="26"/>
      <c r="O2083" s="93"/>
      <c r="P2083" s="95"/>
      <c r="Q2083" s="197"/>
    </row>
    <row r="2084" spans="3:17" x14ac:dyDescent="0.25">
      <c r="C2084" s="199"/>
      <c r="D2084" s="112"/>
      <c r="E2084" s="33"/>
      <c r="F2084" s="105"/>
      <c r="H2084" s="116"/>
      <c r="I2084" s="26"/>
      <c r="J2084" s="98"/>
      <c r="K2084" s="36"/>
      <c r="L2084" s="26"/>
      <c r="M2084" s="26"/>
      <c r="N2084" s="26"/>
      <c r="O2084" s="93"/>
      <c r="P2084" s="95"/>
      <c r="Q2084" s="197"/>
    </row>
    <row r="2085" spans="3:17" x14ac:dyDescent="0.25">
      <c r="C2085" s="199"/>
      <c r="D2085" s="112"/>
      <c r="E2085" s="33"/>
      <c r="F2085" s="105"/>
      <c r="H2085" s="116"/>
      <c r="I2085" s="26"/>
      <c r="J2085" s="98"/>
      <c r="K2085" s="36"/>
      <c r="L2085" s="26"/>
      <c r="M2085" s="26"/>
      <c r="N2085" s="26"/>
      <c r="O2085" s="93"/>
      <c r="P2085" s="95"/>
      <c r="Q2085" s="197"/>
    </row>
    <row r="2086" spans="3:17" x14ac:dyDescent="0.25">
      <c r="C2086" s="199"/>
      <c r="D2086" s="112"/>
      <c r="E2086" s="33"/>
      <c r="F2086" s="105"/>
      <c r="H2086" s="116"/>
      <c r="I2086" s="26"/>
      <c r="J2086" s="98"/>
      <c r="K2086" s="36"/>
      <c r="L2086" s="26"/>
      <c r="M2086" s="26"/>
      <c r="N2086" s="26"/>
      <c r="O2086" s="93"/>
      <c r="P2086" s="95"/>
      <c r="Q2086" s="197"/>
    </row>
    <row r="2087" spans="3:17" x14ac:dyDescent="0.25">
      <c r="C2087" s="199"/>
      <c r="D2087" s="112"/>
      <c r="E2087" s="33"/>
      <c r="F2087" s="105"/>
      <c r="H2087" s="116"/>
      <c r="I2087" s="26"/>
      <c r="J2087" s="98"/>
      <c r="K2087" s="36"/>
      <c r="L2087" s="26"/>
      <c r="M2087" s="26"/>
      <c r="N2087" s="26"/>
      <c r="O2087" s="93"/>
      <c r="P2087" s="95"/>
      <c r="Q2087" s="197"/>
    </row>
    <row r="2088" spans="3:17" x14ac:dyDescent="0.25">
      <c r="C2088" s="199"/>
      <c r="D2088" s="112"/>
      <c r="E2088" s="33"/>
      <c r="F2088" s="105"/>
      <c r="H2088" s="116"/>
      <c r="I2088" s="26"/>
      <c r="J2088" s="98"/>
      <c r="K2088" s="36"/>
      <c r="L2088" s="26"/>
      <c r="M2088" s="26"/>
      <c r="N2088" s="26"/>
      <c r="O2088" s="93"/>
      <c r="P2088" s="95"/>
      <c r="Q2088" s="197"/>
    </row>
    <row r="2089" spans="3:17" x14ac:dyDescent="0.25">
      <c r="C2089" s="199"/>
      <c r="D2089" s="112"/>
      <c r="E2089" s="33"/>
      <c r="F2089" s="105"/>
      <c r="H2089" s="116"/>
      <c r="I2089" s="26"/>
      <c r="J2089" s="98"/>
      <c r="K2089" s="36"/>
      <c r="L2089" s="26"/>
      <c r="M2089" s="26"/>
      <c r="N2089" s="26"/>
      <c r="O2089" s="93"/>
      <c r="P2089" s="95"/>
      <c r="Q2089" s="197"/>
    </row>
    <row r="2090" spans="3:17" x14ac:dyDescent="0.25">
      <c r="C2090" s="199"/>
      <c r="D2090" s="112"/>
      <c r="E2090" s="33"/>
      <c r="F2090" s="105"/>
      <c r="H2090" s="116"/>
      <c r="I2090" s="26"/>
      <c r="J2090" s="98"/>
      <c r="K2090" s="36"/>
      <c r="L2090" s="26"/>
      <c r="M2090" s="26"/>
      <c r="N2090" s="26"/>
      <c r="O2090" s="93"/>
      <c r="P2090" s="95"/>
      <c r="Q2090" s="197"/>
    </row>
    <row r="2091" spans="3:17" x14ac:dyDescent="0.25">
      <c r="C2091" s="199"/>
      <c r="D2091" s="112"/>
      <c r="E2091" s="33"/>
      <c r="F2091" s="105"/>
      <c r="H2091" s="116"/>
      <c r="I2091" s="26"/>
      <c r="J2091" s="98"/>
      <c r="K2091" s="36"/>
      <c r="L2091" s="26"/>
      <c r="M2091" s="26"/>
      <c r="N2091" s="26"/>
      <c r="O2091" s="93"/>
      <c r="P2091" s="95"/>
      <c r="Q2091" s="197"/>
    </row>
    <row r="2092" spans="3:17" x14ac:dyDescent="0.25">
      <c r="C2092" s="199"/>
      <c r="D2092" s="112"/>
      <c r="E2092" s="33"/>
      <c r="F2092" s="105"/>
      <c r="H2092" s="116"/>
      <c r="I2092" s="26"/>
      <c r="J2092" s="98"/>
      <c r="K2092" s="36"/>
      <c r="L2092" s="26"/>
      <c r="M2092" s="26"/>
      <c r="N2092" s="26"/>
      <c r="O2092" s="93"/>
      <c r="P2092" s="95"/>
      <c r="Q2092" s="197"/>
    </row>
    <row r="2093" spans="3:17" x14ac:dyDescent="0.25">
      <c r="C2093" s="199"/>
      <c r="D2093" s="112"/>
      <c r="E2093" s="33"/>
      <c r="F2093" s="105"/>
      <c r="H2093" s="116"/>
      <c r="I2093" s="26"/>
      <c r="J2093" s="98"/>
      <c r="K2093" s="36"/>
      <c r="L2093" s="26"/>
      <c r="M2093" s="26"/>
      <c r="N2093" s="26"/>
      <c r="O2093" s="93"/>
      <c r="P2093" s="95"/>
      <c r="Q2093" s="197"/>
    </row>
    <row r="2094" spans="3:17" x14ac:dyDescent="0.25">
      <c r="C2094" s="199"/>
      <c r="D2094" s="112"/>
      <c r="E2094" s="33"/>
      <c r="F2094" s="105"/>
      <c r="H2094" s="116"/>
      <c r="I2094" s="26"/>
      <c r="J2094" s="98"/>
      <c r="K2094" s="36"/>
      <c r="L2094" s="26"/>
      <c r="M2094" s="26"/>
      <c r="N2094" s="26"/>
      <c r="O2094" s="93"/>
      <c r="P2094" s="95"/>
      <c r="Q2094" s="197"/>
    </row>
    <row r="2095" spans="3:17" x14ac:dyDescent="0.25">
      <c r="C2095" s="199"/>
      <c r="D2095" s="112"/>
      <c r="E2095" s="33"/>
      <c r="F2095" s="105"/>
      <c r="H2095" s="116"/>
      <c r="I2095" s="26"/>
      <c r="J2095" s="98"/>
      <c r="K2095" s="36"/>
      <c r="L2095" s="26"/>
      <c r="M2095" s="26"/>
      <c r="N2095" s="26"/>
      <c r="O2095" s="93"/>
      <c r="P2095" s="95"/>
      <c r="Q2095" s="197"/>
    </row>
    <row r="2096" spans="3:17" x14ac:dyDescent="0.25">
      <c r="C2096" s="199"/>
      <c r="D2096" s="112"/>
      <c r="E2096" s="33"/>
      <c r="F2096" s="105"/>
      <c r="H2096" s="116"/>
      <c r="I2096" s="26"/>
      <c r="J2096" s="98"/>
      <c r="K2096" s="36"/>
      <c r="L2096" s="26"/>
      <c r="M2096" s="26"/>
      <c r="N2096" s="26"/>
      <c r="O2096" s="93"/>
      <c r="P2096" s="95"/>
      <c r="Q2096" s="197"/>
    </row>
    <row r="2097" spans="3:17" x14ac:dyDescent="0.25">
      <c r="C2097" s="199"/>
      <c r="D2097" s="112"/>
      <c r="E2097" s="33"/>
      <c r="F2097" s="105"/>
      <c r="H2097" s="116"/>
      <c r="I2097" s="26"/>
      <c r="J2097" s="98"/>
      <c r="K2097" s="36"/>
      <c r="L2097" s="26"/>
      <c r="M2097" s="26"/>
      <c r="N2097" s="26"/>
      <c r="O2097" s="93"/>
      <c r="P2097" s="95"/>
      <c r="Q2097" s="197"/>
    </row>
    <row r="2098" spans="3:17" x14ac:dyDescent="0.25">
      <c r="C2098" s="199"/>
      <c r="D2098" s="112"/>
      <c r="E2098" s="33"/>
      <c r="F2098" s="105"/>
      <c r="H2098" s="116"/>
      <c r="I2098" s="26"/>
      <c r="J2098" s="98"/>
      <c r="K2098" s="36"/>
      <c r="L2098" s="26"/>
      <c r="M2098" s="26"/>
      <c r="N2098" s="26"/>
      <c r="O2098" s="93"/>
      <c r="P2098" s="95"/>
      <c r="Q2098" s="197"/>
    </row>
    <row r="2099" spans="3:17" x14ac:dyDescent="0.25">
      <c r="C2099" s="199"/>
      <c r="D2099" s="112"/>
      <c r="E2099" s="33"/>
      <c r="F2099" s="105"/>
      <c r="H2099" s="116"/>
      <c r="I2099" s="26"/>
      <c r="J2099" s="98"/>
      <c r="K2099" s="36"/>
      <c r="L2099" s="26"/>
      <c r="M2099" s="26"/>
      <c r="N2099" s="26"/>
      <c r="O2099" s="93"/>
      <c r="P2099" s="95"/>
      <c r="Q2099" s="197"/>
    </row>
    <row r="2100" spans="3:17" x14ac:dyDescent="0.25">
      <c r="C2100" s="199"/>
      <c r="D2100" s="112"/>
      <c r="E2100" s="33"/>
      <c r="F2100" s="105"/>
      <c r="H2100" s="116"/>
      <c r="I2100" s="26"/>
      <c r="J2100" s="98"/>
      <c r="K2100" s="36"/>
      <c r="L2100" s="26"/>
      <c r="M2100" s="26"/>
      <c r="N2100" s="26"/>
      <c r="O2100" s="93"/>
      <c r="P2100" s="95"/>
      <c r="Q2100" s="197"/>
    </row>
    <row r="2101" spans="3:17" x14ac:dyDescent="0.25">
      <c r="C2101" s="199"/>
      <c r="D2101" s="112"/>
      <c r="E2101" s="33"/>
      <c r="F2101" s="105"/>
      <c r="H2101" s="116"/>
      <c r="I2101" s="26"/>
      <c r="J2101" s="98"/>
      <c r="K2101" s="36"/>
      <c r="L2101" s="26"/>
      <c r="M2101" s="26"/>
      <c r="N2101" s="26"/>
      <c r="O2101" s="93"/>
      <c r="P2101" s="95"/>
      <c r="Q2101" s="197"/>
    </row>
    <row r="2102" spans="3:17" x14ac:dyDescent="0.25">
      <c r="C2102" s="199"/>
      <c r="D2102" s="112"/>
      <c r="E2102" s="33"/>
      <c r="F2102" s="105"/>
      <c r="H2102" s="116"/>
      <c r="I2102" s="26"/>
      <c r="J2102" s="98"/>
      <c r="K2102" s="36"/>
      <c r="L2102" s="26"/>
      <c r="M2102" s="26"/>
      <c r="N2102" s="26"/>
      <c r="O2102" s="93"/>
      <c r="P2102" s="95"/>
      <c r="Q2102" s="197"/>
    </row>
    <row r="2103" spans="3:17" x14ac:dyDescent="0.25">
      <c r="C2103" s="199"/>
      <c r="D2103" s="112"/>
      <c r="E2103" s="33"/>
      <c r="F2103" s="105"/>
      <c r="H2103" s="116"/>
      <c r="I2103" s="26"/>
      <c r="J2103" s="98"/>
      <c r="K2103" s="36"/>
      <c r="L2103" s="26"/>
      <c r="M2103" s="26"/>
      <c r="N2103" s="26"/>
      <c r="O2103" s="93"/>
      <c r="P2103" s="95"/>
      <c r="Q2103" s="197"/>
    </row>
    <row r="2104" spans="3:17" x14ac:dyDescent="0.25">
      <c r="C2104" s="199"/>
      <c r="D2104" s="112"/>
      <c r="E2104" s="33"/>
      <c r="F2104" s="105"/>
      <c r="H2104" s="116"/>
      <c r="I2104" s="26"/>
      <c r="J2104" s="98"/>
      <c r="K2104" s="36"/>
      <c r="L2104" s="26"/>
      <c r="M2104" s="26"/>
      <c r="N2104" s="26"/>
      <c r="O2104" s="93"/>
      <c r="P2104" s="95"/>
      <c r="Q2104" s="197"/>
    </row>
    <row r="2105" spans="3:17" x14ac:dyDescent="0.25">
      <c r="C2105" s="199"/>
      <c r="D2105" s="112"/>
      <c r="E2105" s="33"/>
      <c r="F2105" s="105"/>
      <c r="H2105" s="116"/>
      <c r="I2105" s="26"/>
      <c r="J2105" s="98"/>
      <c r="K2105" s="36"/>
      <c r="L2105" s="26"/>
      <c r="M2105" s="26"/>
      <c r="N2105" s="26"/>
      <c r="O2105" s="93"/>
      <c r="P2105" s="95"/>
      <c r="Q2105" s="197"/>
    </row>
    <row r="2106" spans="3:17" x14ac:dyDescent="0.25">
      <c r="C2106" s="199"/>
      <c r="D2106" s="112"/>
      <c r="E2106" s="33"/>
      <c r="F2106" s="105"/>
      <c r="H2106" s="116"/>
      <c r="I2106" s="26"/>
      <c r="J2106" s="98"/>
      <c r="K2106" s="36"/>
      <c r="L2106" s="26"/>
      <c r="M2106" s="26"/>
      <c r="N2106" s="26"/>
      <c r="O2106" s="93"/>
      <c r="P2106" s="95"/>
      <c r="Q2106" s="197"/>
    </row>
    <row r="2107" spans="3:17" x14ac:dyDescent="0.25">
      <c r="C2107" s="199"/>
      <c r="D2107" s="112"/>
      <c r="E2107" s="33"/>
      <c r="F2107" s="105"/>
      <c r="H2107" s="116"/>
      <c r="I2107" s="26"/>
      <c r="J2107" s="98"/>
      <c r="K2107" s="36"/>
      <c r="L2107" s="26"/>
      <c r="M2107" s="26"/>
      <c r="N2107" s="26"/>
      <c r="O2107" s="93"/>
      <c r="P2107" s="95"/>
      <c r="Q2107" s="197"/>
    </row>
    <row r="2108" spans="3:17" x14ac:dyDescent="0.25">
      <c r="C2108" s="199"/>
      <c r="D2108" s="112"/>
      <c r="E2108" s="33"/>
      <c r="F2108" s="105"/>
      <c r="H2108" s="116"/>
      <c r="I2108" s="26"/>
      <c r="J2108" s="98"/>
      <c r="K2108" s="36"/>
      <c r="L2108" s="26"/>
      <c r="M2108" s="26"/>
      <c r="N2108" s="26"/>
      <c r="O2108" s="93"/>
      <c r="P2108" s="95"/>
      <c r="Q2108" s="197"/>
    </row>
    <row r="2109" spans="3:17" x14ac:dyDescent="0.25">
      <c r="C2109" s="199"/>
      <c r="D2109" s="112"/>
      <c r="E2109" s="33"/>
      <c r="F2109" s="105"/>
      <c r="H2109" s="116"/>
      <c r="I2109" s="26"/>
      <c r="J2109" s="98"/>
      <c r="K2109" s="36"/>
      <c r="L2109" s="26"/>
      <c r="M2109" s="26"/>
      <c r="N2109" s="26"/>
      <c r="O2109" s="93"/>
      <c r="P2109" s="95"/>
      <c r="Q2109" s="197"/>
    </row>
    <row r="2110" spans="3:17" x14ac:dyDescent="0.25">
      <c r="C2110" s="199"/>
      <c r="D2110" s="112"/>
      <c r="E2110" s="33"/>
      <c r="F2110" s="105"/>
      <c r="H2110" s="116"/>
      <c r="I2110" s="26"/>
      <c r="J2110" s="98"/>
      <c r="K2110" s="36"/>
      <c r="L2110" s="26"/>
      <c r="M2110" s="26"/>
      <c r="N2110" s="26"/>
      <c r="O2110" s="93"/>
      <c r="P2110" s="95"/>
      <c r="Q2110" s="197"/>
    </row>
    <row r="2111" spans="3:17" x14ac:dyDescent="0.25">
      <c r="C2111" s="199"/>
      <c r="D2111" s="112"/>
      <c r="E2111" s="33"/>
      <c r="F2111" s="105"/>
      <c r="H2111" s="116"/>
      <c r="I2111" s="26"/>
      <c r="J2111" s="98"/>
      <c r="K2111" s="36"/>
      <c r="L2111" s="26"/>
      <c r="M2111" s="26"/>
      <c r="N2111" s="26"/>
      <c r="O2111" s="93"/>
      <c r="P2111" s="95"/>
      <c r="Q2111" s="197"/>
    </row>
    <row r="2112" spans="3:17" x14ac:dyDescent="0.25">
      <c r="C2112" s="199"/>
      <c r="D2112" s="112"/>
      <c r="E2112" s="33"/>
      <c r="F2112" s="105"/>
      <c r="H2112" s="116"/>
      <c r="I2112" s="26"/>
      <c r="J2112" s="98"/>
      <c r="K2112" s="36"/>
      <c r="L2112" s="26"/>
      <c r="M2112" s="26"/>
      <c r="N2112" s="26"/>
      <c r="O2112" s="93"/>
      <c r="P2112" s="95"/>
      <c r="Q2112" s="197"/>
    </row>
    <row r="2113" spans="3:17" x14ac:dyDescent="0.25">
      <c r="C2113" s="199"/>
      <c r="D2113" s="112"/>
      <c r="E2113" s="33"/>
      <c r="F2113" s="105"/>
      <c r="H2113" s="116"/>
      <c r="I2113" s="26"/>
      <c r="J2113" s="98"/>
      <c r="K2113" s="36"/>
      <c r="L2113" s="26"/>
      <c r="M2113" s="26"/>
      <c r="N2113" s="26"/>
      <c r="O2113" s="93"/>
      <c r="P2113" s="95"/>
      <c r="Q2113" s="197"/>
    </row>
    <row r="2114" spans="3:17" x14ac:dyDescent="0.25">
      <c r="C2114" s="199"/>
      <c r="D2114" s="112"/>
      <c r="E2114" s="33"/>
      <c r="F2114" s="105"/>
      <c r="H2114" s="116"/>
      <c r="I2114" s="26"/>
      <c r="J2114" s="98"/>
      <c r="K2114" s="36"/>
      <c r="L2114" s="26"/>
      <c r="M2114" s="26"/>
      <c r="N2114" s="26"/>
      <c r="O2114" s="93"/>
      <c r="P2114" s="95"/>
      <c r="Q2114" s="197"/>
    </row>
    <row r="2115" spans="3:17" x14ac:dyDescent="0.25">
      <c r="C2115" s="199"/>
      <c r="D2115" s="112"/>
      <c r="E2115" s="33"/>
      <c r="F2115" s="105"/>
      <c r="H2115" s="116"/>
      <c r="I2115" s="26"/>
      <c r="J2115" s="98"/>
      <c r="K2115" s="36"/>
      <c r="L2115" s="26"/>
      <c r="M2115" s="26"/>
      <c r="N2115" s="26"/>
      <c r="O2115" s="93"/>
      <c r="P2115" s="95"/>
      <c r="Q2115" s="197"/>
    </row>
    <row r="2116" spans="3:17" x14ac:dyDescent="0.25">
      <c r="C2116" s="199"/>
      <c r="D2116" s="112"/>
      <c r="E2116" s="33"/>
      <c r="F2116" s="105"/>
      <c r="H2116" s="116"/>
      <c r="I2116" s="26"/>
      <c r="J2116" s="98"/>
      <c r="K2116" s="36"/>
      <c r="L2116" s="26"/>
      <c r="M2116" s="26"/>
      <c r="N2116" s="26"/>
      <c r="O2116" s="93"/>
      <c r="P2116" s="95"/>
      <c r="Q2116" s="197"/>
    </row>
    <row r="2117" spans="3:17" x14ac:dyDescent="0.25">
      <c r="C2117" s="199"/>
      <c r="D2117" s="112"/>
      <c r="E2117" s="33"/>
      <c r="F2117" s="105"/>
      <c r="H2117" s="116"/>
      <c r="I2117" s="26"/>
      <c r="J2117" s="98"/>
      <c r="K2117" s="36"/>
      <c r="L2117" s="26"/>
      <c r="M2117" s="26"/>
      <c r="N2117" s="26"/>
      <c r="O2117" s="93"/>
      <c r="P2117" s="95"/>
      <c r="Q2117" s="197"/>
    </row>
    <row r="2118" spans="3:17" x14ac:dyDescent="0.25">
      <c r="C2118" s="199"/>
      <c r="D2118" s="112"/>
      <c r="E2118" s="33"/>
      <c r="F2118" s="105"/>
      <c r="H2118" s="116"/>
      <c r="I2118" s="26"/>
      <c r="J2118" s="98"/>
      <c r="K2118" s="36"/>
      <c r="L2118" s="26"/>
      <c r="M2118" s="26"/>
      <c r="N2118" s="26"/>
      <c r="O2118" s="93"/>
      <c r="P2118" s="95"/>
      <c r="Q2118" s="197"/>
    </row>
    <row r="2119" spans="3:17" x14ac:dyDescent="0.25">
      <c r="C2119" s="199"/>
      <c r="D2119" s="112"/>
      <c r="E2119" s="33"/>
      <c r="F2119" s="105"/>
      <c r="H2119" s="116"/>
      <c r="I2119" s="26"/>
      <c r="J2119" s="98"/>
      <c r="K2119" s="36"/>
      <c r="L2119" s="26"/>
      <c r="M2119" s="26"/>
      <c r="N2119" s="26"/>
      <c r="O2119" s="93"/>
      <c r="P2119" s="95"/>
      <c r="Q2119" s="197"/>
    </row>
    <row r="2120" spans="3:17" x14ac:dyDescent="0.25">
      <c r="C2120" s="199"/>
      <c r="D2120" s="112"/>
      <c r="E2120" s="33"/>
      <c r="F2120" s="105"/>
      <c r="H2120" s="116"/>
      <c r="I2120" s="26"/>
      <c r="J2120" s="98"/>
      <c r="K2120" s="36"/>
      <c r="L2120" s="26"/>
      <c r="M2120" s="26"/>
      <c r="N2120" s="26"/>
      <c r="O2120" s="93"/>
      <c r="P2120" s="95"/>
      <c r="Q2120" s="197"/>
    </row>
    <row r="2121" spans="3:17" x14ac:dyDescent="0.25">
      <c r="C2121" s="199"/>
      <c r="D2121" s="112"/>
      <c r="E2121" s="33"/>
      <c r="F2121" s="105"/>
      <c r="H2121" s="116"/>
      <c r="I2121" s="26"/>
      <c r="J2121" s="98"/>
      <c r="K2121" s="36"/>
      <c r="L2121" s="26"/>
      <c r="M2121" s="26"/>
      <c r="N2121" s="26"/>
      <c r="O2121" s="93"/>
      <c r="P2121" s="95"/>
      <c r="Q2121" s="197"/>
    </row>
    <row r="2122" spans="3:17" x14ac:dyDescent="0.25">
      <c r="C2122" s="199"/>
      <c r="D2122" s="112"/>
      <c r="E2122" s="33"/>
      <c r="F2122" s="105"/>
      <c r="H2122" s="116"/>
      <c r="I2122" s="26"/>
      <c r="J2122" s="98"/>
      <c r="K2122" s="36"/>
      <c r="L2122" s="26"/>
      <c r="M2122" s="26"/>
      <c r="N2122" s="26"/>
      <c r="O2122" s="93"/>
      <c r="P2122" s="95"/>
      <c r="Q2122" s="197"/>
    </row>
    <row r="2123" spans="3:17" x14ac:dyDescent="0.25">
      <c r="C2123" s="199"/>
      <c r="D2123" s="112"/>
      <c r="E2123" s="33"/>
      <c r="F2123" s="105"/>
      <c r="H2123" s="116"/>
      <c r="I2123" s="26"/>
      <c r="J2123" s="98"/>
      <c r="K2123" s="36"/>
      <c r="L2123" s="26"/>
      <c r="M2123" s="26"/>
      <c r="N2123" s="26"/>
      <c r="O2123" s="93"/>
      <c r="P2123" s="95"/>
      <c r="Q2123" s="197"/>
    </row>
    <row r="2124" spans="3:17" x14ac:dyDescent="0.25">
      <c r="C2124" s="199"/>
      <c r="D2124" s="112"/>
      <c r="E2124" s="33"/>
      <c r="F2124" s="105"/>
      <c r="H2124" s="116"/>
      <c r="I2124" s="26"/>
      <c r="J2124" s="98"/>
      <c r="K2124" s="36"/>
      <c r="L2124" s="26"/>
      <c r="M2124" s="26"/>
      <c r="N2124" s="26"/>
      <c r="O2124" s="93"/>
      <c r="P2124" s="95"/>
      <c r="Q2124" s="197"/>
    </row>
    <row r="2125" spans="3:17" x14ac:dyDescent="0.25">
      <c r="C2125" s="199"/>
      <c r="D2125" s="112"/>
      <c r="E2125" s="33"/>
      <c r="F2125" s="105"/>
      <c r="H2125" s="116"/>
      <c r="I2125" s="26"/>
      <c r="J2125" s="98"/>
      <c r="K2125" s="36"/>
      <c r="L2125" s="26"/>
      <c r="M2125" s="26"/>
      <c r="N2125" s="26"/>
      <c r="O2125" s="93"/>
      <c r="P2125" s="95"/>
      <c r="Q2125" s="197"/>
    </row>
    <row r="2126" spans="3:17" x14ac:dyDescent="0.25">
      <c r="C2126" s="199"/>
      <c r="D2126" s="112"/>
      <c r="E2126" s="33"/>
      <c r="F2126" s="105"/>
      <c r="H2126" s="116"/>
      <c r="I2126" s="26"/>
      <c r="J2126" s="98"/>
      <c r="K2126" s="36"/>
      <c r="L2126" s="26"/>
      <c r="M2126" s="26"/>
      <c r="N2126" s="26"/>
      <c r="O2126" s="93"/>
      <c r="P2126" s="95"/>
      <c r="Q2126" s="197"/>
    </row>
    <row r="2127" spans="3:17" x14ac:dyDescent="0.25">
      <c r="C2127" s="199"/>
      <c r="D2127" s="112"/>
      <c r="E2127" s="33"/>
      <c r="F2127" s="105"/>
      <c r="H2127" s="116"/>
      <c r="I2127" s="26"/>
      <c r="J2127" s="98"/>
      <c r="K2127" s="36"/>
      <c r="L2127" s="26"/>
      <c r="M2127" s="26"/>
      <c r="N2127" s="26"/>
      <c r="O2127" s="93"/>
      <c r="P2127" s="95"/>
      <c r="Q2127" s="197"/>
    </row>
    <row r="2128" spans="3:17" x14ac:dyDescent="0.25">
      <c r="C2128" s="199"/>
      <c r="D2128" s="112"/>
      <c r="E2128" s="33"/>
      <c r="F2128" s="105"/>
      <c r="H2128" s="116"/>
      <c r="I2128" s="26"/>
      <c r="J2128" s="98"/>
      <c r="K2128" s="36"/>
      <c r="L2128" s="26"/>
      <c r="M2128" s="26"/>
      <c r="N2128" s="26"/>
      <c r="O2128" s="93"/>
      <c r="P2128" s="95"/>
      <c r="Q2128" s="197"/>
    </row>
    <row r="2129" spans="3:17" x14ac:dyDescent="0.25">
      <c r="C2129" s="199"/>
      <c r="D2129" s="112"/>
      <c r="E2129" s="33"/>
      <c r="F2129" s="105"/>
      <c r="H2129" s="116"/>
      <c r="I2129" s="26"/>
      <c r="J2129" s="98"/>
      <c r="K2129" s="36"/>
      <c r="L2129" s="26"/>
      <c r="M2129" s="26"/>
      <c r="N2129" s="26"/>
      <c r="O2129" s="93"/>
      <c r="P2129" s="95"/>
      <c r="Q2129" s="197"/>
    </row>
    <row r="2130" spans="3:17" x14ac:dyDescent="0.25">
      <c r="C2130" s="199"/>
      <c r="D2130" s="112"/>
      <c r="E2130" s="33"/>
      <c r="F2130" s="105"/>
      <c r="H2130" s="116"/>
      <c r="I2130" s="26"/>
      <c r="J2130" s="98"/>
      <c r="K2130" s="36"/>
      <c r="L2130" s="26"/>
      <c r="M2130" s="26"/>
      <c r="N2130" s="26"/>
      <c r="O2130" s="93"/>
      <c r="P2130" s="95"/>
      <c r="Q2130" s="197"/>
    </row>
    <row r="2131" spans="3:17" x14ac:dyDescent="0.25">
      <c r="C2131" s="199"/>
      <c r="D2131" s="112"/>
      <c r="E2131" s="33"/>
      <c r="F2131" s="105"/>
      <c r="H2131" s="116"/>
      <c r="I2131" s="26"/>
      <c r="J2131" s="98"/>
      <c r="K2131" s="36"/>
      <c r="L2131" s="26"/>
      <c r="M2131" s="26"/>
      <c r="N2131" s="26"/>
      <c r="O2131" s="93"/>
      <c r="P2131" s="95"/>
      <c r="Q2131" s="197"/>
    </row>
    <row r="2132" spans="3:17" x14ac:dyDescent="0.25">
      <c r="C2132" s="199"/>
      <c r="D2132" s="112"/>
      <c r="E2132" s="33"/>
      <c r="F2132" s="105"/>
      <c r="H2132" s="116"/>
      <c r="I2132" s="26"/>
      <c r="J2132" s="98"/>
      <c r="K2132" s="36"/>
      <c r="L2132" s="26"/>
      <c r="M2132" s="26"/>
      <c r="N2132" s="26"/>
      <c r="O2132" s="93"/>
      <c r="P2132" s="95"/>
      <c r="Q2132" s="197"/>
    </row>
    <row r="2133" spans="3:17" x14ac:dyDescent="0.25">
      <c r="C2133" s="199"/>
      <c r="D2133" s="112"/>
      <c r="E2133" s="33"/>
      <c r="F2133" s="105"/>
      <c r="H2133" s="116"/>
      <c r="I2133" s="26"/>
      <c r="J2133" s="98"/>
      <c r="K2133" s="36"/>
      <c r="L2133" s="26"/>
      <c r="M2133" s="26"/>
      <c r="N2133" s="26"/>
      <c r="O2133" s="93"/>
      <c r="P2133" s="95"/>
      <c r="Q2133" s="197"/>
    </row>
    <row r="2134" spans="3:17" x14ac:dyDescent="0.25">
      <c r="C2134" s="199"/>
      <c r="D2134" s="112"/>
      <c r="E2134" s="33"/>
      <c r="F2134" s="105"/>
      <c r="H2134" s="116"/>
      <c r="I2134" s="26"/>
      <c r="J2134" s="98"/>
      <c r="K2134" s="36"/>
      <c r="L2134" s="26"/>
      <c r="M2134" s="26"/>
      <c r="N2134" s="26"/>
      <c r="O2134" s="93"/>
      <c r="P2134" s="95"/>
      <c r="Q2134" s="197"/>
    </row>
    <row r="2135" spans="3:17" x14ac:dyDescent="0.25">
      <c r="C2135" s="199"/>
      <c r="D2135" s="112"/>
      <c r="E2135" s="33"/>
      <c r="F2135" s="105"/>
      <c r="H2135" s="116"/>
      <c r="I2135" s="26"/>
      <c r="J2135" s="98"/>
      <c r="K2135" s="36"/>
      <c r="L2135" s="26"/>
      <c r="M2135" s="26"/>
      <c r="N2135" s="26"/>
      <c r="O2135" s="93"/>
      <c r="P2135" s="95"/>
      <c r="Q2135" s="197"/>
    </row>
    <row r="2136" spans="3:17" x14ac:dyDescent="0.25">
      <c r="C2136" s="199"/>
      <c r="D2136" s="112"/>
      <c r="E2136" s="33"/>
      <c r="F2136" s="105"/>
      <c r="H2136" s="116"/>
      <c r="I2136" s="26"/>
      <c r="J2136" s="98"/>
      <c r="K2136" s="36"/>
      <c r="L2136" s="26"/>
      <c r="M2136" s="26"/>
      <c r="N2136" s="26"/>
      <c r="O2136" s="93"/>
      <c r="P2136" s="95"/>
      <c r="Q2136" s="197"/>
    </row>
    <row r="2137" spans="3:17" x14ac:dyDescent="0.25">
      <c r="C2137" s="199"/>
      <c r="D2137" s="112"/>
      <c r="E2137" s="33"/>
      <c r="F2137" s="105"/>
      <c r="H2137" s="116"/>
      <c r="I2137" s="26"/>
      <c r="J2137" s="98"/>
      <c r="K2137" s="36"/>
      <c r="L2137" s="26"/>
      <c r="M2137" s="26"/>
      <c r="N2137" s="26"/>
      <c r="O2137" s="93"/>
      <c r="P2137" s="95"/>
      <c r="Q2137" s="197"/>
    </row>
    <row r="2138" spans="3:17" x14ac:dyDescent="0.25">
      <c r="C2138" s="199"/>
      <c r="D2138" s="112"/>
      <c r="E2138" s="33"/>
      <c r="F2138" s="105"/>
      <c r="H2138" s="116"/>
      <c r="I2138" s="26"/>
      <c r="J2138" s="98"/>
      <c r="K2138" s="36"/>
      <c r="L2138" s="26"/>
      <c r="M2138" s="26"/>
      <c r="N2138" s="26"/>
      <c r="O2138" s="93"/>
      <c r="P2138" s="95"/>
      <c r="Q2138" s="197"/>
    </row>
    <row r="2139" spans="3:17" x14ac:dyDescent="0.25">
      <c r="C2139" s="199"/>
      <c r="D2139" s="112"/>
      <c r="E2139" s="33"/>
      <c r="F2139" s="105"/>
      <c r="H2139" s="116"/>
      <c r="I2139" s="26"/>
      <c r="J2139" s="98"/>
      <c r="K2139" s="36"/>
      <c r="L2139" s="26"/>
      <c r="M2139" s="26"/>
      <c r="N2139" s="26"/>
      <c r="O2139" s="93"/>
      <c r="P2139" s="95"/>
      <c r="Q2139" s="197"/>
    </row>
    <row r="2140" spans="3:17" x14ac:dyDescent="0.25">
      <c r="C2140" s="199"/>
      <c r="D2140" s="112"/>
      <c r="E2140" s="33"/>
      <c r="F2140" s="105"/>
      <c r="H2140" s="116"/>
      <c r="I2140" s="26"/>
      <c r="J2140" s="98"/>
      <c r="K2140" s="36"/>
      <c r="L2140" s="26"/>
      <c r="M2140" s="26"/>
      <c r="N2140" s="26"/>
      <c r="O2140" s="93"/>
      <c r="P2140" s="95"/>
      <c r="Q2140" s="197"/>
    </row>
    <row r="2141" spans="3:17" x14ac:dyDescent="0.25">
      <c r="C2141" s="199"/>
      <c r="D2141" s="112"/>
      <c r="E2141" s="33"/>
      <c r="F2141" s="105"/>
      <c r="H2141" s="116"/>
      <c r="I2141" s="26"/>
      <c r="J2141" s="98"/>
      <c r="K2141" s="36"/>
      <c r="L2141" s="26"/>
      <c r="M2141" s="26"/>
      <c r="N2141" s="26"/>
      <c r="O2141" s="93"/>
      <c r="P2141" s="95"/>
      <c r="Q2141" s="197"/>
    </row>
    <row r="2142" spans="3:17" x14ac:dyDescent="0.25">
      <c r="C2142" s="199"/>
      <c r="D2142" s="112"/>
      <c r="E2142" s="33"/>
      <c r="F2142" s="105"/>
      <c r="H2142" s="116"/>
      <c r="I2142" s="26"/>
      <c r="J2142" s="98"/>
      <c r="K2142" s="36"/>
      <c r="L2142" s="26"/>
      <c r="M2142" s="26"/>
      <c r="N2142" s="26"/>
      <c r="O2142" s="93"/>
      <c r="P2142" s="95"/>
      <c r="Q2142" s="197"/>
    </row>
    <row r="2143" spans="3:17" x14ac:dyDescent="0.25">
      <c r="C2143" s="199"/>
      <c r="D2143" s="112"/>
      <c r="E2143" s="33"/>
      <c r="F2143" s="105"/>
      <c r="H2143" s="116"/>
      <c r="I2143" s="26"/>
      <c r="J2143" s="98"/>
      <c r="K2143" s="36"/>
      <c r="L2143" s="26"/>
      <c r="M2143" s="26"/>
      <c r="N2143" s="26"/>
      <c r="O2143" s="93"/>
      <c r="P2143" s="95"/>
      <c r="Q2143" s="197"/>
    </row>
    <row r="2144" spans="3:17" x14ac:dyDescent="0.25">
      <c r="C2144" s="199"/>
      <c r="D2144" s="112"/>
      <c r="E2144" s="33"/>
      <c r="F2144" s="105"/>
      <c r="H2144" s="116"/>
      <c r="I2144" s="26"/>
      <c r="J2144" s="98"/>
      <c r="K2144" s="36"/>
      <c r="L2144" s="26"/>
      <c r="M2144" s="26"/>
      <c r="N2144" s="26"/>
      <c r="O2144" s="93"/>
      <c r="P2144" s="95"/>
      <c r="Q2144" s="197"/>
    </row>
    <row r="2145" spans="3:17" x14ac:dyDescent="0.25">
      <c r="C2145" s="199"/>
      <c r="D2145" s="112"/>
      <c r="E2145" s="33"/>
      <c r="F2145" s="105"/>
      <c r="H2145" s="116"/>
      <c r="I2145" s="26"/>
      <c r="J2145" s="98"/>
      <c r="K2145" s="36"/>
      <c r="L2145" s="26"/>
      <c r="M2145" s="26"/>
      <c r="N2145" s="26"/>
      <c r="O2145" s="93"/>
      <c r="P2145" s="95"/>
      <c r="Q2145" s="197"/>
    </row>
    <row r="2146" spans="3:17" x14ac:dyDescent="0.25">
      <c r="C2146" s="199"/>
      <c r="D2146" s="112"/>
      <c r="E2146" s="33"/>
      <c r="F2146" s="105"/>
      <c r="H2146" s="116"/>
      <c r="I2146" s="26"/>
      <c r="J2146" s="98"/>
      <c r="K2146" s="36"/>
      <c r="L2146" s="26"/>
      <c r="M2146" s="26"/>
      <c r="N2146" s="26"/>
      <c r="O2146" s="93"/>
      <c r="P2146" s="95"/>
      <c r="Q2146" s="197"/>
    </row>
    <row r="2147" spans="3:17" x14ac:dyDescent="0.25">
      <c r="C2147" s="199"/>
      <c r="D2147" s="112"/>
      <c r="E2147" s="33"/>
      <c r="F2147" s="105"/>
      <c r="H2147" s="116"/>
      <c r="I2147" s="26"/>
      <c r="J2147" s="98"/>
      <c r="K2147" s="36"/>
      <c r="L2147" s="26"/>
      <c r="M2147" s="26"/>
      <c r="N2147" s="26"/>
      <c r="O2147" s="93"/>
      <c r="P2147" s="95"/>
      <c r="Q2147" s="197"/>
    </row>
    <row r="2148" spans="3:17" x14ac:dyDescent="0.25">
      <c r="C2148" s="199"/>
      <c r="D2148" s="112"/>
      <c r="E2148" s="33"/>
      <c r="F2148" s="105"/>
      <c r="H2148" s="116"/>
      <c r="I2148" s="26"/>
      <c r="J2148" s="98"/>
      <c r="K2148" s="36"/>
      <c r="L2148" s="26"/>
      <c r="M2148" s="26"/>
      <c r="N2148" s="26"/>
      <c r="O2148" s="93"/>
      <c r="P2148" s="95"/>
      <c r="Q2148" s="197"/>
    </row>
    <row r="2149" spans="3:17" x14ac:dyDescent="0.25">
      <c r="C2149" s="199"/>
      <c r="D2149" s="112"/>
      <c r="E2149" s="33"/>
      <c r="F2149" s="105"/>
      <c r="H2149" s="116"/>
      <c r="I2149" s="26"/>
      <c r="J2149" s="98"/>
      <c r="K2149" s="36"/>
      <c r="L2149" s="26"/>
      <c r="M2149" s="26"/>
      <c r="N2149" s="26"/>
      <c r="O2149" s="93"/>
      <c r="P2149" s="95"/>
      <c r="Q2149" s="197"/>
    </row>
    <row r="2150" spans="3:17" x14ac:dyDescent="0.25">
      <c r="C2150" s="199"/>
      <c r="D2150" s="112"/>
      <c r="E2150" s="33"/>
      <c r="F2150" s="105"/>
      <c r="H2150" s="116"/>
      <c r="I2150" s="26"/>
      <c r="J2150" s="98"/>
      <c r="K2150" s="36"/>
      <c r="L2150" s="26"/>
      <c r="M2150" s="26"/>
      <c r="N2150" s="26"/>
      <c r="O2150" s="93"/>
      <c r="P2150" s="95"/>
      <c r="Q2150" s="197"/>
    </row>
    <row r="2151" spans="3:17" x14ac:dyDescent="0.25">
      <c r="C2151" s="199"/>
      <c r="D2151" s="112"/>
      <c r="E2151" s="33"/>
      <c r="F2151" s="105"/>
      <c r="H2151" s="116"/>
      <c r="I2151" s="26"/>
      <c r="J2151" s="98"/>
      <c r="K2151" s="36"/>
      <c r="L2151" s="26"/>
      <c r="M2151" s="26"/>
      <c r="N2151" s="26"/>
      <c r="O2151" s="93"/>
      <c r="P2151" s="95"/>
      <c r="Q2151" s="197"/>
    </row>
    <row r="2152" spans="3:17" x14ac:dyDescent="0.25">
      <c r="C2152" s="199"/>
      <c r="D2152" s="112"/>
      <c r="E2152" s="33"/>
      <c r="F2152" s="105"/>
      <c r="H2152" s="116"/>
      <c r="I2152" s="26"/>
      <c r="J2152" s="98"/>
      <c r="K2152" s="36"/>
      <c r="L2152" s="26"/>
      <c r="M2152" s="26"/>
      <c r="N2152" s="26"/>
      <c r="O2152" s="93"/>
      <c r="P2152" s="95"/>
      <c r="Q2152" s="197"/>
    </row>
    <row r="2153" spans="3:17" x14ac:dyDescent="0.25">
      <c r="C2153" s="199"/>
      <c r="D2153" s="112"/>
      <c r="E2153" s="33"/>
      <c r="F2153" s="105"/>
      <c r="H2153" s="116"/>
      <c r="I2153" s="26"/>
      <c r="J2153" s="98"/>
      <c r="K2153" s="36"/>
      <c r="L2153" s="26"/>
      <c r="M2153" s="26"/>
      <c r="N2153" s="26"/>
      <c r="O2153" s="93"/>
      <c r="P2153" s="95"/>
      <c r="Q2153" s="197"/>
    </row>
    <row r="2154" spans="3:17" x14ac:dyDescent="0.25">
      <c r="C2154" s="199"/>
      <c r="D2154" s="112"/>
      <c r="E2154" s="33"/>
      <c r="F2154" s="105"/>
      <c r="H2154" s="116"/>
      <c r="I2154" s="26"/>
      <c r="J2154" s="98"/>
      <c r="K2154" s="36"/>
      <c r="L2154" s="26"/>
      <c r="M2154" s="26"/>
      <c r="N2154" s="26"/>
      <c r="O2154" s="93"/>
      <c r="P2154" s="95"/>
      <c r="Q2154" s="197"/>
    </row>
    <row r="2155" spans="3:17" x14ac:dyDescent="0.25">
      <c r="C2155" s="199"/>
      <c r="D2155" s="112"/>
      <c r="E2155" s="33"/>
      <c r="F2155" s="105"/>
      <c r="H2155" s="116"/>
      <c r="I2155" s="26"/>
      <c r="J2155" s="98"/>
      <c r="K2155" s="36"/>
      <c r="L2155" s="26"/>
      <c r="M2155" s="26"/>
      <c r="N2155" s="26"/>
      <c r="O2155" s="93"/>
      <c r="P2155" s="95"/>
      <c r="Q2155" s="197"/>
    </row>
    <row r="2156" spans="3:17" x14ac:dyDescent="0.25">
      <c r="C2156" s="199"/>
      <c r="D2156" s="112"/>
      <c r="E2156" s="33"/>
      <c r="F2156" s="105"/>
      <c r="H2156" s="116"/>
      <c r="I2156" s="26"/>
      <c r="J2156" s="98"/>
      <c r="K2156" s="36"/>
      <c r="L2156" s="26"/>
      <c r="M2156" s="26"/>
      <c r="N2156" s="26"/>
      <c r="O2156" s="93"/>
      <c r="P2156" s="95"/>
      <c r="Q2156" s="197"/>
    </row>
    <row r="2157" spans="3:17" x14ac:dyDescent="0.25">
      <c r="C2157" s="199"/>
      <c r="D2157" s="112"/>
      <c r="E2157" s="33"/>
      <c r="F2157" s="105"/>
      <c r="H2157" s="116"/>
      <c r="I2157" s="26"/>
      <c r="J2157" s="98"/>
      <c r="K2157" s="36"/>
      <c r="L2157" s="26"/>
      <c r="M2157" s="26"/>
      <c r="N2157" s="26"/>
      <c r="O2157" s="93"/>
      <c r="P2157" s="95"/>
      <c r="Q2157" s="197"/>
    </row>
    <row r="2158" spans="3:17" x14ac:dyDescent="0.25">
      <c r="C2158" s="199"/>
      <c r="D2158" s="112"/>
      <c r="E2158" s="33"/>
      <c r="F2158" s="105"/>
      <c r="H2158" s="116"/>
      <c r="I2158" s="26"/>
      <c r="J2158" s="98"/>
      <c r="K2158" s="36"/>
      <c r="L2158" s="26"/>
      <c r="M2158" s="26"/>
      <c r="N2158" s="26"/>
      <c r="O2158" s="93"/>
      <c r="P2158" s="95"/>
      <c r="Q2158" s="197"/>
    </row>
    <row r="2159" spans="3:17" x14ac:dyDescent="0.25">
      <c r="C2159" s="199"/>
      <c r="D2159" s="112"/>
      <c r="E2159" s="33"/>
      <c r="F2159" s="105"/>
      <c r="H2159" s="116"/>
      <c r="I2159" s="26"/>
      <c r="J2159" s="98"/>
      <c r="K2159" s="36"/>
      <c r="L2159" s="26"/>
      <c r="M2159" s="26"/>
      <c r="N2159" s="26"/>
      <c r="O2159" s="93"/>
      <c r="P2159" s="95"/>
      <c r="Q2159" s="197"/>
    </row>
    <row r="2160" spans="3:17" x14ac:dyDescent="0.25">
      <c r="C2160" s="199"/>
      <c r="D2160" s="112"/>
      <c r="E2160" s="33"/>
      <c r="F2160" s="105"/>
      <c r="H2160" s="116"/>
      <c r="I2160" s="26"/>
      <c r="J2160" s="98"/>
      <c r="K2160" s="36"/>
      <c r="L2160" s="26"/>
      <c r="M2160" s="26"/>
      <c r="N2160" s="26"/>
      <c r="O2160" s="93"/>
      <c r="P2160" s="95"/>
      <c r="Q2160" s="197"/>
    </row>
    <row r="2161" spans="3:17" x14ac:dyDescent="0.25">
      <c r="C2161" s="199"/>
      <c r="D2161" s="112"/>
      <c r="E2161" s="33"/>
      <c r="F2161" s="105"/>
      <c r="H2161" s="116"/>
      <c r="I2161" s="26"/>
      <c r="J2161" s="98"/>
      <c r="K2161" s="36"/>
      <c r="L2161" s="26"/>
      <c r="M2161" s="26"/>
      <c r="N2161" s="26"/>
      <c r="O2161" s="93"/>
      <c r="P2161" s="95"/>
      <c r="Q2161" s="197"/>
    </row>
    <row r="2162" spans="3:17" x14ac:dyDescent="0.25">
      <c r="C2162" s="199"/>
      <c r="D2162" s="112"/>
      <c r="E2162" s="33"/>
      <c r="F2162" s="105"/>
      <c r="H2162" s="116"/>
      <c r="I2162" s="26"/>
      <c r="J2162" s="98"/>
      <c r="K2162" s="36"/>
      <c r="L2162" s="26"/>
      <c r="M2162" s="26"/>
      <c r="N2162" s="26"/>
      <c r="O2162" s="93"/>
      <c r="P2162" s="95"/>
      <c r="Q2162" s="197"/>
    </row>
    <row r="2163" spans="3:17" x14ac:dyDescent="0.25">
      <c r="C2163" s="199"/>
      <c r="D2163" s="112"/>
      <c r="E2163" s="33"/>
      <c r="F2163" s="105"/>
      <c r="H2163" s="116"/>
      <c r="I2163" s="26"/>
      <c r="J2163" s="98"/>
      <c r="K2163" s="36"/>
      <c r="L2163" s="26"/>
      <c r="M2163" s="26"/>
      <c r="N2163" s="26"/>
      <c r="O2163" s="93"/>
      <c r="P2163" s="95"/>
      <c r="Q2163" s="197"/>
    </row>
    <row r="2164" spans="3:17" x14ac:dyDescent="0.25">
      <c r="C2164" s="199"/>
      <c r="D2164" s="112"/>
      <c r="E2164" s="33"/>
      <c r="F2164" s="105"/>
      <c r="H2164" s="116"/>
      <c r="I2164" s="26"/>
      <c r="J2164" s="98"/>
      <c r="K2164" s="36"/>
      <c r="L2164" s="26"/>
      <c r="M2164" s="26"/>
      <c r="N2164" s="26"/>
      <c r="O2164" s="93"/>
      <c r="P2164" s="95"/>
      <c r="Q2164" s="197"/>
    </row>
    <row r="2165" spans="3:17" x14ac:dyDescent="0.25">
      <c r="C2165" s="199"/>
      <c r="D2165" s="112"/>
      <c r="E2165" s="33"/>
      <c r="F2165" s="105"/>
      <c r="H2165" s="116"/>
      <c r="I2165" s="26"/>
      <c r="J2165" s="98"/>
      <c r="K2165" s="36"/>
      <c r="L2165" s="26"/>
      <c r="M2165" s="26"/>
      <c r="N2165" s="26"/>
      <c r="O2165" s="93"/>
      <c r="P2165" s="95"/>
      <c r="Q2165" s="197"/>
    </row>
    <row r="2166" spans="3:17" x14ac:dyDescent="0.25">
      <c r="C2166" s="199"/>
      <c r="D2166" s="112"/>
      <c r="E2166" s="33"/>
      <c r="F2166" s="105"/>
      <c r="H2166" s="116"/>
      <c r="I2166" s="26"/>
      <c r="J2166" s="98"/>
      <c r="K2166" s="36"/>
      <c r="L2166" s="26"/>
      <c r="M2166" s="26"/>
      <c r="N2166" s="26"/>
      <c r="O2166" s="93"/>
      <c r="P2166" s="95"/>
      <c r="Q2166" s="197"/>
    </row>
    <row r="2167" spans="3:17" x14ac:dyDescent="0.25">
      <c r="C2167" s="199"/>
      <c r="D2167" s="112"/>
      <c r="E2167" s="33"/>
      <c r="F2167" s="105"/>
      <c r="H2167" s="116"/>
      <c r="I2167" s="26"/>
      <c r="J2167" s="98"/>
      <c r="K2167" s="36"/>
      <c r="L2167" s="26"/>
      <c r="M2167" s="26"/>
      <c r="N2167" s="26"/>
      <c r="O2167" s="93"/>
      <c r="P2167" s="95"/>
      <c r="Q2167" s="197"/>
    </row>
    <row r="2168" spans="3:17" x14ac:dyDescent="0.25">
      <c r="C2168" s="199"/>
      <c r="D2168" s="112"/>
      <c r="E2168" s="33"/>
      <c r="F2168" s="105"/>
      <c r="H2168" s="116"/>
      <c r="I2168" s="26"/>
      <c r="J2168" s="98"/>
      <c r="K2168" s="36"/>
      <c r="L2168" s="26"/>
      <c r="M2168" s="26"/>
      <c r="N2168" s="26"/>
      <c r="O2168" s="93"/>
      <c r="P2168" s="95"/>
      <c r="Q2168" s="197"/>
    </row>
    <row r="2169" spans="3:17" x14ac:dyDescent="0.25">
      <c r="C2169" s="199"/>
      <c r="D2169" s="112"/>
      <c r="E2169" s="33"/>
      <c r="F2169" s="105"/>
      <c r="H2169" s="116"/>
      <c r="I2169" s="26"/>
      <c r="J2169" s="98"/>
      <c r="K2169" s="36"/>
      <c r="L2169" s="26"/>
      <c r="M2169" s="26"/>
      <c r="N2169" s="26"/>
      <c r="O2169" s="93"/>
      <c r="P2169" s="95"/>
      <c r="Q2169" s="197"/>
    </row>
    <row r="2170" spans="3:17" x14ac:dyDescent="0.25">
      <c r="C2170" s="199"/>
      <c r="D2170" s="112"/>
      <c r="E2170" s="33"/>
      <c r="F2170" s="105"/>
      <c r="H2170" s="116"/>
      <c r="I2170" s="26"/>
      <c r="J2170" s="98"/>
      <c r="K2170" s="36"/>
      <c r="L2170" s="26"/>
      <c r="M2170" s="26"/>
      <c r="N2170" s="26"/>
      <c r="O2170" s="93"/>
      <c r="P2170" s="95"/>
      <c r="Q2170" s="197"/>
    </row>
    <row r="2171" spans="3:17" x14ac:dyDescent="0.25">
      <c r="C2171" s="199"/>
      <c r="D2171" s="112"/>
      <c r="E2171" s="33"/>
      <c r="F2171" s="105"/>
      <c r="H2171" s="116"/>
      <c r="I2171" s="26"/>
      <c r="J2171" s="98"/>
      <c r="K2171" s="36"/>
      <c r="L2171" s="26"/>
      <c r="M2171" s="26"/>
      <c r="N2171" s="26"/>
      <c r="O2171" s="93"/>
      <c r="P2171" s="95"/>
      <c r="Q2171" s="197"/>
    </row>
    <row r="2172" spans="3:17" x14ac:dyDescent="0.25">
      <c r="C2172" s="199"/>
      <c r="D2172" s="112"/>
      <c r="E2172" s="33"/>
      <c r="F2172" s="105"/>
      <c r="H2172" s="116"/>
      <c r="I2172" s="26"/>
      <c r="J2172" s="98"/>
      <c r="K2172" s="36"/>
      <c r="L2172" s="26"/>
      <c r="M2172" s="26"/>
      <c r="N2172" s="26"/>
      <c r="O2172" s="93"/>
      <c r="P2172" s="95"/>
      <c r="Q2172" s="197"/>
    </row>
    <row r="2173" spans="3:17" x14ac:dyDescent="0.25">
      <c r="C2173" s="199"/>
      <c r="D2173" s="112"/>
      <c r="E2173" s="33"/>
      <c r="F2173" s="105"/>
      <c r="H2173" s="116"/>
      <c r="I2173" s="26"/>
      <c r="J2173" s="98"/>
      <c r="K2173" s="36"/>
      <c r="L2173" s="26"/>
      <c r="M2173" s="26"/>
      <c r="N2173" s="26"/>
      <c r="O2173" s="93"/>
      <c r="P2173" s="95"/>
      <c r="Q2173" s="197"/>
    </row>
    <row r="2174" spans="3:17" x14ac:dyDescent="0.25">
      <c r="C2174" s="199"/>
      <c r="D2174" s="112"/>
      <c r="E2174" s="33"/>
      <c r="F2174" s="105"/>
      <c r="H2174" s="116"/>
      <c r="I2174" s="26"/>
      <c r="J2174" s="98"/>
      <c r="K2174" s="36"/>
      <c r="L2174" s="26"/>
      <c r="M2174" s="26"/>
      <c r="N2174" s="26"/>
      <c r="O2174" s="93"/>
      <c r="P2174" s="95"/>
      <c r="Q2174" s="197"/>
    </row>
    <row r="2175" spans="3:17" x14ac:dyDescent="0.25">
      <c r="C2175" s="199"/>
      <c r="D2175" s="112"/>
      <c r="E2175" s="33"/>
      <c r="F2175" s="105"/>
      <c r="H2175" s="116"/>
      <c r="I2175" s="26"/>
      <c r="J2175" s="98"/>
      <c r="K2175" s="36"/>
      <c r="L2175" s="26"/>
      <c r="M2175" s="26"/>
      <c r="N2175" s="26"/>
      <c r="O2175" s="93"/>
      <c r="P2175" s="95"/>
      <c r="Q2175" s="197"/>
    </row>
    <row r="2176" spans="3:17" x14ac:dyDescent="0.25">
      <c r="C2176" s="199"/>
      <c r="D2176" s="112"/>
      <c r="E2176" s="33"/>
      <c r="F2176" s="105"/>
      <c r="H2176" s="116"/>
      <c r="I2176" s="26"/>
      <c r="J2176" s="98"/>
      <c r="K2176" s="36"/>
      <c r="L2176" s="26"/>
      <c r="M2176" s="26"/>
      <c r="N2176" s="26"/>
      <c r="O2176" s="93"/>
      <c r="P2176" s="95"/>
      <c r="Q2176" s="197"/>
    </row>
    <row r="2177" spans="3:17" x14ac:dyDescent="0.25">
      <c r="C2177" s="199"/>
      <c r="D2177" s="112"/>
      <c r="E2177" s="33"/>
      <c r="F2177" s="105"/>
      <c r="H2177" s="116"/>
      <c r="I2177" s="26"/>
      <c r="J2177" s="98"/>
      <c r="K2177" s="36"/>
      <c r="L2177" s="26"/>
      <c r="M2177" s="26"/>
      <c r="N2177" s="26"/>
      <c r="O2177" s="93"/>
      <c r="P2177" s="95"/>
      <c r="Q2177" s="197"/>
    </row>
    <row r="2178" spans="3:17" x14ac:dyDescent="0.25">
      <c r="C2178" s="199"/>
      <c r="D2178" s="112"/>
      <c r="E2178" s="33"/>
      <c r="F2178" s="105"/>
      <c r="H2178" s="116"/>
      <c r="I2178" s="26"/>
      <c r="J2178" s="98"/>
      <c r="K2178" s="36"/>
      <c r="L2178" s="26"/>
      <c r="M2178" s="26"/>
      <c r="N2178" s="26"/>
      <c r="O2178" s="93"/>
      <c r="P2178" s="95"/>
      <c r="Q2178" s="197"/>
    </row>
    <row r="2179" spans="3:17" x14ac:dyDescent="0.25">
      <c r="C2179" s="199"/>
      <c r="D2179" s="112"/>
      <c r="E2179" s="33"/>
      <c r="F2179" s="105"/>
      <c r="H2179" s="116"/>
      <c r="I2179" s="26"/>
      <c r="J2179" s="98"/>
      <c r="K2179" s="36"/>
      <c r="L2179" s="26"/>
      <c r="M2179" s="26"/>
      <c r="N2179" s="26"/>
      <c r="O2179" s="93"/>
      <c r="P2179" s="95"/>
      <c r="Q2179" s="197"/>
    </row>
    <row r="2180" spans="3:17" x14ac:dyDescent="0.25">
      <c r="C2180" s="199"/>
      <c r="D2180" s="112"/>
      <c r="E2180" s="33"/>
      <c r="F2180" s="105"/>
      <c r="H2180" s="116"/>
      <c r="I2180" s="26"/>
      <c r="J2180" s="98"/>
      <c r="K2180" s="36"/>
      <c r="L2180" s="26"/>
      <c r="M2180" s="26"/>
      <c r="N2180" s="26"/>
      <c r="O2180" s="93"/>
      <c r="P2180" s="95"/>
      <c r="Q2180" s="197"/>
    </row>
    <row r="2181" spans="3:17" x14ac:dyDescent="0.25">
      <c r="C2181" s="199"/>
      <c r="D2181" s="112"/>
      <c r="E2181" s="33"/>
      <c r="F2181" s="105"/>
      <c r="H2181" s="116"/>
      <c r="I2181" s="26"/>
      <c r="J2181" s="98"/>
      <c r="K2181" s="36"/>
      <c r="L2181" s="26"/>
      <c r="M2181" s="26"/>
      <c r="N2181" s="26"/>
      <c r="O2181" s="93"/>
      <c r="P2181" s="95"/>
      <c r="Q2181" s="197"/>
    </row>
    <row r="2182" spans="3:17" x14ac:dyDescent="0.25">
      <c r="C2182" s="199"/>
      <c r="D2182" s="112"/>
      <c r="E2182" s="33"/>
      <c r="F2182" s="105"/>
      <c r="H2182" s="116"/>
      <c r="I2182" s="26"/>
      <c r="J2182" s="98"/>
      <c r="K2182" s="36"/>
      <c r="L2182" s="26"/>
      <c r="M2182" s="26"/>
      <c r="N2182" s="26"/>
      <c r="O2182" s="93"/>
      <c r="P2182" s="95"/>
      <c r="Q2182" s="197"/>
    </row>
    <row r="2183" spans="3:17" x14ac:dyDescent="0.25">
      <c r="C2183" s="199"/>
      <c r="D2183" s="112"/>
      <c r="E2183" s="33"/>
      <c r="F2183" s="105"/>
      <c r="H2183" s="116"/>
      <c r="I2183" s="26"/>
      <c r="J2183" s="98"/>
      <c r="K2183" s="36"/>
      <c r="L2183" s="26"/>
      <c r="M2183" s="26"/>
      <c r="N2183" s="26"/>
      <c r="O2183" s="93"/>
      <c r="P2183" s="95"/>
      <c r="Q2183" s="197"/>
    </row>
    <row r="2184" spans="3:17" x14ac:dyDescent="0.25">
      <c r="C2184" s="199"/>
      <c r="D2184" s="112"/>
      <c r="E2184" s="33"/>
      <c r="F2184" s="105"/>
      <c r="H2184" s="116"/>
      <c r="I2184" s="26"/>
      <c r="J2184" s="98"/>
      <c r="K2184" s="36"/>
      <c r="L2184" s="26"/>
      <c r="M2184" s="26"/>
      <c r="N2184" s="26"/>
      <c r="O2184" s="93"/>
      <c r="P2184" s="95"/>
      <c r="Q2184" s="197"/>
    </row>
    <row r="2185" spans="3:17" x14ac:dyDescent="0.25">
      <c r="C2185" s="199"/>
      <c r="D2185" s="112"/>
      <c r="E2185" s="33"/>
      <c r="F2185" s="105"/>
      <c r="H2185" s="116"/>
      <c r="I2185" s="26"/>
      <c r="J2185" s="98"/>
      <c r="K2185" s="36"/>
      <c r="L2185" s="26"/>
      <c r="M2185" s="26"/>
      <c r="N2185" s="26"/>
      <c r="O2185" s="93"/>
      <c r="P2185" s="95"/>
      <c r="Q2185" s="197"/>
    </row>
    <row r="2186" spans="3:17" x14ac:dyDescent="0.25">
      <c r="C2186" s="199"/>
      <c r="D2186" s="112"/>
      <c r="E2186" s="33"/>
      <c r="F2186" s="105"/>
      <c r="H2186" s="116"/>
      <c r="I2186" s="26"/>
      <c r="J2186" s="98"/>
      <c r="K2186" s="36"/>
      <c r="L2186" s="26"/>
      <c r="M2186" s="26"/>
      <c r="N2186" s="26"/>
      <c r="O2186" s="93"/>
      <c r="P2186" s="95"/>
      <c r="Q2186" s="197"/>
    </row>
    <row r="2187" spans="3:17" x14ac:dyDescent="0.25">
      <c r="C2187" s="199"/>
      <c r="D2187" s="112"/>
      <c r="E2187" s="33"/>
      <c r="F2187" s="105"/>
      <c r="H2187" s="116"/>
      <c r="I2187" s="26"/>
      <c r="J2187" s="98"/>
      <c r="K2187" s="36"/>
      <c r="L2187" s="26"/>
      <c r="M2187" s="26"/>
      <c r="N2187" s="26"/>
      <c r="O2187" s="93"/>
      <c r="P2187" s="95"/>
      <c r="Q2187" s="197"/>
    </row>
    <row r="2188" spans="3:17" x14ac:dyDescent="0.25">
      <c r="C2188" s="199"/>
      <c r="D2188" s="112"/>
      <c r="E2188" s="33"/>
      <c r="F2188" s="105"/>
      <c r="H2188" s="116"/>
      <c r="I2188" s="26"/>
      <c r="J2188" s="98"/>
      <c r="K2188" s="36"/>
      <c r="L2188" s="26"/>
      <c r="M2188" s="26"/>
      <c r="N2188" s="26"/>
      <c r="O2188" s="93"/>
      <c r="P2188" s="95"/>
      <c r="Q2188" s="197"/>
    </row>
    <row r="2189" spans="3:17" x14ac:dyDescent="0.25">
      <c r="C2189" s="199"/>
      <c r="D2189" s="112"/>
      <c r="E2189" s="33"/>
      <c r="F2189" s="105"/>
      <c r="H2189" s="116"/>
      <c r="I2189" s="26"/>
      <c r="J2189" s="98"/>
      <c r="K2189" s="36"/>
      <c r="L2189" s="26"/>
      <c r="M2189" s="26"/>
      <c r="N2189" s="26"/>
      <c r="O2189" s="93"/>
      <c r="P2189" s="95"/>
      <c r="Q2189" s="197"/>
    </row>
    <row r="2190" spans="3:17" x14ac:dyDescent="0.25">
      <c r="C2190" s="199"/>
      <c r="D2190" s="112"/>
      <c r="E2190" s="33"/>
      <c r="F2190" s="105"/>
      <c r="H2190" s="116"/>
      <c r="I2190" s="26"/>
      <c r="J2190" s="98"/>
      <c r="K2190" s="36"/>
      <c r="L2190" s="26"/>
      <c r="M2190" s="26"/>
      <c r="N2190" s="26"/>
      <c r="O2190" s="93"/>
      <c r="P2190" s="95"/>
      <c r="Q2190" s="197"/>
    </row>
    <row r="2191" spans="3:17" x14ac:dyDescent="0.25">
      <c r="C2191" s="199"/>
      <c r="D2191" s="112"/>
      <c r="E2191" s="33"/>
      <c r="F2191" s="105"/>
      <c r="H2191" s="116"/>
      <c r="I2191" s="26"/>
      <c r="J2191" s="98"/>
      <c r="K2191" s="36"/>
      <c r="L2191" s="26"/>
      <c r="M2191" s="26"/>
      <c r="N2191" s="26"/>
      <c r="O2191" s="93"/>
      <c r="P2191" s="95"/>
      <c r="Q2191" s="197"/>
    </row>
    <row r="2192" spans="3:17" x14ac:dyDescent="0.25">
      <c r="C2192" s="199"/>
      <c r="D2192" s="112"/>
      <c r="E2192" s="33"/>
      <c r="F2192" s="105"/>
      <c r="H2192" s="116"/>
      <c r="I2192" s="26"/>
      <c r="J2192" s="98"/>
      <c r="K2192" s="36"/>
      <c r="L2192" s="26"/>
      <c r="M2192" s="26"/>
      <c r="N2192" s="26"/>
      <c r="O2192" s="93"/>
      <c r="P2192" s="95"/>
      <c r="Q2192" s="197"/>
    </row>
    <row r="2193" spans="3:17" x14ac:dyDescent="0.25">
      <c r="C2193" s="199"/>
      <c r="D2193" s="112"/>
      <c r="E2193" s="33"/>
      <c r="F2193" s="105"/>
      <c r="H2193" s="116"/>
      <c r="I2193" s="26"/>
      <c r="J2193" s="98"/>
      <c r="K2193" s="36"/>
      <c r="L2193" s="26"/>
      <c r="M2193" s="26"/>
      <c r="N2193" s="26"/>
      <c r="O2193" s="93"/>
      <c r="P2193" s="95"/>
      <c r="Q2193" s="197"/>
    </row>
    <row r="2194" spans="3:17" x14ac:dyDescent="0.25">
      <c r="C2194" s="199"/>
      <c r="D2194" s="112"/>
      <c r="E2194" s="33"/>
      <c r="F2194" s="105"/>
      <c r="H2194" s="116"/>
      <c r="I2194" s="26"/>
      <c r="J2194" s="98"/>
      <c r="K2194" s="36"/>
      <c r="L2194" s="26"/>
      <c r="M2194" s="26"/>
      <c r="N2194" s="26"/>
      <c r="O2194" s="93"/>
      <c r="P2194" s="95"/>
      <c r="Q2194" s="197"/>
    </row>
    <row r="2195" spans="3:17" x14ac:dyDescent="0.25">
      <c r="C2195" s="199"/>
      <c r="D2195" s="112"/>
      <c r="E2195" s="33"/>
      <c r="F2195" s="105"/>
      <c r="H2195" s="116"/>
      <c r="I2195" s="26"/>
      <c r="J2195" s="98"/>
      <c r="K2195" s="36"/>
      <c r="L2195" s="26"/>
      <c r="M2195" s="26"/>
      <c r="N2195" s="26"/>
      <c r="O2195" s="93"/>
      <c r="P2195" s="95"/>
      <c r="Q2195" s="197"/>
    </row>
    <row r="2196" spans="3:17" x14ac:dyDescent="0.25">
      <c r="C2196" s="199"/>
      <c r="D2196" s="112"/>
      <c r="E2196" s="33"/>
      <c r="F2196" s="105"/>
      <c r="H2196" s="116"/>
      <c r="I2196" s="26"/>
      <c r="J2196" s="98"/>
      <c r="K2196" s="36"/>
      <c r="L2196" s="26"/>
      <c r="M2196" s="26"/>
      <c r="N2196" s="26"/>
      <c r="O2196" s="93"/>
      <c r="P2196" s="95"/>
      <c r="Q2196" s="197"/>
    </row>
    <row r="2197" spans="3:17" x14ac:dyDescent="0.25">
      <c r="C2197" s="199"/>
      <c r="D2197" s="112"/>
      <c r="E2197" s="33"/>
      <c r="F2197" s="105"/>
      <c r="H2197" s="116"/>
      <c r="I2197" s="26"/>
      <c r="J2197" s="98"/>
      <c r="K2197" s="36"/>
      <c r="L2197" s="26"/>
      <c r="M2197" s="26"/>
      <c r="N2197" s="26"/>
      <c r="O2197" s="93"/>
      <c r="P2197" s="95"/>
      <c r="Q2197" s="197"/>
    </row>
    <row r="2198" spans="3:17" x14ac:dyDescent="0.25">
      <c r="C2198" s="199"/>
      <c r="D2198" s="112"/>
      <c r="E2198" s="33"/>
      <c r="F2198" s="105"/>
      <c r="H2198" s="116"/>
      <c r="I2198" s="26"/>
      <c r="J2198" s="98"/>
      <c r="K2198" s="36"/>
      <c r="L2198" s="26"/>
      <c r="M2198" s="26"/>
      <c r="N2198" s="26"/>
      <c r="O2198" s="93"/>
      <c r="P2198" s="95"/>
      <c r="Q2198" s="197"/>
    </row>
    <row r="2199" spans="3:17" x14ac:dyDescent="0.25">
      <c r="C2199" s="199"/>
      <c r="D2199" s="112"/>
      <c r="E2199" s="33"/>
      <c r="F2199" s="105"/>
      <c r="H2199" s="116"/>
      <c r="I2199" s="26"/>
      <c r="J2199" s="98"/>
      <c r="K2199" s="36"/>
      <c r="L2199" s="26"/>
      <c r="M2199" s="26"/>
      <c r="N2199" s="26"/>
      <c r="O2199" s="93"/>
      <c r="P2199" s="95"/>
      <c r="Q2199" s="197"/>
    </row>
    <row r="2200" spans="3:17" x14ac:dyDescent="0.25">
      <c r="C2200" s="199"/>
      <c r="D2200" s="112"/>
      <c r="E2200" s="33"/>
      <c r="F2200" s="105"/>
      <c r="H2200" s="116"/>
      <c r="I2200" s="26"/>
      <c r="J2200" s="98"/>
      <c r="K2200" s="36"/>
      <c r="L2200" s="26"/>
      <c r="M2200" s="26"/>
      <c r="N2200" s="26"/>
      <c r="O2200" s="93"/>
      <c r="P2200" s="95"/>
      <c r="Q2200" s="197"/>
    </row>
    <row r="2201" spans="3:17" x14ac:dyDescent="0.25">
      <c r="C2201" s="199"/>
      <c r="D2201" s="112"/>
      <c r="E2201" s="33"/>
      <c r="F2201" s="105"/>
      <c r="H2201" s="116"/>
      <c r="I2201" s="26"/>
      <c r="J2201" s="98"/>
      <c r="K2201" s="36"/>
      <c r="L2201" s="26"/>
      <c r="M2201" s="26"/>
      <c r="N2201" s="26"/>
      <c r="O2201" s="93"/>
      <c r="P2201" s="95"/>
      <c r="Q2201" s="197"/>
    </row>
    <row r="2202" spans="3:17" x14ac:dyDescent="0.25">
      <c r="C2202" s="199"/>
      <c r="D2202" s="112"/>
      <c r="E2202" s="33"/>
      <c r="F2202" s="105"/>
      <c r="H2202" s="116"/>
      <c r="I2202" s="26"/>
      <c r="J2202" s="98"/>
      <c r="K2202" s="36"/>
      <c r="L2202" s="26"/>
      <c r="M2202" s="26"/>
      <c r="N2202" s="26"/>
      <c r="O2202" s="93"/>
      <c r="P2202" s="95"/>
      <c r="Q2202" s="197"/>
    </row>
    <row r="2203" spans="3:17" x14ac:dyDescent="0.25">
      <c r="C2203" s="199"/>
      <c r="D2203" s="112"/>
      <c r="E2203" s="33"/>
      <c r="F2203" s="105"/>
      <c r="H2203" s="116"/>
      <c r="I2203" s="26"/>
      <c r="J2203" s="98"/>
      <c r="K2203" s="36"/>
      <c r="L2203" s="26"/>
      <c r="M2203" s="26"/>
      <c r="N2203" s="26"/>
      <c r="O2203" s="93"/>
      <c r="P2203" s="95"/>
      <c r="Q2203" s="197"/>
    </row>
    <row r="2204" spans="3:17" x14ac:dyDescent="0.25">
      <c r="C2204" s="199"/>
      <c r="D2204" s="112"/>
      <c r="E2204" s="33"/>
      <c r="F2204" s="105"/>
      <c r="H2204" s="116"/>
      <c r="I2204" s="26"/>
      <c r="J2204" s="98"/>
      <c r="K2204" s="36"/>
      <c r="L2204" s="26"/>
      <c r="M2204" s="26"/>
      <c r="N2204" s="26"/>
      <c r="O2204" s="93"/>
      <c r="P2204" s="95"/>
      <c r="Q2204" s="197"/>
    </row>
    <row r="2205" spans="3:17" x14ac:dyDescent="0.25">
      <c r="C2205" s="199"/>
      <c r="D2205" s="112"/>
      <c r="E2205" s="33"/>
      <c r="F2205" s="105"/>
      <c r="H2205" s="116"/>
      <c r="I2205" s="26"/>
      <c r="J2205" s="98"/>
      <c r="K2205" s="36"/>
      <c r="L2205" s="26"/>
      <c r="M2205" s="26"/>
      <c r="N2205" s="26"/>
      <c r="O2205" s="93"/>
      <c r="P2205" s="95"/>
      <c r="Q2205" s="197"/>
    </row>
    <row r="2206" spans="3:17" x14ac:dyDescent="0.25">
      <c r="C2206" s="199"/>
      <c r="D2206" s="112"/>
      <c r="E2206" s="33"/>
      <c r="F2206" s="105"/>
      <c r="H2206" s="116"/>
      <c r="I2206" s="26"/>
      <c r="J2206" s="98"/>
      <c r="K2206" s="36"/>
      <c r="L2206" s="26"/>
      <c r="M2206" s="26"/>
      <c r="N2206" s="26"/>
      <c r="O2206" s="93"/>
      <c r="P2206" s="95"/>
      <c r="Q2206" s="197"/>
    </row>
    <row r="2207" spans="3:17" x14ac:dyDescent="0.25">
      <c r="C2207" s="199"/>
      <c r="D2207" s="112"/>
      <c r="E2207" s="33"/>
      <c r="F2207" s="105"/>
      <c r="H2207" s="116"/>
      <c r="I2207" s="26"/>
      <c r="J2207" s="98"/>
      <c r="K2207" s="36"/>
      <c r="L2207" s="26"/>
      <c r="M2207" s="26"/>
      <c r="N2207" s="26"/>
      <c r="O2207" s="93"/>
      <c r="P2207" s="95"/>
      <c r="Q2207" s="197"/>
    </row>
    <row r="2208" spans="3:17" x14ac:dyDescent="0.25">
      <c r="C2208" s="199"/>
      <c r="D2208" s="112"/>
      <c r="E2208" s="33"/>
      <c r="F2208" s="105"/>
      <c r="H2208" s="116"/>
      <c r="I2208" s="26"/>
      <c r="J2208" s="98"/>
      <c r="K2208" s="36"/>
      <c r="L2208" s="26"/>
      <c r="M2208" s="26"/>
      <c r="N2208" s="26"/>
      <c r="O2208" s="93"/>
      <c r="P2208" s="95"/>
      <c r="Q2208" s="197"/>
    </row>
    <row r="2209" spans="3:17" x14ac:dyDescent="0.25">
      <c r="C2209" s="199"/>
      <c r="D2209" s="112"/>
      <c r="E2209" s="33"/>
      <c r="F2209" s="105"/>
      <c r="H2209" s="116"/>
      <c r="I2209" s="26"/>
      <c r="J2209" s="98"/>
      <c r="K2209" s="36"/>
      <c r="L2209" s="26"/>
      <c r="M2209" s="26"/>
      <c r="N2209" s="26"/>
      <c r="O2209" s="93"/>
      <c r="P2209" s="95"/>
      <c r="Q2209" s="197"/>
    </row>
    <row r="2210" spans="3:17" x14ac:dyDescent="0.25">
      <c r="C2210" s="199"/>
      <c r="D2210" s="112"/>
      <c r="E2210" s="33"/>
      <c r="F2210" s="105"/>
      <c r="H2210" s="116"/>
      <c r="I2210" s="26"/>
      <c r="J2210" s="98"/>
      <c r="K2210" s="36"/>
      <c r="L2210" s="26"/>
      <c r="M2210" s="26"/>
      <c r="N2210" s="26"/>
      <c r="O2210" s="93"/>
      <c r="P2210" s="95"/>
      <c r="Q2210" s="197"/>
    </row>
    <row r="2211" spans="3:17" x14ac:dyDescent="0.25">
      <c r="C2211" s="199"/>
      <c r="D2211" s="112"/>
      <c r="E2211" s="33"/>
      <c r="F2211" s="105"/>
      <c r="H2211" s="116"/>
      <c r="I2211" s="26"/>
      <c r="J2211" s="98"/>
      <c r="K2211" s="36"/>
      <c r="L2211" s="26"/>
      <c r="M2211" s="26"/>
      <c r="N2211" s="26"/>
      <c r="O2211" s="93"/>
      <c r="P2211" s="95"/>
      <c r="Q2211" s="197"/>
    </row>
    <row r="2212" spans="3:17" x14ac:dyDescent="0.25">
      <c r="C2212" s="199"/>
      <c r="D2212" s="112"/>
      <c r="E2212" s="33"/>
      <c r="F2212" s="105"/>
      <c r="H2212" s="116"/>
      <c r="I2212" s="26"/>
      <c r="J2212" s="98"/>
      <c r="K2212" s="36"/>
      <c r="L2212" s="26"/>
      <c r="M2212" s="26"/>
      <c r="N2212" s="26"/>
      <c r="O2212" s="93"/>
      <c r="P2212" s="95"/>
      <c r="Q2212" s="197"/>
    </row>
    <row r="2213" spans="3:17" x14ac:dyDescent="0.25">
      <c r="C2213" s="199"/>
      <c r="D2213" s="112"/>
      <c r="E2213" s="33"/>
      <c r="F2213" s="105"/>
      <c r="H2213" s="116"/>
      <c r="I2213" s="26"/>
      <c r="J2213" s="98"/>
      <c r="K2213" s="36"/>
      <c r="L2213" s="26"/>
      <c r="M2213" s="26"/>
      <c r="N2213" s="26"/>
      <c r="O2213" s="93"/>
      <c r="P2213" s="95"/>
      <c r="Q2213" s="197"/>
    </row>
    <row r="2214" spans="3:17" x14ac:dyDescent="0.25">
      <c r="C2214" s="199"/>
      <c r="D2214" s="112"/>
      <c r="E2214" s="33"/>
      <c r="F2214" s="105"/>
      <c r="H2214" s="116"/>
      <c r="I2214" s="26"/>
      <c r="J2214" s="98"/>
      <c r="K2214" s="36"/>
      <c r="L2214" s="26"/>
      <c r="M2214" s="26"/>
      <c r="N2214" s="26"/>
      <c r="O2214" s="93"/>
      <c r="P2214" s="95"/>
      <c r="Q2214" s="197"/>
    </row>
    <row r="2215" spans="3:17" x14ac:dyDescent="0.25">
      <c r="C2215" s="199"/>
      <c r="D2215" s="112"/>
      <c r="E2215" s="33"/>
      <c r="F2215" s="105"/>
      <c r="H2215" s="116"/>
      <c r="I2215" s="26"/>
      <c r="J2215" s="98"/>
      <c r="K2215" s="36"/>
      <c r="L2215" s="26"/>
      <c r="M2215" s="26"/>
      <c r="N2215" s="26"/>
      <c r="O2215" s="93"/>
      <c r="P2215" s="95"/>
      <c r="Q2215" s="197"/>
    </row>
    <row r="2216" spans="3:17" x14ac:dyDescent="0.25">
      <c r="C2216" s="199"/>
      <c r="D2216" s="112"/>
      <c r="E2216" s="33"/>
      <c r="F2216" s="105"/>
      <c r="H2216" s="116"/>
      <c r="I2216" s="26"/>
      <c r="J2216" s="98"/>
      <c r="K2216" s="36"/>
      <c r="L2216" s="26"/>
      <c r="M2216" s="26"/>
      <c r="N2216" s="26"/>
      <c r="O2216" s="93"/>
      <c r="P2216" s="95"/>
      <c r="Q2216" s="197"/>
    </row>
    <row r="2217" spans="3:17" x14ac:dyDescent="0.25">
      <c r="C2217" s="199"/>
      <c r="D2217" s="112"/>
      <c r="E2217" s="33"/>
      <c r="F2217" s="105"/>
      <c r="H2217" s="116"/>
      <c r="I2217" s="26"/>
      <c r="J2217" s="98"/>
      <c r="K2217" s="36"/>
      <c r="L2217" s="26"/>
      <c r="M2217" s="26"/>
      <c r="N2217" s="26"/>
      <c r="O2217" s="93"/>
      <c r="P2217" s="95"/>
      <c r="Q2217" s="197"/>
    </row>
    <row r="2218" spans="3:17" x14ac:dyDescent="0.25">
      <c r="C2218" s="199"/>
      <c r="D2218" s="112"/>
      <c r="E2218" s="33"/>
      <c r="F2218" s="105"/>
      <c r="H2218" s="116"/>
      <c r="I2218" s="26"/>
      <c r="J2218" s="98"/>
      <c r="K2218" s="36"/>
      <c r="L2218" s="26"/>
      <c r="M2218" s="26"/>
      <c r="N2218" s="26"/>
      <c r="O2218" s="93"/>
      <c r="P2218" s="95"/>
      <c r="Q2218" s="197"/>
    </row>
    <row r="2219" spans="3:17" x14ac:dyDescent="0.25">
      <c r="C2219" s="199"/>
      <c r="D2219" s="112"/>
      <c r="E2219" s="33"/>
      <c r="F2219" s="105"/>
      <c r="H2219" s="116"/>
      <c r="I2219" s="26"/>
      <c r="J2219" s="98"/>
      <c r="K2219" s="36"/>
      <c r="L2219" s="26"/>
      <c r="M2219" s="26"/>
      <c r="N2219" s="26"/>
      <c r="O2219" s="93"/>
      <c r="P2219" s="95"/>
      <c r="Q2219" s="197"/>
    </row>
    <row r="2220" spans="3:17" x14ac:dyDescent="0.25">
      <c r="C2220" s="199"/>
      <c r="D2220" s="112"/>
      <c r="E2220" s="33"/>
      <c r="F2220" s="105"/>
      <c r="H2220" s="116"/>
      <c r="I2220" s="26"/>
      <c r="J2220" s="98"/>
      <c r="K2220" s="36"/>
      <c r="L2220" s="26"/>
      <c r="M2220" s="26"/>
      <c r="N2220" s="26"/>
      <c r="O2220" s="93"/>
      <c r="P2220" s="95"/>
      <c r="Q2220" s="197"/>
    </row>
    <row r="2221" spans="3:17" x14ac:dyDescent="0.25">
      <c r="C2221" s="199"/>
      <c r="D2221" s="112"/>
      <c r="E2221" s="33"/>
      <c r="F2221" s="105"/>
      <c r="H2221" s="116"/>
      <c r="I2221" s="26"/>
      <c r="J2221" s="98"/>
      <c r="K2221" s="36"/>
      <c r="L2221" s="26"/>
      <c r="M2221" s="26"/>
      <c r="N2221" s="26"/>
      <c r="O2221" s="93"/>
      <c r="P2221" s="95"/>
      <c r="Q2221" s="197"/>
    </row>
    <row r="2222" spans="3:17" x14ac:dyDescent="0.25">
      <c r="C2222" s="199"/>
      <c r="D2222" s="112"/>
      <c r="E2222" s="33"/>
      <c r="F2222" s="105"/>
      <c r="H2222" s="116"/>
      <c r="I2222" s="26"/>
      <c r="J2222" s="98"/>
      <c r="K2222" s="36"/>
      <c r="L2222" s="26"/>
      <c r="M2222" s="26"/>
      <c r="N2222" s="26"/>
      <c r="O2222" s="93"/>
      <c r="P2222" s="95"/>
      <c r="Q2222" s="197"/>
    </row>
    <row r="2223" spans="3:17" x14ac:dyDescent="0.25">
      <c r="C2223" s="199"/>
      <c r="D2223" s="112"/>
      <c r="E2223" s="33"/>
      <c r="F2223" s="105"/>
      <c r="H2223" s="116"/>
      <c r="I2223" s="26"/>
      <c r="J2223" s="98"/>
      <c r="K2223" s="36"/>
      <c r="L2223" s="26"/>
      <c r="M2223" s="26"/>
      <c r="N2223" s="26"/>
      <c r="O2223" s="93"/>
      <c r="P2223" s="95"/>
      <c r="Q2223" s="197"/>
    </row>
    <row r="2224" spans="3:17" x14ac:dyDescent="0.25">
      <c r="C2224" s="199"/>
      <c r="D2224" s="112"/>
      <c r="E2224" s="33"/>
      <c r="F2224" s="105"/>
      <c r="H2224" s="116"/>
      <c r="I2224" s="26"/>
      <c r="J2224" s="98"/>
      <c r="K2224" s="36"/>
      <c r="L2224" s="26"/>
      <c r="M2224" s="26"/>
      <c r="N2224" s="26"/>
      <c r="O2224" s="93"/>
      <c r="P2224" s="95"/>
      <c r="Q2224" s="197"/>
    </row>
    <row r="2225" spans="3:17" x14ac:dyDescent="0.25">
      <c r="C2225" s="199"/>
      <c r="D2225" s="112"/>
      <c r="E2225" s="33"/>
      <c r="F2225" s="105"/>
      <c r="H2225" s="116"/>
      <c r="I2225" s="26"/>
      <c r="J2225" s="98"/>
      <c r="K2225" s="36"/>
      <c r="L2225" s="26"/>
      <c r="M2225" s="26"/>
      <c r="N2225" s="26"/>
      <c r="O2225" s="93"/>
      <c r="P2225" s="95"/>
      <c r="Q2225" s="197"/>
    </row>
    <row r="2226" spans="3:17" x14ac:dyDescent="0.25">
      <c r="C2226" s="199"/>
      <c r="D2226" s="112"/>
      <c r="E2226" s="33"/>
      <c r="F2226" s="105"/>
      <c r="H2226" s="116"/>
      <c r="I2226" s="26"/>
      <c r="J2226" s="98"/>
      <c r="K2226" s="36"/>
      <c r="L2226" s="26"/>
      <c r="M2226" s="26"/>
      <c r="N2226" s="26"/>
      <c r="O2226" s="93"/>
      <c r="P2226" s="95"/>
      <c r="Q2226" s="197"/>
    </row>
    <row r="2227" spans="3:17" x14ac:dyDescent="0.25">
      <c r="C2227" s="199"/>
      <c r="D2227" s="112"/>
      <c r="E2227" s="33"/>
      <c r="F2227" s="105"/>
      <c r="H2227" s="116"/>
      <c r="I2227" s="26"/>
      <c r="J2227" s="98"/>
      <c r="K2227" s="36"/>
      <c r="L2227" s="26"/>
      <c r="M2227" s="26"/>
      <c r="N2227" s="26"/>
      <c r="O2227" s="93"/>
      <c r="P2227" s="95"/>
      <c r="Q2227" s="197"/>
    </row>
    <row r="2228" spans="3:17" x14ac:dyDescent="0.25">
      <c r="C2228" s="199"/>
      <c r="D2228" s="112"/>
      <c r="E2228" s="33"/>
      <c r="F2228" s="105"/>
      <c r="H2228" s="116"/>
      <c r="I2228" s="26"/>
      <c r="J2228" s="98"/>
      <c r="K2228" s="36"/>
      <c r="L2228" s="26"/>
      <c r="M2228" s="26"/>
      <c r="N2228" s="26"/>
      <c r="O2228" s="93"/>
      <c r="P2228" s="95"/>
      <c r="Q2228" s="197"/>
    </row>
    <row r="2229" spans="3:17" x14ac:dyDescent="0.25">
      <c r="C2229" s="199"/>
      <c r="D2229" s="112"/>
      <c r="E2229" s="33"/>
      <c r="F2229" s="105"/>
      <c r="H2229" s="116"/>
      <c r="I2229" s="26"/>
      <c r="J2229" s="98"/>
      <c r="K2229" s="36"/>
      <c r="L2229" s="26"/>
      <c r="M2229" s="26"/>
      <c r="N2229" s="26"/>
      <c r="O2229" s="93"/>
      <c r="P2229" s="95"/>
      <c r="Q2229" s="197"/>
    </row>
    <row r="2230" spans="3:17" x14ac:dyDescent="0.25">
      <c r="C2230" s="199"/>
      <c r="D2230" s="112"/>
      <c r="E2230" s="33"/>
      <c r="F2230" s="105"/>
      <c r="H2230" s="116"/>
      <c r="I2230" s="26"/>
      <c r="J2230" s="98"/>
      <c r="K2230" s="36"/>
      <c r="L2230" s="26"/>
      <c r="M2230" s="26"/>
      <c r="N2230" s="26"/>
      <c r="O2230" s="93"/>
      <c r="P2230" s="95"/>
      <c r="Q2230" s="197"/>
    </row>
    <row r="2231" spans="3:17" x14ac:dyDescent="0.25">
      <c r="C2231" s="199"/>
      <c r="D2231" s="112"/>
      <c r="E2231" s="33"/>
      <c r="F2231" s="105"/>
      <c r="H2231" s="116"/>
      <c r="I2231" s="26"/>
      <c r="J2231" s="98"/>
      <c r="K2231" s="36"/>
      <c r="L2231" s="26"/>
      <c r="M2231" s="26"/>
      <c r="N2231" s="26"/>
      <c r="O2231" s="93"/>
      <c r="P2231" s="95"/>
      <c r="Q2231" s="197"/>
    </row>
    <row r="2232" spans="3:17" x14ac:dyDescent="0.25">
      <c r="C2232" s="199"/>
      <c r="D2232" s="112"/>
      <c r="E2232" s="33"/>
      <c r="F2232" s="105"/>
      <c r="H2232" s="116"/>
      <c r="I2232" s="26"/>
      <c r="J2232" s="98"/>
      <c r="K2232" s="36"/>
      <c r="L2232" s="26"/>
      <c r="M2232" s="26"/>
      <c r="N2232" s="26"/>
      <c r="O2232" s="93"/>
      <c r="P2232" s="95"/>
      <c r="Q2232" s="197"/>
    </row>
    <row r="2233" spans="3:17" x14ac:dyDescent="0.25">
      <c r="C2233" s="199"/>
      <c r="D2233" s="112"/>
      <c r="E2233" s="33"/>
      <c r="F2233" s="105"/>
      <c r="H2233" s="116"/>
      <c r="I2233" s="26"/>
      <c r="J2233" s="98"/>
      <c r="K2233" s="36"/>
      <c r="L2233" s="26"/>
      <c r="M2233" s="26"/>
      <c r="N2233" s="26"/>
      <c r="O2233" s="93"/>
      <c r="P2233" s="95"/>
      <c r="Q2233" s="197"/>
    </row>
    <row r="2234" spans="3:17" x14ac:dyDescent="0.25">
      <c r="C2234" s="199"/>
      <c r="D2234" s="112"/>
      <c r="E2234" s="33"/>
      <c r="F2234" s="105"/>
      <c r="H2234" s="116"/>
      <c r="I2234" s="26"/>
      <c r="J2234" s="98"/>
      <c r="K2234" s="36"/>
      <c r="L2234" s="26"/>
      <c r="M2234" s="26"/>
      <c r="N2234" s="26"/>
      <c r="O2234" s="93"/>
      <c r="P2234" s="95"/>
      <c r="Q2234" s="197"/>
    </row>
    <row r="2235" spans="3:17" x14ac:dyDescent="0.25">
      <c r="C2235" s="199"/>
      <c r="D2235" s="112"/>
      <c r="E2235" s="33"/>
      <c r="F2235" s="105"/>
      <c r="H2235" s="116"/>
      <c r="I2235" s="26"/>
      <c r="J2235" s="98"/>
      <c r="K2235" s="36"/>
      <c r="L2235" s="26"/>
      <c r="M2235" s="26"/>
      <c r="N2235" s="26"/>
      <c r="O2235" s="93"/>
      <c r="P2235" s="95"/>
      <c r="Q2235" s="197"/>
    </row>
    <row r="2236" spans="3:17" x14ac:dyDescent="0.25">
      <c r="C2236" s="199"/>
      <c r="D2236" s="112"/>
      <c r="E2236" s="33"/>
      <c r="F2236" s="105"/>
      <c r="H2236" s="116"/>
      <c r="I2236" s="26"/>
      <c r="J2236" s="98"/>
      <c r="K2236" s="36"/>
      <c r="L2236" s="26"/>
      <c r="M2236" s="26"/>
      <c r="N2236" s="26"/>
      <c r="O2236" s="93"/>
      <c r="P2236" s="95"/>
      <c r="Q2236" s="197"/>
    </row>
    <row r="2237" spans="3:17" x14ac:dyDescent="0.25">
      <c r="C2237" s="199"/>
      <c r="D2237" s="112"/>
      <c r="E2237" s="33"/>
      <c r="F2237" s="105"/>
      <c r="H2237" s="116"/>
      <c r="I2237" s="26"/>
      <c r="J2237" s="98"/>
      <c r="K2237" s="36"/>
      <c r="L2237" s="26"/>
      <c r="M2237" s="26"/>
      <c r="N2237" s="26"/>
      <c r="O2237" s="93"/>
      <c r="P2237" s="95"/>
      <c r="Q2237" s="197"/>
    </row>
    <row r="2238" spans="3:17" x14ac:dyDescent="0.25">
      <c r="C2238" s="199"/>
      <c r="D2238" s="112"/>
      <c r="E2238" s="33"/>
      <c r="F2238" s="105"/>
      <c r="H2238" s="116"/>
      <c r="I2238" s="26"/>
      <c r="J2238" s="98"/>
      <c r="K2238" s="36"/>
      <c r="L2238" s="26"/>
      <c r="M2238" s="26"/>
      <c r="N2238" s="26"/>
      <c r="O2238" s="93"/>
      <c r="P2238" s="95"/>
      <c r="Q2238" s="197"/>
    </row>
    <row r="2239" spans="3:17" x14ac:dyDescent="0.25">
      <c r="C2239" s="199"/>
      <c r="D2239" s="112"/>
      <c r="E2239" s="33"/>
      <c r="F2239" s="105"/>
      <c r="H2239" s="116"/>
      <c r="I2239" s="26"/>
      <c r="J2239" s="98"/>
      <c r="K2239" s="36"/>
      <c r="L2239" s="26"/>
      <c r="M2239" s="26"/>
      <c r="N2239" s="26"/>
      <c r="O2239" s="93"/>
      <c r="P2239" s="95"/>
      <c r="Q2239" s="197"/>
    </row>
    <row r="2240" spans="3:17" x14ac:dyDescent="0.25">
      <c r="C2240" s="199"/>
      <c r="D2240" s="112"/>
      <c r="E2240" s="33"/>
      <c r="F2240" s="105"/>
      <c r="H2240" s="116"/>
      <c r="I2240" s="26"/>
      <c r="J2240" s="98"/>
      <c r="K2240" s="36"/>
      <c r="L2240" s="26"/>
      <c r="M2240" s="26"/>
      <c r="N2240" s="26"/>
      <c r="O2240" s="93"/>
      <c r="P2240" s="95"/>
      <c r="Q2240" s="197"/>
    </row>
    <row r="2241" spans="3:17" x14ac:dyDescent="0.25">
      <c r="C2241" s="199"/>
      <c r="D2241" s="112"/>
      <c r="E2241" s="33"/>
      <c r="F2241" s="105"/>
      <c r="H2241" s="116"/>
      <c r="I2241" s="26"/>
      <c r="J2241" s="98"/>
      <c r="K2241" s="36"/>
      <c r="L2241" s="26"/>
      <c r="M2241" s="26"/>
      <c r="N2241" s="26"/>
      <c r="O2241" s="93"/>
      <c r="P2241" s="95"/>
      <c r="Q2241" s="197"/>
    </row>
    <row r="2242" spans="3:17" x14ac:dyDescent="0.25">
      <c r="C2242" s="199"/>
      <c r="D2242" s="112"/>
      <c r="E2242" s="33"/>
      <c r="F2242" s="105"/>
      <c r="H2242" s="116"/>
      <c r="I2242" s="26"/>
      <c r="J2242" s="98"/>
      <c r="K2242" s="36"/>
      <c r="L2242" s="26"/>
      <c r="M2242" s="26"/>
      <c r="N2242" s="26"/>
      <c r="O2242" s="93"/>
      <c r="P2242" s="95"/>
      <c r="Q2242" s="197"/>
    </row>
    <row r="2243" spans="3:17" x14ac:dyDescent="0.25">
      <c r="C2243" s="199"/>
      <c r="D2243" s="112"/>
      <c r="E2243" s="33"/>
      <c r="F2243" s="105"/>
      <c r="H2243" s="116"/>
      <c r="I2243" s="26"/>
      <c r="J2243" s="98"/>
      <c r="K2243" s="36"/>
      <c r="L2243" s="26"/>
      <c r="M2243" s="26"/>
      <c r="N2243" s="26"/>
      <c r="O2243" s="93"/>
      <c r="P2243" s="95"/>
      <c r="Q2243" s="197"/>
    </row>
    <row r="2244" spans="3:17" x14ac:dyDescent="0.25">
      <c r="C2244" s="199"/>
      <c r="D2244" s="112"/>
      <c r="E2244" s="33"/>
      <c r="F2244" s="105"/>
      <c r="H2244" s="116"/>
      <c r="I2244" s="26"/>
      <c r="J2244" s="98"/>
      <c r="K2244" s="36"/>
      <c r="L2244" s="26"/>
      <c r="M2244" s="26"/>
      <c r="N2244" s="26"/>
      <c r="O2244" s="93"/>
      <c r="P2244" s="95"/>
      <c r="Q2244" s="197"/>
    </row>
    <row r="2245" spans="3:17" x14ac:dyDescent="0.25">
      <c r="C2245" s="199"/>
      <c r="D2245" s="112"/>
      <c r="E2245" s="33"/>
      <c r="F2245" s="105"/>
      <c r="H2245" s="116"/>
      <c r="I2245" s="26"/>
      <c r="J2245" s="98"/>
      <c r="K2245" s="36"/>
      <c r="L2245" s="26"/>
      <c r="M2245" s="26"/>
      <c r="N2245" s="26"/>
      <c r="O2245" s="93"/>
      <c r="P2245" s="95"/>
      <c r="Q2245" s="197"/>
    </row>
    <row r="2246" spans="3:17" x14ac:dyDescent="0.25">
      <c r="C2246" s="199"/>
      <c r="D2246" s="112"/>
      <c r="E2246" s="33"/>
      <c r="F2246" s="105"/>
      <c r="H2246" s="116"/>
      <c r="I2246" s="26"/>
      <c r="J2246" s="98"/>
      <c r="K2246" s="36"/>
      <c r="L2246" s="26"/>
      <c r="M2246" s="26"/>
      <c r="N2246" s="26"/>
      <c r="O2246" s="93"/>
      <c r="P2246" s="95"/>
      <c r="Q2246" s="197"/>
    </row>
    <row r="2247" spans="3:17" x14ac:dyDescent="0.25">
      <c r="C2247" s="199"/>
      <c r="D2247" s="112"/>
      <c r="E2247" s="33"/>
      <c r="F2247" s="105"/>
      <c r="H2247" s="116"/>
      <c r="I2247" s="26"/>
      <c r="J2247" s="98"/>
      <c r="K2247" s="36"/>
      <c r="L2247" s="26"/>
      <c r="M2247" s="26"/>
      <c r="N2247" s="26"/>
      <c r="O2247" s="93"/>
      <c r="P2247" s="95"/>
      <c r="Q2247" s="197"/>
    </row>
    <row r="2248" spans="3:17" x14ac:dyDescent="0.25">
      <c r="C2248" s="199"/>
      <c r="D2248" s="112"/>
      <c r="E2248" s="33"/>
      <c r="F2248" s="105"/>
      <c r="H2248" s="116"/>
      <c r="I2248" s="26"/>
      <c r="J2248" s="98"/>
      <c r="K2248" s="36"/>
      <c r="L2248" s="26"/>
      <c r="M2248" s="26"/>
      <c r="N2248" s="26"/>
      <c r="O2248" s="93"/>
      <c r="P2248" s="95"/>
      <c r="Q2248" s="197"/>
    </row>
    <row r="2249" spans="3:17" x14ac:dyDescent="0.25">
      <c r="C2249" s="199"/>
      <c r="D2249" s="112"/>
      <c r="E2249" s="33"/>
      <c r="F2249" s="105"/>
      <c r="H2249" s="116"/>
      <c r="I2249" s="26"/>
      <c r="J2249" s="98"/>
      <c r="K2249" s="36"/>
      <c r="L2249" s="26"/>
      <c r="M2249" s="26"/>
      <c r="N2249" s="26"/>
      <c r="O2249" s="93"/>
      <c r="P2249" s="95"/>
      <c r="Q2249" s="197"/>
    </row>
    <row r="2250" spans="3:17" x14ac:dyDescent="0.25">
      <c r="C2250" s="199"/>
      <c r="D2250" s="112"/>
      <c r="E2250" s="33"/>
      <c r="F2250" s="105"/>
      <c r="H2250" s="116"/>
      <c r="I2250" s="26"/>
      <c r="J2250" s="98"/>
      <c r="K2250" s="36"/>
      <c r="L2250" s="26"/>
      <c r="M2250" s="26"/>
      <c r="N2250" s="26"/>
      <c r="O2250" s="93"/>
      <c r="P2250" s="95"/>
      <c r="Q2250" s="197"/>
    </row>
    <row r="2251" spans="3:17" x14ac:dyDescent="0.25">
      <c r="C2251" s="199"/>
      <c r="D2251" s="112"/>
      <c r="E2251" s="33"/>
      <c r="F2251" s="105"/>
      <c r="H2251" s="116"/>
      <c r="I2251" s="26"/>
      <c r="J2251" s="98"/>
      <c r="K2251" s="36"/>
      <c r="L2251" s="26"/>
      <c r="M2251" s="26"/>
      <c r="N2251" s="26"/>
      <c r="O2251" s="93"/>
      <c r="P2251" s="95"/>
      <c r="Q2251" s="197"/>
    </row>
    <row r="2252" spans="3:17" x14ac:dyDescent="0.25">
      <c r="C2252" s="199"/>
      <c r="D2252" s="112"/>
      <c r="E2252" s="33"/>
      <c r="F2252" s="105"/>
      <c r="H2252" s="116"/>
      <c r="I2252" s="26"/>
      <c r="J2252" s="98"/>
      <c r="K2252" s="36"/>
      <c r="L2252" s="26"/>
      <c r="M2252" s="26"/>
      <c r="N2252" s="26"/>
      <c r="O2252" s="93"/>
      <c r="P2252" s="95"/>
      <c r="Q2252" s="197"/>
    </row>
    <row r="2253" spans="3:17" x14ac:dyDescent="0.25">
      <c r="C2253" s="199"/>
      <c r="D2253" s="112"/>
      <c r="E2253" s="33"/>
      <c r="F2253" s="105"/>
      <c r="H2253" s="116"/>
      <c r="I2253" s="26"/>
      <c r="J2253" s="98"/>
      <c r="K2253" s="36"/>
      <c r="L2253" s="26"/>
      <c r="M2253" s="26"/>
      <c r="N2253" s="26"/>
      <c r="O2253" s="93"/>
      <c r="P2253" s="95"/>
      <c r="Q2253" s="197"/>
    </row>
    <row r="2254" spans="3:17" x14ac:dyDescent="0.25">
      <c r="C2254" s="199"/>
      <c r="D2254" s="112"/>
      <c r="E2254" s="33"/>
      <c r="F2254" s="105"/>
      <c r="H2254" s="116"/>
      <c r="I2254" s="26"/>
      <c r="J2254" s="98"/>
      <c r="K2254" s="36"/>
      <c r="L2254" s="26"/>
      <c r="M2254" s="26"/>
      <c r="N2254" s="26"/>
      <c r="O2254" s="93"/>
      <c r="P2254" s="95"/>
      <c r="Q2254" s="197"/>
    </row>
    <row r="2255" spans="3:17" x14ac:dyDescent="0.25">
      <c r="C2255" s="199"/>
      <c r="D2255" s="112"/>
      <c r="E2255" s="33"/>
      <c r="F2255" s="105"/>
      <c r="H2255" s="116"/>
      <c r="I2255" s="26"/>
      <c r="J2255" s="98"/>
      <c r="K2255" s="36"/>
      <c r="L2255" s="26"/>
      <c r="M2255" s="26"/>
      <c r="N2255" s="26"/>
      <c r="O2255" s="93"/>
      <c r="P2255" s="95"/>
      <c r="Q2255" s="197"/>
    </row>
    <row r="2256" spans="3:17" x14ac:dyDescent="0.25">
      <c r="C2256" s="199"/>
      <c r="D2256" s="112"/>
      <c r="E2256" s="33"/>
      <c r="F2256" s="105"/>
      <c r="H2256" s="116"/>
      <c r="I2256" s="26"/>
      <c r="J2256" s="98"/>
      <c r="K2256" s="36"/>
      <c r="L2256" s="26"/>
      <c r="M2256" s="26"/>
      <c r="N2256" s="26"/>
      <c r="O2256" s="93"/>
      <c r="P2256" s="95"/>
      <c r="Q2256" s="197"/>
    </row>
    <row r="2257" spans="3:17" x14ac:dyDescent="0.25">
      <c r="C2257" s="199"/>
      <c r="D2257" s="112"/>
      <c r="E2257" s="33"/>
      <c r="F2257" s="105"/>
      <c r="H2257" s="116"/>
      <c r="I2257" s="26"/>
      <c r="J2257" s="98"/>
      <c r="K2257" s="36"/>
      <c r="L2257" s="26"/>
      <c r="M2257" s="26"/>
      <c r="N2257" s="26"/>
      <c r="O2257" s="93"/>
      <c r="P2257" s="95"/>
      <c r="Q2257" s="197"/>
    </row>
    <row r="2258" spans="3:17" x14ac:dyDescent="0.25">
      <c r="C2258" s="199"/>
      <c r="D2258" s="112"/>
      <c r="E2258" s="33"/>
      <c r="F2258" s="105"/>
      <c r="H2258" s="116"/>
      <c r="I2258" s="26"/>
      <c r="J2258" s="98"/>
      <c r="K2258" s="36"/>
      <c r="L2258" s="26"/>
      <c r="M2258" s="26"/>
      <c r="N2258" s="26"/>
      <c r="O2258" s="93"/>
      <c r="P2258" s="95"/>
      <c r="Q2258" s="197"/>
    </row>
    <row r="2259" spans="3:17" x14ac:dyDescent="0.25">
      <c r="C2259" s="199"/>
      <c r="D2259" s="112"/>
      <c r="E2259" s="33"/>
      <c r="F2259" s="105"/>
      <c r="H2259" s="116"/>
      <c r="I2259" s="26"/>
      <c r="J2259" s="98"/>
      <c r="K2259" s="36"/>
      <c r="L2259" s="26"/>
      <c r="M2259" s="26"/>
      <c r="N2259" s="26"/>
      <c r="O2259" s="93"/>
      <c r="P2259" s="95"/>
      <c r="Q2259" s="197"/>
    </row>
    <row r="2260" spans="3:17" x14ac:dyDescent="0.25">
      <c r="C2260" s="199"/>
      <c r="D2260" s="112"/>
      <c r="E2260" s="33"/>
      <c r="F2260" s="105"/>
      <c r="H2260" s="116"/>
      <c r="I2260" s="26"/>
      <c r="J2260" s="98"/>
      <c r="K2260" s="36"/>
      <c r="L2260" s="26"/>
      <c r="M2260" s="26"/>
      <c r="N2260" s="26"/>
      <c r="O2260" s="93"/>
      <c r="P2260" s="95"/>
      <c r="Q2260" s="197"/>
    </row>
    <row r="2261" spans="3:17" x14ac:dyDescent="0.25">
      <c r="C2261" s="199"/>
      <c r="D2261" s="112"/>
      <c r="E2261" s="33"/>
      <c r="F2261" s="105"/>
      <c r="H2261" s="116"/>
      <c r="I2261" s="26"/>
      <c r="J2261" s="98"/>
      <c r="K2261" s="36"/>
      <c r="L2261" s="26"/>
      <c r="M2261" s="26"/>
      <c r="N2261" s="26"/>
      <c r="O2261" s="93"/>
      <c r="P2261" s="95"/>
      <c r="Q2261" s="197"/>
    </row>
    <row r="2262" spans="3:17" x14ac:dyDescent="0.25">
      <c r="C2262" s="199"/>
      <c r="D2262" s="112"/>
      <c r="E2262" s="33"/>
      <c r="F2262" s="105"/>
      <c r="H2262" s="116"/>
      <c r="I2262" s="26"/>
      <c r="J2262" s="98"/>
      <c r="K2262" s="36"/>
      <c r="L2262" s="26"/>
      <c r="M2262" s="26"/>
      <c r="N2262" s="26"/>
      <c r="O2262" s="93"/>
      <c r="P2262" s="95"/>
      <c r="Q2262" s="197"/>
    </row>
    <row r="2263" spans="3:17" x14ac:dyDescent="0.25">
      <c r="C2263" s="199"/>
      <c r="D2263" s="112"/>
      <c r="E2263" s="33"/>
      <c r="F2263" s="105"/>
      <c r="H2263" s="116"/>
      <c r="I2263" s="26"/>
      <c r="J2263" s="98"/>
      <c r="K2263" s="36"/>
      <c r="L2263" s="26"/>
      <c r="M2263" s="26"/>
      <c r="N2263" s="26"/>
      <c r="O2263" s="93"/>
      <c r="P2263" s="95"/>
      <c r="Q2263" s="197"/>
    </row>
    <row r="2264" spans="3:17" x14ac:dyDescent="0.25">
      <c r="C2264" s="199"/>
      <c r="D2264" s="112"/>
      <c r="E2264" s="33"/>
      <c r="F2264" s="105"/>
      <c r="H2264" s="116"/>
      <c r="I2264" s="26"/>
      <c r="J2264" s="98"/>
      <c r="K2264" s="36"/>
      <c r="L2264" s="26"/>
      <c r="M2264" s="26"/>
      <c r="N2264" s="26"/>
      <c r="O2264" s="93"/>
      <c r="P2264" s="95"/>
      <c r="Q2264" s="197"/>
    </row>
    <row r="2265" spans="3:17" x14ac:dyDescent="0.25">
      <c r="C2265" s="199"/>
      <c r="D2265" s="112"/>
      <c r="E2265" s="33"/>
      <c r="F2265" s="105"/>
      <c r="H2265" s="116"/>
      <c r="I2265" s="26"/>
      <c r="J2265" s="98"/>
      <c r="K2265" s="36"/>
      <c r="L2265" s="26"/>
      <c r="M2265" s="26"/>
      <c r="N2265" s="26"/>
      <c r="O2265" s="93"/>
      <c r="P2265" s="95"/>
      <c r="Q2265" s="197"/>
    </row>
    <row r="2266" spans="3:17" x14ac:dyDescent="0.25">
      <c r="C2266" s="199"/>
      <c r="D2266" s="112"/>
      <c r="E2266" s="33"/>
      <c r="F2266" s="105"/>
      <c r="H2266" s="116"/>
      <c r="I2266" s="26"/>
      <c r="J2266" s="98"/>
      <c r="K2266" s="36"/>
      <c r="L2266" s="26"/>
      <c r="M2266" s="26"/>
      <c r="N2266" s="26"/>
      <c r="O2266" s="93"/>
      <c r="P2266" s="95"/>
      <c r="Q2266" s="197"/>
    </row>
    <row r="2267" spans="3:17" x14ac:dyDescent="0.25">
      <c r="C2267" s="199"/>
      <c r="D2267" s="112"/>
      <c r="E2267" s="33"/>
      <c r="F2267" s="105"/>
      <c r="H2267" s="116"/>
      <c r="I2267" s="26"/>
      <c r="J2267" s="98"/>
      <c r="K2267" s="36"/>
      <c r="L2267" s="26"/>
      <c r="M2267" s="26"/>
      <c r="N2267" s="26"/>
      <c r="O2267" s="93"/>
      <c r="P2267" s="95"/>
      <c r="Q2267" s="197"/>
    </row>
    <row r="2268" spans="3:17" x14ac:dyDescent="0.25">
      <c r="C2268" s="199"/>
      <c r="D2268" s="112"/>
      <c r="E2268" s="33"/>
      <c r="F2268" s="105"/>
      <c r="H2268" s="116"/>
      <c r="I2268" s="26"/>
      <c r="J2268" s="98"/>
      <c r="K2268" s="36"/>
      <c r="L2268" s="26"/>
      <c r="M2268" s="26"/>
      <c r="N2268" s="26"/>
      <c r="O2268" s="93"/>
      <c r="P2268" s="95"/>
      <c r="Q2268" s="197"/>
    </row>
    <row r="2269" spans="3:17" x14ac:dyDescent="0.25">
      <c r="C2269" s="199"/>
      <c r="D2269" s="112"/>
      <c r="E2269" s="33"/>
      <c r="F2269" s="105"/>
      <c r="H2269" s="116"/>
      <c r="I2269" s="26"/>
      <c r="J2269" s="98"/>
      <c r="K2269" s="36"/>
      <c r="L2269" s="26"/>
      <c r="M2269" s="26"/>
      <c r="N2269" s="26"/>
      <c r="O2269" s="93"/>
      <c r="P2269" s="95"/>
      <c r="Q2269" s="197"/>
    </row>
    <row r="2270" spans="3:17" x14ac:dyDescent="0.25">
      <c r="C2270" s="199"/>
      <c r="D2270" s="112"/>
      <c r="E2270" s="33"/>
      <c r="F2270" s="105"/>
      <c r="H2270" s="116"/>
      <c r="I2270" s="26"/>
      <c r="J2270" s="98"/>
      <c r="K2270" s="36"/>
      <c r="L2270" s="26"/>
      <c r="M2270" s="26"/>
      <c r="N2270" s="26"/>
      <c r="O2270" s="93"/>
      <c r="P2270" s="95"/>
      <c r="Q2270" s="197"/>
    </row>
    <row r="2271" spans="3:17" x14ac:dyDescent="0.25">
      <c r="C2271" s="199"/>
      <c r="D2271" s="112"/>
      <c r="E2271" s="33"/>
      <c r="F2271" s="105"/>
      <c r="H2271" s="116"/>
      <c r="I2271" s="26"/>
      <c r="J2271" s="98"/>
      <c r="K2271" s="36"/>
      <c r="L2271" s="26"/>
      <c r="M2271" s="26"/>
      <c r="N2271" s="26"/>
      <c r="O2271" s="93"/>
      <c r="P2271" s="95"/>
      <c r="Q2271" s="197"/>
    </row>
    <row r="2272" spans="3:17" x14ac:dyDescent="0.25">
      <c r="C2272" s="199"/>
      <c r="D2272" s="112"/>
      <c r="E2272" s="33"/>
      <c r="F2272" s="105"/>
      <c r="H2272" s="116"/>
      <c r="I2272" s="26"/>
      <c r="J2272" s="98"/>
      <c r="K2272" s="36"/>
      <c r="L2272" s="26"/>
      <c r="M2272" s="26"/>
      <c r="N2272" s="26"/>
      <c r="O2272" s="93"/>
      <c r="P2272" s="95"/>
      <c r="Q2272" s="197"/>
    </row>
    <row r="2273" spans="3:17" x14ac:dyDescent="0.25">
      <c r="C2273" s="199"/>
      <c r="D2273" s="112"/>
      <c r="E2273" s="33"/>
      <c r="F2273" s="105"/>
      <c r="H2273" s="116"/>
      <c r="I2273" s="26"/>
      <c r="J2273" s="98"/>
      <c r="K2273" s="36"/>
      <c r="L2273" s="26"/>
      <c r="M2273" s="26"/>
      <c r="N2273" s="26"/>
      <c r="O2273" s="93"/>
      <c r="P2273" s="95"/>
      <c r="Q2273" s="197"/>
    </row>
    <row r="2274" spans="3:17" x14ac:dyDescent="0.25">
      <c r="C2274" s="199"/>
      <c r="D2274" s="112"/>
      <c r="E2274" s="33"/>
      <c r="F2274" s="105"/>
      <c r="H2274" s="116"/>
      <c r="I2274" s="26"/>
      <c r="J2274" s="98"/>
      <c r="K2274" s="36"/>
      <c r="L2274" s="26"/>
      <c r="M2274" s="26"/>
      <c r="N2274" s="26"/>
      <c r="O2274" s="93"/>
      <c r="P2274" s="95"/>
      <c r="Q2274" s="197"/>
    </row>
    <row r="2275" spans="3:17" x14ac:dyDescent="0.25">
      <c r="C2275" s="199"/>
      <c r="D2275" s="112"/>
      <c r="E2275" s="33"/>
      <c r="F2275" s="105"/>
      <c r="H2275" s="116"/>
      <c r="I2275" s="26"/>
      <c r="J2275" s="98"/>
      <c r="K2275" s="36"/>
      <c r="L2275" s="26"/>
      <c r="M2275" s="26"/>
      <c r="N2275" s="26"/>
      <c r="O2275" s="93"/>
      <c r="P2275" s="95"/>
      <c r="Q2275" s="197"/>
    </row>
    <row r="2276" spans="3:17" x14ac:dyDescent="0.25">
      <c r="C2276" s="199"/>
      <c r="D2276" s="112"/>
      <c r="E2276" s="33"/>
      <c r="F2276" s="105"/>
      <c r="H2276" s="116"/>
      <c r="I2276" s="26"/>
      <c r="J2276" s="98"/>
      <c r="K2276" s="36"/>
      <c r="L2276" s="26"/>
      <c r="M2276" s="26"/>
      <c r="N2276" s="26"/>
      <c r="O2276" s="93"/>
      <c r="P2276" s="95"/>
      <c r="Q2276" s="197"/>
    </row>
    <row r="2277" spans="3:17" x14ac:dyDescent="0.25">
      <c r="C2277" s="199"/>
      <c r="D2277" s="112"/>
      <c r="E2277" s="33"/>
      <c r="F2277" s="105"/>
      <c r="H2277" s="116"/>
      <c r="I2277" s="26"/>
      <c r="J2277" s="98"/>
      <c r="K2277" s="36"/>
      <c r="L2277" s="26"/>
      <c r="M2277" s="26"/>
      <c r="N2277" s="26"/>
      <c r="O2277" s="93"/>
      <c r="P2277" s="95"/>
      <c r="Q2277" s="197"/>
    </row>
    <row r="2278" spans="3:17" x14ac:dyDescent="0.25">
      <c r="C2278" s="199"/>
      <c r="D2278" s="112"/>
      <c r="E2278" s="33"/>
      <c r="F2278" s="105"/>
      <c r="H2278" s="116"/>
      <c r="I2278" s="26"/>
      <c r="J2278" s="98"/>
      <c r="K2278" s="36"/>
      <c r="L2278" s="26"/>
      <c r="M2278" s="26"/>
      <c r="N2278" s="26"/>
      <c r="O2278" s="93"/>
      <c r="P2278" s="95"/>
      <c r="Q2278" s="197"/>
    </row>
    <row r="2279" spans="3:17" x14ac:dyDescent="0.25">
      <c r="C2279" s="199"/>
      <c r="D2279" s="112"/>
      <c r="E2279" s="33"/>
      <c r="F2279" s="105"/>
      <c r="H2279" s="116"/>
      <c r="I2279" s="26"/>
      <c r="J2279" s="98"/>
      <c r="K2279" s="36"/>
      <c r="L2279" s="26"/>
      <c r="M2279" s="26"/>
      <c r="N2279" s="26"/>
      <c r="O2279" s="93"/>
      <c r="P2279" s="95"/>
      <c r="Q2279" s="197"/>
    </row>
    <row r="2280" spans="3:17" x14ac:dyDescent="0.25">
      <c r="C2280" s="199"/>
      <c r="D2280" s="112"/>
      <c r="E2280" s="33"/>
      <c r="F2280" s="105"/>
      <c r="H2280" s="116"/>
      <c r="I2280" s="26"/>
      <c r="J2280" s="98"/>
      <c r="K2280" s="36"/>
      <c r="L2280" s="26"/>
      <c r="M2280" s="26"/>
      <c r="N2280" s="26"/>
      <c r="O2280" s="93"/>
      <c r="P2280" s="95"/>
      <c r="Q2280" s="197"/>
    </row>
    <row r="2281" spans="3:17" x14ac:dyDescent="0.25">
      <c r="C2281" s="199"/>
      <c r="D2281" s="112"/>
      <c r="E2281" s="33"/>
      <c r="F2281" s="105"/>
      <c r="H2281" s="116"/>
      <c r="I2281" s="26"/>
      <c r="J2281" s="98"/>
      <c r="K2281" s="36"/>
      <c r="L2281" s="26"/>
      <c r="M2281" s="26"/>
      <c r="N2281" s="26"/>
      <c r="O2281" s="93"/>
      <c r="P2281" s="95"/>
      <c r="Q2281" s="197"/>
    </row>
    <row r="2282" spans="3:17" x14ac:dyDescent="0.25">
      <c r="C2282" s="199"/>
      <c r="D2282" s="112"/>
      <c r="E2282" s="33"/>
      <c r="F2282" s="105"/>
      <c r="H2282" s="116"/>
      <c r="I2282" s="26"/>
      <c r="J2282" s="98"/>
      <c r="K2282" s="36"/>
      <c r="L2282" s="26"/>
      <c r="M2282" s="26"/>
      <c r="N2282" s="26"/>
      <c r="O2282" s="93"/>
      <c r="P2282" s="95"/>
      <c r="Q2282" s="197"/>
    </row>
    <row r="2283" spans="3:17" x14ac:dyDescent="0.25">
      <c r="C2283" s="199"/>
      <c r="D2283" s="112"/>
      <c r="E2283" s="33"/>
      <c r="F2283" s="105"/>
      <c r="H2283" s="116"/>
      <c r="I2283" s="26"/>
      <c r="J2283" s="98"/>
      <c r="K2283" s="36"/>
      <c r="L2283" s="26"/>
      <c r="M2283" s="26"/>
      <c r="N2283" s="26"/>
      <c r="O2283" s="93"/>
      <c r="P2283" s="95"/>
      <c r="Q2283" s="197"/>
    </row>
    <row r="2284" spans="3:17" x14ac:dyDescent="0.25">
      <c r="C2284" s="199"/>
      <c r="D2284" s="112"/>
      <c r="E2284" s="33"/>
      <c r="F2284" s="105"/>
      <c r="H2284" s="116"/>
      <c r="I2284" s="26"/>
      <c r="J2284" s="98"/>
      <c r="K2284" s="36"/>
      <c r="L2284" s="26"/>
      <c r="M2284" s="26"/>
      <c r="N2284" s="26"/>
      <c r="O2284" s="93"/>
      <c r="P2284" s="95"/>
      <c r="Q2284" s="197"/>
    </row>
    <row r="2285" spans="3:17" x14ac:dyDescent="0.25">
      <c r="C2285" s="199"/>
      <c r="D2285" s="112"/>
      <c r="E2285" s="33"/>
      <c r="F2285" s="105"/>
      <c r="H2285" s="116"/>
      <c r="I2285" s="26"/>
      <c r="J2285" s="98"/>
      <c r="K2285" s="36"/>
      <c r="L2285" s="26"/>
      <c r="M2285" s="26"/>
      <c r="N2285" s="26"/>
      <c r="O2285" s="93"/>
      <c r="P2285" s="95"/>
      <c r="Q2285" s="197"/>
    </row>
    <row r="2286" spans="3:17" x14ac:dyDescent="0.25">
      <c r="C2286" s="199"/>
      <c r="D2286" s="112"/>
      <c r="E2286" s="33"/>
      <c r="F2286" s="105"/>
      <c r="H2286" s="116"/>
      <c r="I2286" s="26"/>
      <c r="J2286" s="98"/>
      <c r="K2286" s="36"/>
      <c r="L2286" s="26"/>
      <c r="M2286" s="26"/>
      <c r="N2286" s="26"/>
      <c r="O2286" s="93"/>
      <c r="P2286" s="95"/>
      <c r="Q2286" s="197"/>
    </row>
    <row r="2287" spans="3:17" x14ac:dyDescent="0.25">
      <c r="C2287" s="199"/>
      <c r="D2287" s="112"/>
      <c r="E2287" s="33"/>
      <c r="F2287" s="105"/>
      <c r="H2287" s="116"/>
      <c r="I2287" s="26"/>
      <c r="J2287" s="98"/>
      <c r="K2287" s="36"/>
      <c r="L2287" s="26"/>
      <c r="M2287" s="26"/>
      <c r="N2287" s="26"/>
      <c r="O2287" s="93"/>
      <c r="P2287" s="95"/>
      <c r="Q2287" s="197"/>
    </row>
    <row r="2288" spans="3:17" x14ac:dyDescent="0.25">
      <c r="C2288" s="199"/>
      <c r="D2288" s="112"/>
      <c r="E2288" s="33"/>
      <c r="F2288" s="105"/>
      <c r="H2288" s="116"/>
      <c r="I2288" s="26"/>
      <c r="J2288" s="98"/>
      <c r="K2288" s="36"/>
      <c r="L2288" s="26"/>
      <c r="M2288" s="26"/>
      <c r="N2288" s="26"/>
      <c r="O2288" s="93"/>
      <c r="P2288" s="95"/>
      <c r="Q2288" s="197"/>
    </row>
    <row r="2289" spans="3:17" x14ac:dyDescent="0.25">
      <c r="C2289" s="199"/>
      <c r="D2289" s="112"/>
      <c r="E2289" s="33"/>
      <c r="F2289" s="105"/>
      <c r="H2289" s="116"/>
      <c r="I2289" s="26"/>
      <c r="J2289" s="98"/>
      <c r="K2289" s="36"/>
      <c r="L2289" s="26"/>
      <c r="M2289" s="26"/>
      <c r="N2289" s="26"/>
      <c r="O2289" s="93"/>
      <c r="P2289" s="95"/>
      <c r="Q2289" s="197"/>
    </row>
    <row r="2290" spans="3:17" x14ac:dyDescent="0.25">
      <c r="C2290" s="199"/>
      <c r="D2290" s="112"/>
      <c r="E2290" s="33"/>
      <c r="F2290" s="105"/>
      <c r="H2290" s="116"/>
      <c r="I2290" s="26"/>
      <c r="J2290" s="98"/>
      <c r="K2290" s="36"/>
      <c r="L2290" s="26"/>
      <c r="M2290" s="26"/>
      <c r="N2290" s="26"/>
      <c r="O2290" s="93"/>
      <c r="P2290" s="95"/>
      <c r="Q2290" s="197"/>
    </row>
    <row r="2291" spans="3:17" x14ac:dyDescent="0.25">
      <c r="C2291" s="199"/>
      <c r="D2291" s="112"/>
      <c r="E2291" s="33"/>
      <c r="F2291" s="105"/>
      <c r="H2291" s="116"/>
      <c r="I2291" s="26"/>
      <c r="J2291" s="98"/>
      <c r="K2291" s="36"/>
      <c r="L2291" s="26"/>
      <c r="M2291" s="26"/>
      <c r="N2291" s="26"/>
      <c r="O2291" s="93"/>
      <c r="P2291" s="95"/>
      <c r="Q2291" s="197"/>
    </row>
    <row r="2292" spans="3:17" x14ac:dyDescent="0.25">
      <c r="C2292" s="199"/>
      <c r="D2292" s="112"/>
      <c r="E2292" s="33"/>
      <c r="F2292" s="105"/>
      <c r="H2292" s="116"/>
      <c r="I2292" s="26"/>
      <c r="J2292" s="98"/>
      <c r="K2292" s="36"/>
      <c r="L2292" s="26"/>
      <c r="M2292" s="26"/>
      <c r="N2292" s="26"/>
      <c r="O2292" s="93"/>
      <c r="P2292" s="95"/>
      <c r="Q2292" s="197"/>
    </row>
    <row r="2293" spans="3:17" x14ac:dyDescent="0.25">
      <c r="C2293" s="199"/>
      <c r="D2293" s="112"/>
      <c r="E2293" s="33"/>
      <c r="F2293" s="105"/>
      <c r="H2293" s="116"/>
      <c r="I2293" s="26"/>
      <c r="J2293" s="98"/>
      <c r="K2293" s="36"/>
      <c r="L2293" s="26"/>
      <c r="M2293" s="26"/>
      <c r="N2293" s="26"/>
      <c r="O2293" s="93"/>
      <c r="P2293" s="95"/>
      <c r="Q2293" s="197"/>
    </row>
    <row r="2294" spans="3:17" x14ac:dyDescent="0.25">
      <c r="C2294" s="199"/>
      <c r="D2294" s="112"/>
      <c r="E2294" s="33"/>
      <c r="F2294" s="105"/>
      <c r="H2294" s="116"/>
      <c r="I2294" s="26"/>
      <c r="J2294" s="98"/>
      <c r="K2294" s="36"/>
      <c r="L2294" s="26"/>
      <c r="M2294" s="26"/>
      <c r="N2294" s="26"/>
      <c r="O2294" s="93"/>
      <c r="P2294" s="95"/>
      <c r="Q2294" s="197"/>
    </row>
    <row r="2295" spans="3:17" x14ac:dyDescent="0.25">
      <c r="C2295" s="199"/>
      <c r="D2295" s="112"/>
      <c r="E2295" s="33"/>
      <c r="F2295" s="105"/>
      <c r="H2295" s="116"/>
      <c r="I2295" s="26"/>
      <c r="J2295" s="98"/>
      <c r="K2295" s="36"/>
      <c r="L2295" s="26"/>
      <c r="M2295" s="26"/>
      <c r="N2295" s="26"/>
      <c r="O2295" s="93"/>
      <c r="P2295" s="95"/>
      <c r="Q2295" s="197"/>
    </row>
    <row r="2296" spans="3:17" x14ac:dyDescent="0.25">
      <c r="C2296" s="199"/>
      <c r="D2296" s="112"/>
      <c r="E2296" s="33"/>
      <c r="F2296" s="105"/>
      <c r="H2296" s="116"/>
      <c r="I2296" s="26"/>
      <c r="J2296" s="98"/>
      <c r="K2296" s="36"/>
      <c r="L2296" s="26"/>
      <c r="M2296" s="26"/>
      <c r="N2296" s="26"/>
      <c r="O2296" s="93"/>
      <c r="P2296" s="95"/>
      <c r="Q2296" s="197"/>
    </row>
    <row r="2297" spans="3:17" x14ac:dyDescent="0.25">
      <c r="C2297" s="199"/>
      <c r="D2297" s="112"/>
      <c r="E2297" s="33"/>
      <c r="F2297" s="105"/>
      <c r="H2297" s="116"/>
      <c r="I2297" s="26"/>
      <c r="J2297" s="98"/>
      <c r="K2297" s="36"/>
      <c r="L2297" s="26"/>
      <c r="M2297" s="26"/>
      <c r="N2297" s="26"/>
      <c r="O2297" s="93"/>
      <c r="P2297" s="95"/>
      <c r="Q2297" s="197"/>
    </row>
    <row r="2298" spans="3:17" x14ac:dyDescent="0.25">
      <c r="C2298" s="199"/>
      <c r="D2298" s="112"/>
      <c r="E2298" s="33"/>
      <c r="F2298" s="105"/>
      <c r="H2298" s="116"/>
      <c r="I2298" s="26"/>
      <c r="J2298" s="98"/>
      <c r="K2298" s="36"/>
      <c r="L2298" s="26"/>
      <c r="M2298" s="26"/>
      <c r="N2298" s="26"/>
      <c r="O2298" s="93"/>
      <c r="P2298" s="95"/>
      <c r="Q2298" s="197"/>
    </row>
    <row r="2299" spans="3:17" x14ac:dyDescent="0.25">
      <c r="C2299" s="199"/>
      <c r="D2299" s="112"/>
      <c r="E2299" s="33"/>
      <c r="F2299" s="105"/>
      <c r="H2299" s="116"/>
      <c r="I2299" s="26"/>
      <c r="J2299" s="98"/>
      <c r="K2299" s="36"/>
      <c r="L2299" s="26"/>
      <c r="M2299" s="26"/>
      <c r="N2299" s="26"/>
      <c r="O2299" s="93"/>
      <c r="P2299" s="95"/>
      <c r="Q2299" s="197"/>
    </row>
    <row r="2300" spans="3:17" x14ac:dyDescent="0.25">
      <c r="C2300" s="199"/>
      <c r="D2300" s="112"/>
      <c r="E2300" s="33"/>
      <c r="F2300" s="105"/>
      <c r="H2300" s="116"/>
      <c r="I2300" s="26"/>
      <c r="J2300" s="98"/>
      <c r="K2300" s="36"/>
      <c r="L2300" s="26"/>
      <c r="M2300" s="26"/>
      <c r="N2300" s="26"/>
      <c r="O2300" s="93"/>
      <c r="P2300" s="95"/>
      <c r="Q2300" s="197"/>
    </row>
    <row r="2301" spans="3:17" x14ac:dyDescent="0.25">
      <c r="C2301" s="199"/>
      <c r="D2301" s="112"/>
      <c r="E2301" s="33"/>
      <c r="F2301" s="105"/>
      <c r="H2301" s="116"/>
      <c r="I2301" s="26"/>
      <c r="J2301" s="98"/>
      <c r="K2301" s="36"/>
      <c r="L2301" s="26"/>
      <c r="M2301" s="26"/>
      <c r="N2301" s="26"/>
      <c r="O2301" s="93"/>
      <c r="P2301" s="95"/>
      <c r="Q2301" s="197"/>
    </row>
    <row r="2302" spans="3:17" x14ac:dyDescent="0.25">
      <c r="C2302" s="199"/>
      <c r="D2302" s="112"/>
      <c r="E2302" s="33"/>
      <c r="F2302" s="105"/>
      <c r="H2302" s="116"/>
      <c r="I2302" s="26"/>
      <c r="J2302" s="98"/>
      <c r="K2302" s="36"/>
      <c r="L2302" s="26"/>
      <c r="M2302" s="26"/>
      <c r="N2302" s="26"/>
      <c r="O2302" s="93"/>
      <c r="P2302" s="95"/>
      <c r="Q2302" s="197"/>
    </row>
    <row r="2303" spans="3:17" x14ac:dyDescent="0.25">
      <c r="C2303" s="199"/>
      <c r="D2303" s="112"/>
      <c r="E2303" s="33"/>
      <c r="F2303" s="105"/>
      <c r="H2303" s="116"/>
      <c r="I2303" s="26"/>
      <c r="J2303" s="98"/>
      <c r="K2303" s="36"/>
      <c r="L2303" s="26"/>
      <c r="M2303" s="26"/>
      <c r="N2303" s="26"/>
      <c r="O2303" s="93"/>
      <c r="P2303" s="95"/>
      <c r="Q2303" s="197"/>
    </row>
    <row r="2304" spans="3:17" x14ac:dyDescent="0.25">
      <c r="C2304" s="199"/>
      <c r="D2304" s="112"/>
      <c r="E2304" s="33"/>
      <c r="F2304" s="105"/>
      <c r="H2304" s="116"/>
      <c r="I2304" s="26"/>
      <c r="J2304" s="98"/>
      <c r="K2304" s="36"/>
      <c r="L2304" s="26"/>
      <c r="M2304" s="26"/>
      <c r="N2304" s="26"/>
      <c r="O2304" s="93"/>
      <c r="P2304" s="95"/>
      <c r="Q2304" s="197"/>
    </row>
    <row r="2305" spans="3:17" x14ac:dyDescent="0.25">
      <c r="C2305" s="199"/>
      <c r="D2305" s="112"/>
      <c r="E2305" s="33"/>
      <c r="F2305" s="105"/>
      <c r="H2305" s="116"/>
      <c r="I2305" s="26"/>
      <c r="J2305" s="98"/>
      <c r="K2305" s="36"/>
      <c r="L2305" s="26"/>
      <c r="M2305" s="26"/>
      <c r="N2305" s="26"/>
      <c r="O2305" s="93"/>
      <c r="P2305" s="95"/>
      <c r="Q2305" s="197"/>
    </row>
    <row r="2306" spans="3:17" x14ac:dyDescent="0.25">
      <c r="C2306" s="199"/>
      <c r="D2306" s="112"/>
      <c r="E2306" s="33"/>
      <c r="F2306" s="105"/>
      <c r="H2306" s="116"/>
      <c r="I2306" s="26"/>
      <c r="J2306" s="98"/>
      <c r="K2306" s="36"/>
      <c r="L2306" s="26"/>
      <c r="M2306" s="26"/>
      <c r="N2306" s="26"/>
      <c r="O2306" s="93"/>
      <c r="P2306" s="95"/>
      <c r="Q2306" s="197"/>
    </row>
    <row r="2307" spans="3:17" x14ac:dyDescent="0.25">
      <c r="C2307" s="199"/>
      <c r="D2307" s="112"/>
      <c r="E2307" s="33"/>
      <c r="F2307" s="105"/>
      <c r="H2307" s="116"/>
      <c r="I2307" s="26"/>
      <c r="J2307" s="98"/>
      <c r="K2307" s="36"/>
      <c r="L2307" s="26"/>
      <c r="M2307" s="26"/>
      <c r="N2307" s="26"/>
      <c r="O2307" s="93"/>
      <c r="P2307" s="95"/>
      <c r="Q2307" s="197"/>
    </row>
    <row r="2308" spans="3:17" x14ac:dyDescent="0.25">
      <c r="C2308" s="199"/>
      <c r="D2308" s="112"/>
      <c r="E2308" s="33"/>
      <c r="F2308" s="105"/>
      <c r="H2308" s="116"/>
      <c r="I2308" s="26"/>
      <c r="J2308" s="98"/>
      <c r="K2308" s="36"/>
      <c r="L2308" s="26"/>
      <c r="M2308" s="26"/>
      <c r="N2308" s="26"/>
      <c r="O2308" s="93"/>
      <c r="P2308" s="95"/>
      <c r="Q2308" s="197"/>
    </row>
    <row r="2309" spans="3:17" x14ac:dyDescent="0.25">
      <c r="C2309" s="199"/>
      <c r="D2309" s="112"/>
      <c r="E2309" s="33"/>
      <c r="F2309" s="105"/>
      <c r="H2309" s="116"/>
      <c r="I2309" s="26"/>
      <c r="J2309" s="98"/>
      <c r="K2309" s="36"/>
      <c r="L2309" s="26"/>
      <c r="M2309" s="26"/>
      <c r="N2309" s="26"/>
      <c r="O2309" s="93"/>
      <c r="P2309" s="95"/>
      <c r="Q2309" s="197"/>
    </row>
    <row r="2310" spans="3:17" x14ac:dyDescent="0.25">
      <c r="C2310" s="199"/>
      <c r="D2310" s="112"/>
      <c r="E2310" s="33"/>
      <c r="F2310" s="105"/>
      <c r="H2310" s="116"/>
      <c r="I2310" s="26"/>
      <c r="J2310" s="98"/>
      <c r="K2310" s="36"/>
      <c r="L2310" s="26"/>
      <c r="M2310" s="26"/>
      <c r="N2310" s="26"/>
      <c r="O2310" s="93"/>
      <c r="P2310" s="95"/>
      <c r="Q2310" s="197"/>
    </row>
    <row r="2311" spans="3:17" x14ac:dyDescent="0.25">
      <c r="C2311" s="199"/>
      <c r="D2311" s="112"/>
      <c r="E2311" s="33"/>
      <c r="F2311" s="105"/>
      <c r="H2311" s="116"/>
      <c r="I2311" s="26"/>
      <c r="J2311" s="98"/>
      <c r="K2311" s="36"/>
      <c r="L2311" s="26"/>
      <c r="M2311" s="26"/>
      <c r="N2311" s="26"/>
      <c r="O2311" s="93"/>
      <c r="P2311" s="95"/>
      <c r="Q2311" s="197"/>
    </row>
    <row r="2312" spans="3:17" x14ac:dyDescent="0.25">
      <c r="C2312" s="199"/>
      <c r="D2312" s="112"/>
      <c r="E2312" s="33"/>
      <c r="F2312" s="105"/>
      <c r="H2312" s="116"/>
      <c r="I2312" s="26"/>
      <c r="J2312" s="98"/>
      <c r="K2312" s="36"/>
      <c r="L2312" s="26"/>
      <c r="M2312" s="26"/>
      <c r="N2312" s="26"/>
      <c r="O2312" s="93"/>
      <c r="P2312" s="95"/>
      <c r="Q2312" s="197"/>
    </row>
    <row r="2313" spans="3:17" x14ac:dyDescent="0.25">
      <c r="C2313" s="199"/>
      <c r="D2313" s="112"/>
      <c r="E2313" s="33"/>
      <c r="F2313" s="105"/>
      <c r="H2313" s="116"/>
      <c r="I2313" s="26"/>
      <c r="J2313" s="98"/>
      <c r="K2313" s="36"/>
      <c r="L2313" s="26"/>
      <c r="M2313" s="26"/>
      <c r="N2313" s="26"/>
      <c r="O2313" s="93"/>
      <c r="P2313" s="95"/>
      <c r="Q2313" s="197"/>
    </row>
    <row r="2314" spans="3:17" x14ac:dyDescent="0.25">
      <c r="C2314" s="199"/>
      <c r="D2314" s="112"/>
      <c r="E2314" s="33"/>
      <c r="F2314" s="105"/>
      <c r="H2314" s="116"/>
      <c r="I2314" s="26"/>
      <c r="J2314" s="98"/>
      <c r="K2314" s="36"/>
      <c r="L2314" s="26"/>
      <c r="M2314" s="26"/>
      <c r="N2314" s="26"/>
      <c r="O2314" s="93"/>
      <c r="P2314" s="95"/>
      <c r="Q2314" s="197"/>
    </row>
    <row r="2315" spans="3:17" x14ac:dyDescent="0.25">
      <c r="C2315" s="199"/>
      <c r="D2315" s="112"/>
      <c r="E2315" s="33"/>
      <c r="F2315" s="105"/>
      <c r="H2315" s="116"/>
      <c r="I2315" s="26"/>
      <c r="J2315" s="98"/>
      <c r="K2315" s="36"/>
      <c r="L2315" s="26"/>
      <c r="M2315" s="26"/>
      <c r="N2315" s="26"/>
      <c r="O2315" s="93"/>
      <c r="P2315" s="95"/>
      <c r="Q2315" s="197"/>
    </row>
    <row r="2316" spans="3:17" x14ac:dyDescent="0.25">
      <c r="C2316" s="199"/>
      <c r="D2316" s="112"/>
      <c r="E2316" s="33"/>
      <c r="F2316" s="105"/>
      <c r="H2316" s="116"/>
      <c r="I2316" s="26"/>
      <c r="J2316" s="98"/>
      <c r="K2316" s="36"/>
      <c r="L2316" s="26"/>
      <c r="M2316" s="26"/>
      <c r="N2316" s="26"/>
      <c r="O2316" s="93"/>
      <c r="P2316" s="95"/>
      <c r="Q2316" s="197"/>
    </row>
    <row r="2317" spans="3:17" x14ac:dyDescent="0.25">
      <c r="C2317" s="199"/>
      <c r="D2317" s="112"/>
      <c r="E2317" s="33"/>
      <c r="F2317" s="105"/>
      <c r="H2317" s="116"/>
      <c r="I2317" s="26"/>
      <c r="J2317" s="98"/>
      <c r="K2317" s="36"/>
      <c r="L2317" s="26"/>
      <c r="M2317" s="26"/>
      <c r="N2317" s="26"/>
      <c r="O2317" s="93"/>
      <c r="P2317" s="95"/>
      <c r="Q2317" s="197"/>
    </row>
    <row r="2318" spans="3:17" x14ac:dyDescent="0.25">
      <c r="C2318" s="199"/>
      <c r="D2318" s="112"/>
      <c r="E2318" s="33"/>
      <c r="F2318" s="105"/>
      <c r="H2318" s="116"/>
      <c r="I2318" s="26"/>
      <c r="J2318" s="98"/>
      <c r="K2318" s="36"/>
      <c r="L2318" s="26"/>
      <c r="M2318" s="26"/>
      <c r="N2318" s="26"/>
      <c r="O2318" s="93"/>
      <c r="P2318" s="95"/>
      <c r="Q2318" s="197"/>
    </row>
    <row r="2319" spans="3:17" x14ac:dyDescent="0.25">
      <c r="C2319" s="199"/>
      <c r="D2319" s="112"/>
      <c r="E2319" s="33"/>
      <c r="F2319" s="105"/>
      <c r="H2319" s="116"/>
      <c r="I2319" s="26"/>
      <c r="J2319" s="98"/>
      <c r="K2319" s="36"/>
      <c r="L2319" s="26"/>
      <c r="M2319" s="26"/>
      <c r="N2319" s="26"/>
      <c r="O2319" s="93"/>
      <c r="P2319" s="95"/>
      <c r="Q2319" s="197"/>
    </row>
    <row r="2320" spans="3:17" x14ac:dyDescent="0.25">
      <c r="C2320" s="199"/>
      <c r="D2320" s="112"/>
      <c r="E2320" s="33"/>
      <c r="F2320" s="105"/>
      <c r="H2320" s="116"/>
      <c r="I2320" s="26"/>
      <c r="J2320" s="98"/>
      <c r="K2320" s="36"/>
      <c r="L2320" s="26"/>
      <c r="M2320" s="26"/>
      <c r="N2320" s="26"/>
      <c r="O2320" s="93"/>
      <c r="P2320" s="95"/>
      <c r="Q2320" s="197"/>
    </row>
    <row r="2321" spans="3:17" x14ac:dyDescent="0.25">
      <c r="C2321" s="199"/>
      <c r="D2321" s="112"/>
      <c r="E2321" s="33"/>
      <c r="F2321" s="105"/>
      <c r="H2321" s="116"/>
      <c r="I2321" s="26"/>
      <c r="J2321" s="98"/>
      <c r="K2321" s="36"/>
      <c r="L2321" s="26"/>
      <c r="M2321" s="26"/>
      <c r="N2321" s="26"/>
      <c r="O2321" s="93"/>
      <c r="P2321" s="95"/>
      <c r="Q2321" s="197"/>
    </row>
    <row r="2322" spans="3:17" x14ac:dyDescent="0.25">
      <c r="C2322" s="199"/>
      <c r="D2322" s="112"/>
      <c r="E2322" s="33"/>
      <c r="F2322" s="105"/>
      <c r="H2322" s="116"/>
      <c r="I2322" s="26"/>
      <c r="J2322" s="98"/>
      <c r="K2322" s="36"/>
      <c r="L2322" s="26"/>
      <c r="M2322" s="26"/>
      <c r="N2322" s="26"/>
      <c r="O2322" s="93"/>
      <c r="P2322" s="95"/>
      <c r="Q2322" s="197"/>
    </row>
    <row r="2323" spans="3:17" x14ac:dyDescent="0.25">
      <c r="C2323" s="199"/>
      <c r="D2323" s="112"/>
      <c r="E2323" s="33"/>
      <c r="F2323" s="105"/>
      <c r="H2323" s="116"/>
      <c r="I2323" s="26"/>
      <c r="J2323" s="98"/>
      <c r="K2323" s="36"/>
      <c r="L2323" s="26"/>
      <c r="M2323" s="26"/>
      <c r="N2323" s="26"/>
      <c r="O2323" s="93"/>
      <c r="P2323" s="95"/>
      <c r="Q2323" s="197"/>
    </row>
    <row r="2324" spans="3:17" x14ac:dyDescent="0.25">
      <c r="C2324" s="199"/>
      <c r="D2324" s="112"/>
      <c r="E2324" s="33"/>
      <c r="F2324" s="105"/>
      <c r="H2324" s="116"/>
      <c r="I2324" s="26"/>
      <c r="J2324" s="98"/>
      <c r="K2324" s="36"/>
      <c r="L2324" s="26"/>
      <c r="M2324" s="26"/>
      <c r="N2324" s="26"/>
      <c r="O2324" s="93"/>
      <c r="P2324" s="95"/>
      <c r="Q2324" s="197"/>
    </row>
    <row r="2325" spans="3:17" x14ac:dyDescent="0.25">
      <c r="C2325" s="199"/>
      <c r="D2325" s="112"/>
      <c r="E2325" s="33"/>
      <c r="F2325" s="105"/>
      <c r="H2325" s="116"/>
      <c r="I2325" s="26"/>
      <c r="J2325" s="98"/>
      <c r="K2325" s="36"/>
      <c r="L2325" s="26"/>
      <c r="M2325" s="26"/>
      <c r="N2325" s="26"/>
      <c r="O2325" s="93"/>
      <c r="P2325" s="95"/>
      <c r="Q2325" s="197"/>
    </row>
    <row r="2326" spans="3:17" x14ac:dyDescent="0.25">
      <c r="C2326" s="199"/>
      <c r="D2326" s="112"/>
      <c r="E2326" s="33"/>
      <c r="F2326" s="105"/>
      <c r="H2326" s="116"/>
      <c r="I2326" s="26"/>
      <c r="J2326" s="98"/>
      <c r="K2326" s="36"/>
      <c r="L2326" s="26"/>
      <c r="M2326" s="26"/>
      <c r="N2326" s="26"/>
      <c r="O2326" s="93"/>
      <c r="P2326" s="95"/>
      <c r="Q2326" s="197"/>
    </row>
    <row r="2327" spans="3:17" x14ac:dyDescent="0.25">
      <c r="C2327" s="199"/>
      <c r="D2327" s="112"/>
      <c r="E2327" s="33"/>
      <c r="F2327" s="105"/>
      <c r="H2327" s="116"/>
      <c r="I2327" s="26"/>
      <c r="J2327" s="98"/>
      <c r="K2327" s="36"/>
      <c r="L2327" s="26"/>
      <c r="M2327" s="26"/>
      <c r="N2327" s="26"/>
      <c r="O2327" s="93"/>
      <c r="P2327" s="95"/>
      <c r="Q2327" s="197"/>
    </row>
    <row r="2328" spans="3:17" x14ac:dyDescent="0.25">
      <c r="C2328" s="199"/>
      <c r="D2328" s="112"/>
      <c r="E2328" s="33"/>
      <c r="F2328" s="105"/>
      <c r="H2328" s="116"/>
      <c r="I2328" s="26"/>
      <c r="J2328" s="98"/>
      <c r="K2328" s="36"/>
      <c r="L2328" s="26"/>
      <c r="M2328" s="26"/>
      <c r="N2328" s="26"/>
      <c r="O2328" s="93"/>
      <c r="P2328" s="95"/>
      <c r="Q2328" s="197"/>
    </row>
    <row r="2329" spans="3:17" x14ac:dyDescent="0.25">
      <c r="C2329" s="199"/>
      <c r="D2329" s="112"/>
      <c r="E2329" s="33"/>
      <c r="F2329" s="105"/>
      <c r="H2329" s="116"/>
      <c r="I2329" s="26"/>
      <c r="J2329" s="98"/>
      <c r="K2329" s="36"/>
      <c r="L2329" s="26"/>
      <c r="M2329" s="26"/>
      <c r="N2329" s="26"/>
      <c r="O2329" s="93"/>
      <c r="P2329" s="95"/>
      <c r="Q2329" s="197"/>
    </row>
    <row r="2330" spans="3:17" x14ac:dyDescent="0.25">
      <c r="C2330" s="199"/>
      <c r="D2330" s="112"/>
      <c r="E2330" s="33"/>
      <c r="F2330" s="105"/>
      <c r="H2330" s="116"/>
      <c r="I2330" s="26"/>
      <c r="J2330" s="98"/>
      <c r="K2330" s="36"/>
      <c r="L2330" s="26"/>
      <c r="M2330" s="26"/>
      <c r="N2330" s="26"/>
      <c r="O2330" s="93"/>
      <c r="P2330" s="95"/>
      <c r="Q2330" s="197"/>
    </row>
    <row r="2331" spans="3:17" x14ac:dyDescent="0.25">
      <c r="C2331" s="199"/>
      <c r="D2331" s="112"/>
      <c r="E2331" s="33"/>
      <c r="F2331" s="105"/>
      <c r="H2331" s="116"/>
      <c r="I2331" s="26"/>
      <c r="J2331" s="98"/>
      <c r="K2331" s="36"/>
      <c r="L2331" s="26"/>
      <c r="M2331" s="26"/>
      <c r="N2331" s="26"/>
      <c r="O2331" s="93"/>
      <c r="P2331" s="95"/>
      <c r="Q2331" s="197"/>
    </row>
    <row r="2332" spans="3:17" x14ac:dyDescent="0.25">
      <c r="C2332" s="199"/>
      <c r="D2332" s="112"/>
      <c r="E2332" s="33"/>
      <c r="F2332" s="105"/>
      <c r="H2332" s="116"/>
      <c r="I2332" s="26"/>
      <c r="J2332" s="98"/>
      <c r="K2332" s="36"/>
      <c r="L2332" s="26"/>
      <c r="M2332" s="26"/>
      <c r="N2332" s="26"/>
      <c r="O2332" s="93"/>
      <c r="P2332" s="95"/>
      <c r="Q2332" s="197"/>
    </row>
    <row r="2333" spans="3:17" x14ac:dyDescent="0.25">
      <c r="C2333" s="199"/>
      <c r="D2333" s="112"/>
      <c r="E2333" s="33"/>
      <c r="F2333" s="105"/>
      <c r="H2333" s="116"/>
      <c r="I2333" s="26"/>
      <c r="J2333" s="98"/>
      <c r="K2333" s="36"/>
      <c r="L2333" s="26"/>
      <c r="M2333" s="26"/>
      <c r="N2333" s="26"/>
      <c r="O2333" s="93"/>
      <c r="P2333" s="95"/>
      <c r="Q2333" s="197"/>
    </row>
    <row r="2334" spans="3:17" x14ac:dyDescent="0.25">
      <c r="C2334" s="199"/>
      <c r="D2334" s="112"/>
      <c r="E2334" s="33"/>
      <c r="F2334" s="105"/>
      <c r="H2334" s="116"/>
      <c r="I2334" s="26"/>
      <c r="J2334" s="98"/>
      <c r="K2334" s="36"/>
      <c r="L2334" s="26"/>
      <c r="M2334" s="26"/>
      <c r="N2334" s="26"/>
      <c r="O2334" s="93"/>
      <c r="P2334" s="95"/>
      <c r="Q2334" s="197"/>
    </row>
    <row r="2335" spans="3:17" x14ac:dyDescent="0.25">
      <c r="C2335" s="199"/>
      <c r="D2335" s="112"/>
      <c r="E2335" s="33"/>
      <c r="F2335" s="105"/>
      <c r="H2335" s="116"/>
      <c r="I2335" s="26"/>
      <c r="J2335" s="98"/>
      <c r="K2335" s="36"/>
      <c r="L2335" s="26"/>
      <c r="M2335" s="26"/>
      <c r="N2335" s="26"/>
      <c r="O2335" s="93"/>
      <c r="P2335" s="95"/>
      <c r="Q2335" s="197"/>
    </row>
    <row r="2336" spans="3:17" x14ac:dyDescent="0.25">
      <c r="C2336" s="199"/>
      <c r="D2336" s="112"/>
      <c r="E2336" s="33"/>
      <c r="F2336" s="105"/>
      <c r="H2336" s="116"/>
      <c r="I2336" s="26"/>
      <c r="J2336" s="98"/>
      <c r="K2336" s="36"/>
      <c r="L2336" s="26"/>
      <c r="M2336" s="26"/>
      <c r="N2336" s="26"/>
      <c r="O2336" s="93"/>
      <c r="P2336" s="95"/>
      <c r="Q2336" s="197"/>
    </row>
    <row r="2337" spans="3:17" x14ac:dyDescent="0.25">
      <c r="C2337" s="199"/>
      <c r="D2337" s="112"/>
      <c r="E2337" s="33"/>
      <c r="F2337" s="105"/>
      <c r="H2337" s="116"/>
      <c r="I2337" s="26"/>
      <c r="J2337" s="98"/>
      <c r="K2337" s="36"/>
      <c r="L2337" s="26"/>
      <c r="M2337" s="26"/>
      <c r="N2337" s="26"/>
      <c r="O2337" s="93"/>
      <c r="P2337" s="95"/>
      <c r="Q2337" s="197"/>
    </row>
    <row r="2338" spans="3:17" x14ac:dyDescent="0.25">
      <c r="C2338" s="199"/>
      <c r="D2338" s="112"/>
      <c r="E2338" s="33"/>
      <c r="F2338" s="105"/>
      <c r="H2338" s="116"/>
      <c r="I2338" s="26"/>
      <c r="J2338" s="98"/>
      <c r="K2338" s="36"/>
      <c r="L2338" s="26"/>
      <c r="M2338" s="26"/>
      <c r="N2338" s="26"/>
      <c r="O2338" s="93"/>
      <c r="P2338" s="95"/>
      <c r="Q2338" s="197"/>
    </row>
    <row r="2339" spans="3:17" x14ac:dyDescent="0.25">
      <c r="C2339" s="199"/>
      <c r="D2339" s="112"/>
      <c r="E2339" s="33"/>
      <c r="F2339" s="105"/>
      <c r="H2339" s="116"/>
      <c r="I2339" s="26"/>
      <c r="J2339" s="98"/>
      <c r="K2339" s="36"/>
      <c r="L2339" s="26"/>
      <c r="M2339" s="26"/>
      <c r="N2339" s="26"/>
      <c r="O2339" s="93"/>
      <c r="P2339" s="95"/>
      <c r="Q2339" s="197"/>
    </row>
    <row r="2340" spans="3:17" x14ac:dyDescent="0.25">
      <c r="C2340" s="199"/>
      <c r="D2340" s="112"/>
      <c r="E2340" s="33"/>
      <c r="F2340" s="105"/>
      <c r="H2340" s="116"/>
      <c r="I2340" s="26"/>
      <c r="J2340" s="98"/>
      <c r="K2340" s="36"/>
      <c r="L2340" s="26"/>
      <c r="M2340" s="26"/>
      <c r="N2340" s="26"/>
      <c r="O2340" s="93"/>
      <c r="P2340" s="95"/>
      <c r="Q2340" s="197"/>
    </row>
    <row r="2341" spans="3:17" x14ac:dyDescent="0.25">
      <c r="C2341" s="199"/>
      <c r="D2341" s="112"/>
      <c r="E2341" s="33"/>
      <c r="F2341" s="105"/>
      <c r="H2341" s="116"/>
      <c r="I2341" s="26"/>
      <c r="J2341" s="98"/>
      <c r="K2341" s="36"/>
      <c r="L2341" s="26"/>
      <c r="M2341" s="26"/>
      <c r="N2341" s="26"/>
      <c r="O2341" s="93"/>
      <c r="P2341" s="95"/>
      <c r="Q2341" s="197"/>
    </row>
    <row r="2342" spans="3:17" x14ac:dyDescent="0.25">
      <c r="C2342" s="199"/>
      <c r="D2342" s="112"/>
      <c r="E2342" s="33"/>
      <c r="F2342" s="105"/>
      <c r="H2342" s="116"/>
      <c r="I2342" s="26"/>
      <c r="J2342" s="98"/>
      <c r="K2342" s="36"/>
      <c r="L2342" s="26"/>
      <c r="M2342" s="26"/>
      <c r="N2342" s="26"/>
      <c r="O2342" s="93"/>
      <c r="P2342" s="95"/>
      <c r="Q2342" s="197"/>
    </row>
    <row r="2343" spans="3:17" x14ac:dyDescent="0.25">
      <c r="C2343" s="199"/>
      <c r="D2343" s="112"/>
      <c r="E2343" s="33"/>
      <c r="F2343" s="105"/>
      <c r="H2343" s="116"/>
      <c r="I2343" s="26"/>
      <c r="J2343" s="98"/>
      <c r="K2343" s="36"/>
      <c r="L2343" s="26"/>
      <c r="M2343" s="26"/>
      <c r="N2343" s="26"/>
      <c r="O2343" s="93"/>
      <c r="P2343" s="95"/>
      <c r="Q2343" s="197"/>
    </row>
    <row r="2344" spans="3:17" x14ac:dyDescent="0.25">
      <c r="C2344" s="199"/>
      <c r="D2344" s="112"/>
      <c r="E2344" s="33"/>
      <c r="F2344" s="105"/>
      <c r="H2344" s="116"/>
      <c r="I2344" s="26"/>
      <c r="J2344" s="98"/>
      <c r="K2344" s="36"/>
      <c r="L2344" s="26"/>
      <c r="M2344" s="26"/>
      <c r="N2344" s="26"/>
      <c r="O2344" s="93"/>
      <c r="P2344" s="95"/>
      <c r="Q2344" s="197"/>
    </row>
    <row r="2345" spans="3:17" x14ac:dyDescent="0.25">
      <c r="C2345" s="199"/>
      <c r="D2345" s="112"/>
      <c r="E2345" s="33"/>
      <c r="F2345" s="105"/>
      <c r="H2345" s="116"/>
      <c r="I2345" s="26"/>
      <c r="J2345" s="98"/>
      <c r="K2345" s="36"/>
      <c r="L2345" s="26"/>
      <c r="M2345" s="26"/>
      <c r="N2345" s="26"/>
      <c r="O2345" s="93"/>
      <c r="P2345" s="95"/>
      <c r="Q2345" s="197"/>
    </row>
    <row r="2346" spans="3:17" x14ac:dyDescent="0.25">
      <c r="C2346" s="199"/>
      <c r="D2346" s="112"/>
      <c r="E2346" s="33"/>
      <c r="F2346" s="105"/>
      <c r="H2346" s="116"/>
      <c r="I2346" s="26"/>
      <c r="J2346" s="98"/>
      <c r="K2346" s="36"/>
      <c r="L2346" s="26"/>
      <c r="M2346" s="26"/>
      <c r="N2346" s="26"/>
      <c r="O2346" s="93"/>
      <c r="P2346" s="95"/>
      <c r="Q2346" s="197"/>
    </row>
    <row r="2347" spans="3:17" x14ac:dyDescent="0.25">
      <c r="C2347" s="199"/>
      <c r="D2347" s="112"/>
      <c r="E2347" s="33"/>
      <c r="F2347" s="105"/>
      <c r="H2347" s="116"/>
      <c r="I2347" s="26"/>
      <c r="J2347" s="98"/>
      <c r="K2347" s="36"/>
      <c r="L2347" s="26"/>
      <c r="M2347" s="26"/>
      <c r="N2347" s="26"/>
      <c r="O2347" s="93"/>
      <c r="P2347" s="95"/>
      <c r="Q2347" s="197"/>
    </row>
    <row r="2348" spans="3:17" x14ac:dyDescent="0.25">
      <c r="C2348" s="199"/>
      <c r="D2348" s="112"/>
      <c r="E2348" s="33"/>
      <c r="F2348" s="105"/>
      <c r="H2348" s="116"/>
      <c r="I2348" s="26"/>
      <c r="J2348" s="98"/>
      <c r="K2348" s="36"/>
      <c r="L2348" s="26"/>
      <c r="M2348" s="26"/>
      <c r="N2348" s="26"/>
      <c r="O2348" s="93"/>
      <c r="P2348" s="95"/>
      <c r="Q2348" s="197"/>
    </row>
    <row r="2349" spans="3:17" x14ac:dyDescent="0.25">
      <c r="C2349" s="199"/>
      <c r="D2349" s="112"/>
      <c r="E2349" s="33"/>
      <c r="F2349" s="105"/>
      <c r="H2349" s="116"/>
      <c r="I2349" s="26"/>
      <c r="J2349" s="98"/>
      <c r="K2349" s="36"/>
      <c r="L2349" s="26"/>
      <c r="M2349" s="26"/>
      <c r="N2349" s="26"/>
      <c r="O2349" s="93"/>
      <c r="P2349" s="95"/>
      <c r="Q2349" s="197"/>
    </row>
    <row r="2350" spans="3:17" x14ac:dyDescent="0.25">
      <c r="C2350" s="199"/>
      <c r="D2350" s="112"/>
      <c r="E2350" s="33"/>
      <c r="F2350" s="105"/>
      <c r="H2350" s="116"/>
      <c r="I2350" s="26"/>
      <c r="J2350" s="98"/>
      <c r="K2350" s="36"/>
      <c r="L2350" s="26"/>
      <c r="M2350" s="26"/>
      <c r="N2350" s="26"/>
      <c r="O2350" s="93"/>
      <c r="P2350" s="95"/>
      <c r="Q2350" s="197"/>
    </row>
    <row r="2351" spans="3:17" x14ac:dyDescent="0.25">
      <c r="C2351" s="199"/>
      <c r="D2351" s="112"/>
      <c r="E2351" s="33"/>
      <c r="F2351" s="105"/>
      <c r="H2351" s="116"/>
      <c r="I2351" s="26"/>
      <c r="J2351" s="98"/>
      <c r="K2351" s="36"/>
      <c r="L2351" s="26"/>
      <c r="M2351" s="26"/>
      <c r="N2351" s="26"/>
      <c r="O2351" s="93"/>
      <c r="P2351" s="95"/>
      <c r="Q2351" s="197"/>
    </row>
    <row r="2352" spans="3:17" x14ac:dyDescent="0.25">
      <c r="C2352" s="199"/>
      <c r="D2352" s="112"/>
      <c r="E2352" s="33"/>
      <c r="F2352" s="105"/>
      <c r="H2352" s="116"/>
      <c r="I2352" s="26"/>
      <c r="J2352" s="98"/>
      <c r="K2352" s="36"/>
      <c r="L2352" s="26"/>
      <c r="M2352" s="26"/>
      <c r="N2352" s="26"/>
      <c r="O2352" s="93"/>
      <c r="P2352" s="95"/>
      <c r="Q2352" s="197"/>
    </row>
    <row r="2353" spans="3:17" x14ac:dyDescent="0.25">
      <c r="C2353" s="199"/>
      <c r="D2353" s="112"/>
      <c r="E2353" s="33"/>
      <c r="F2353" s="105"/>
      <c r="H2353" s="116"/>
      <c r="I2353" s="26"/>
      <c r="J2353" s="98"/>
      <c r="K2353" s="36"/>
      <c r="L2353" s="26"/>
      <c r="M2353" s="26"/>
      <c r="N2353" s="26"/>
      <c r="O2353" s="93"/>
      <c r="P2353" s="95"/>
      <c r="Q2353" s="197"/>
    </row>
    <row r="2354" spans="3:17" x14ac:dyDescent="0.25">
      <c r="C2354" s="199"/>
      <c r="D2354" s="112"/>
      <c r="E2354" s="33"/>
      <c r="F2354" s="105"/>
      <c r="H2354" s="116"/>
      <c r="I2354" s="26"/>
      <c r="J2354" s="98"/>
      <c r="K2354" s="36"/>
      <c r="L2354" s="26"/>
      <c r="M2354" s="26"/>
      <c r="N2354" s="26"/>
      <c r="O2354" s="93"/>
      <c r="P2354" s="95"/>
      <c r="Q2354" s="197"/>
    </row>
    <row r="2355" spans="3:17" x14ac:dyDescent="0.25">
      <c r="C2355" s="199"/>
      <c r="D2355" s="112"/>
      <c r="E2355" s="33"/>
      <c r="F2355" s="105"/>
      <c r="H2355" s="116"/>
      <c r="I2355" s="26"/>
      <c r="J2355" s="98"/>
      <c r="K2355" s="36"/>
      <c r="L2355" s="26"/>
      <c r="M2355" s="26"/>
      <c r="N2355" s="26"/>
      <c r="O2355" s="93"/>
      <c r="P2355" s="95"/>
      <c r="Q2355" s="197"/>
    </row>
    <row r="2356" spans="3:17" x14ac:dyDescent="0.25">
      <c r="C2356" s="199"/>
      <c r="D2356" s="112"/>
      <c r="E2356" s="33"/>
      <c r="F2356" s="105"/>
      <c r="H2356" s="116"/>
      <c r="I2356" s="26"/>
      <c r="J2356" s="98"/>
      <c r="K2356" s="36"/>
      <c r="L2356" s="26"/>
      <c r="M2356" s="26"/>
      <c r="N2356" s="26"/>
      <c r="O2356" s="93"/>
      <c r="P2356" s="95"/>
      <c r="Q2356" s="197"/>
    </row>
    <row r="2357" spans="3:17" x14ac:dyDescent="0.25">
      <c r="C2357" s="199"/>
      <c r="D2357" s="112"/>
      <c r="E2357" s="33"/>
      <c r="F2357" s="105"/>
      <c r="H2357" s="116"/>
      <c r="I2357" s="26"/>
      <c r="J2357" s="98"/>
      <c r="K2357" s="36"/>
      <c r="L2357" s="26"/>
      <c r="M2357" s="26"/>
      <c r="N2357" s="26"/>
      <c r="O2357" s="93"/>
      <c r="P2357" s="95"/>
      <c r="Q2357" s="197"/>
    </row>
    <row r="2358" spans="3:17" x14ac:dyDescent="0.25">
      <c r="C2358" s="199"/>
      <c r="D2358" s="112"/>
      <c r="E2358" s="33"/>
      <c r="F2358" s="105"/>
      <c r="H2358" s="116"/>
      <c r="I2358" s="26"/>
      <c r="J2358" s="98"/>
      <c r="K2358" s="36"/>
      <c r="L2358" s="26"/>
      <c r="M2358" s="26"/>
      <c r="N2358" s="26"/>
      <c r="O2358" s="93"/>
      <c r="P2358" s="95"/>
      <c r="Q2358" s="197"/>
    </row>
    <row r="2359" spans="3:17" x14ac:dyDescent="0.25">
      <c r="C2359" s="199"/>
      <c r="D2359" s="112"/>
      <c r="E2359" s="33"/>
      <c r="F2359" s="105"/>
      <c r="H2359" s="116"/>
      <c r="I2359" s="26"/>
      <c r="J2359" s="98"/>
      <c r="K2359" s="36"/>
      <c r="L2359" s="26"/>
      <c r="M2359" s="26"/>
      <c r="N2359" s="26"/>
      <c r="O2359" s="93"/>
      <c r="P2359" s="95"/>
      <c r="Q2359" s="197"/>
    </row>
    <row r="2360" spans="3:17" x14ac:dyDescent="0.25">
      <c r="C2360" s="199"/>
      <c r="D2360" s="112"/>
      <c r="E2360" s="33"/>
      <c r="F2360" s="105"/>
      <c r="H2360" s="116"/>
      <c r="I2360" s="26"/>
      <c r="J2360" s="98"/>
      <c r="K2360" s="36"/>
      <c r="L2360" s="26"/>
      <c r="M2360" s="26"/>
      <c r="N2360" s="26"/>
      <c r="O2360" s="93"/>
      <c r="P2360" s="95"/>
      <c r="Q2360" s="197"/>
    </row>
    <row r="2361" spans="3:17" x14ac:dyDescent="0.25">
      <c r="C2361" s="199"/>
      <c r="D2361" s="112"/>
      <c r="E2361" s="33"/>
      <c r="F2361" s="105"/>
      <c r="H2361" s="116"/>
      <c r="I2361" s="26"/>
      <c r="J2361" s="98"/>
      <c r="K2361" s="36"/>
      <c r="L2361" s="26"/>
      <c r="M2361" s="26"/>
      <c r="N2361" s="26"/>
      <c r="O2361" s="93"/>
      <c r="P2361" s="95"/>
      <c r="Q2361" s="197"/>
    </row>
    <row r="2362" spans="3:17" x14ac:dyDescent="0.25">
      <c r="C2362" s="199"/>
      <c r="D2362" s="112"/>
      <c r="E2362" s="33"/>
      <c r="F2362" s="105"/>
      <c r="H2362" s="116"/>
      <c r="I2362" s="26"/>
      <c r="J2362" s="98"/>
      <c r="K2362" s="36"/>
      <c r="L2362" s="26"/>
      <c r="M2362" s="26"/>
      <c r="N2362" s="26"/>
      <c r="O2362" s="93"/>
      <c r="P2362" s="95"/>
      <c r="Q2362" s="197"/>
    </row>
    <row r="2363" spans="3:17" x14ac:dyDescent="0.25">
      <c r="C2363" s="199"/>
      <c r="D2363" s="112"/>
      <c r="E2363" s="33"/>
      <c r="F2363" s="105"/>
      <c r="H2363" s="116"/>
      <c r="I2363" s="26"/>
      <c r="J2363" s="98"/>
      <c r="K2363" s="36"/>
      <c r="L2363" s="26"/>
      <c r="M2363" s="26"/>
      <c r="N2363" s="26"/>
      <c r="O2363" s="93"/>
      <c r="P2363" s="95"/>
      <c r="Q2363" s="197"/>
    </row>
    <row r="2364" spans="3:17" x14ac:dyDescent="0.25">
      <c r="C2364" s="199"/>
      <c r="D2364" s="112"/>
      <c r="E2364" s="33"/>
      <c r="F2364" s="105"/>
      <c r="H2364" s="116"/>
      <c r="I2364" s="26"/>
      <c r="J2364" s="98"/>
      <c r="K2364" s="36"/>
      <c r="L2364" s="26"/>
      <c r="M2364" s="26"/>
      <c r="N2364" s="26"/>
      <c r="O2364" s="93"/>
      <c r="P2364" s="95"/>
      <c r="Q2364" s="197"/>
    </row>
    <row r="2365" spans="3:17" x14ac:dyDescent="0.25">
      <c r="C2365" s="199"/>
      <c r="D2365" s="112"/>
      <c r="E2365" s="33"/>
      <c r="F2365" s="105"/>
      <c r="H2365" s="116"/>
      <c r="I2365" s="26"/>
      <c r="J2365" s="98"/>
      <c r="K2365" s="36"/>
      <c r="L2365" s="26"/>
      <c r="M2365" s="26"/>
      <c r="N2365" s="26"/>
      <c r="O2365" s="93"/>
      <c r="P2365" s="95"/>
      <c r="Q2365" s="197"/>
    </row>
    <row r="2366" spans="3:17" x14ac:dyDescent="0.25">
      <c r="C2366" s="199"/>
      <c r="D2366" s="112"/>
      <c r="E2366" s="33"/>
      <c r="F2366" s="105"/>
      <c r="H2366" s="116"/>
      <c r="I2366" s="26"/>
      <c r="J2366" s="98"/>
      <c r="K2366" s="36"/>
      <c r="L2366" s="26"/>
      <c r="M2366" s="26"/>
      <c r="N2366" s="26"/>
      <c r="O2366" s="93"/>
      <c r="P2366" s="95"/>
      <c r="Q2366" s="197"/>
    </row>
    <row r="2367" spans="3:17" x14ac:dyDescent="0.25">
      <c r="C2367" s="199"/>
      <c r="D2367" s="112"/>
      <c r="E2367" s="33"/>
      <c r="F2367" s="105"/>
      <c r="H2367" s="116"/>
      <c r="I2367" s="26"/>
      <c r="J2367" s="98"/>
      <c r="K2367" s="36"/>
      <c r="L2367" s="26"/>
      <c r="M2367" s="26"/>
      <c r="N2367" s="26"/>
      <c r="O2367" s="93"/>
      <c r="P2367" s="95"/>
      <c r="Q2367" s="197"/>
    </row>
    <row r="2368" spans="3:17" x14ac:dyDescent="0.25">
      <c r="C2368" s="199"/>
      <c r="D2368" s="112"/>
      <c r="E2368" s="33"/>
      <c r="F2368" s="105"/>
      <c r="H2368" s="116"/>
      <c r="I2368" s="26"/>
      <c r="J2368" s="98"/>
      <c r="K2368" s="36"/>
      <c r="L2368" s="26"/>
      <c r="M2368" s="26"/>
      <c r="N2368" s="26"/>
      <c r="O2368" s="93"/>
      <c r="P2368" s="95"/>
      <c r="Q2368" s="197"/>
    </row>
    <row r="2369" spans="3:17" x14ac:dyDescent="0.25">
      <c r="C2369" s="199"/>
      <c r="D2369" s="112"/>
      <c r="E2369" s="33"/>
      <c r="F2369" s="105"/>
      <c r="H2369" s="116"/>
      <c r="I2369" s="26"/>
      <c r="J2369" s="98"/>
      <c r="K2369" s="36"/>
      <c r="L2369" s="26"/>
      <c r="M2369" s="26"/>
      <c r="N2369" s="26"/>
      <c r="O2369" s="93"/>
      <c r="P2369" s="95"/>
      <c r="Q2369" s="197"/>
    </row>
    <row r="2370" spans="3:17" x14ac:dyDescent="0.25">
      <c r="C2370" s="199"/>
      <c r="D2370" s="112"/>
      <c r="E2370" s="33"/>
      <c r="F2370" s="105"/>
      <c r="H2370" s="116"/>
      <c r="I2370" s="26"/>
      <c r="J2370" s="98"/>
      <c r="K2370" s="36"/>
      <c r="L2370" s="26"/>
      <c r="M2370" s="26"/>
      <c r="N2370" s="26"/>
      <c r="O2370" s="93"/>
      <c r="P2370" s="95"/>
      <c r="Q2370" s="197"/>
    </row>
    <row r="2371" spans="3:17" x14ac:dyDescent="0.25">
      <c r="C2371" s="199"/>
      <c r="D2371" s="112"/>
      <c r="E2371" s="33"/>
      <c r="F2371" s="105"/>
      <c r="H2371" s="116"/>
      <c r="I2371" s="26"/>
      <c r="J2371" s="98"/>
      <c r="K2371" s="36"/>
      <c r="L2371" s="26"/>
      <c r="M2371" s="26"/>
      <c r="N2371" s="26"/>
      <c r="O2371" s="93"/>
      <c r="P2371" s="95"/>
      <c r="Q2371" s="197"/>
    </row>
    <row r="2372" spans="3:17" x14ac:dyDescent="0.25">
      <c r="C2372" s="199"/>
      <c r="D2372" s="112"/>
      <c r="E2372" s="33"/>
      <c r="F2372" s="105"/>
      <c r="H2372" s="116"/>
      <c r="I2372" s="26"/>
      <c r="J2372" s="98"/>
      <c r="K2372" s="36"/>
      <c r="L2372" s="26"/>
      <c r="M2372" s="26"/>
      <c r="N2372" s="26"/>
      <c r="O2372" s="93"/>
      <c r="P2372" s="95"/>
      <c r="Q2372" s="197"/>
    </row>
    <row r="2373" spans="3:17" x14ac:dyDescent="0.25">
      <c r="C2373" s="199"/>
      <c r="D2373" s="112"/>
      <c r="E2373" s="33"/>
      <c r="F2373" s="105"/>
      <c r="H2373" s="116"/>
      <c r="I2373" s="26"/>
      <c r="J2373" s="98"/>
      <c r="K2373" s="36"/>
      <c r="L2373" s="26"/>
      <c r="M2373" s="26"/>
      <c r="N2373" s="26"/>
      <c r="O2373" s="93"/>
      <c r="P2373" s="95"/>
      <c r="Q2373" s="197"/>
    </row>
    <row r="2374" spans="3:17" x14ac:dyDescent="0.25">
      <c r="C2374" s="199"/>
      <c r="D2374" s="112"/>
      <c r="E2374" s="33"/>
      <c r="F2374" s="105"/>
      <c r="H2374" s="116"/>
      <c r="I2374" s="26"/>
      <c r="J2374" s="98"/>
      <c r="K2374" s="36"/>
      <c r="L2374" s="26"/>
      <c r="M2374" s="26"/>
      <c r="N2374" s="26"/>
      <c r="O2374" s="93"/>
      <c r="P2374" s="95"/>
      <c r="Q2374" s="197"/>
    </row>
    <row r="2375" spans="3:17" x14ac:dyDescent="0.25">
      <c r="C2375" s="199"/>
      <c r="D2375" s="112"/>
      <c r="E2375" s="33"/>
      <c r="F2375" s="105"/>
      <c r="H2375" s="116"/>
      <c r="I2375" s="26"/>
      <c r="J2375" s="98"/>
      <c r="K2375" s="36"/>
      <c r="L2375" s="26"/>
      <c r="M2375" s="26"/>
      <c r="N2375" s="26"/>
      <c r="O2375" s="93"/>
      <c r="P2375" s="95"/>
      <c r="Q2375" s="197"/>
    </row>
    <row r="2376" spans="3:17" x14ac:dyDescent="0.25">
      <c r="C2376" s="199"/>
      <c r="D2376" s="112"/>
      <c r="E2376" s="33"/>
      <c r="F2376" s="105"/>
      <c r="H2376" s="116"/>
      <c r="I2376" s="26"/>
      <c r="J2376" s="98"/>
      <c r="K2376" s="36"/>
      <c r="L2376" s="26"/>
      <c r="M2376" s="26"/>
      <c r="N2376" s="26"/>
      <c r="O2376" s="93"/>
      <c r="P2376" s="95"/>
      <c r="Q2376" s="197"/>
    </row>
    <row r="2377" spans="3:17" x14ac:dyDescent="0.25">
      <c r="C2377" s="199"/>
      <c r="D2377" s="112"/>
      <c r="E2377" s="33"/>
      <c r="F2377" s="105"/>
      <c r="H2377" s="116"/>
      <c r="I2377" s="26"/>
      <c r="J2377" s="98"/>
      <c r="K2377" s="36"/>
      <c r="L2377" s="26"/>
      <c r="M2377" s="26"/>
      <c r="N2377" s="26"/>
      <c r="O2377" s="93"/>
      <c r="P2377" s="95"/>
      <c r="Q2377" s="197"/>
    </row>
    <row r="2378" spans="3:17" x14ac:dyDescent="0.25">
      <c r="C2378" s="199"/>
      <c r="D2378" s="112"/>
      <c r="E2378" s="33"/>
      <c r="F2378" s="105"/>
      <c r="H2378" s="116"/>
      <c r="I2378" s="26"/>
      <c r="J2378" s="98"/>
      <c r="K2378" s="36"/>
      <c r="L2378" s="26"/>
      <c r="M2378" s="26"/>
      <c r="N2378" s="26"/>
      <c r="O2378" s="93"/>
      <c r="P2378" s="95"/>
      <c r="Q2378" s="197"/>
    </row>
    <row r="2379" spans="3:17" x14ac:dyDescent="0.25">
      <c r="C2379" s="199"/>
      <c r="D2379" s="112"/>
      <c r="E2379" s="33"/>
      <c r="F2379" s="105"/>
      <c r="H2379" s="116"/>
      <c r="I2379" s="26"/>
      <c r="J2379" s="98"/>
      <c r="K2379" s="36"/>
      <c r="L2379" s="26"/>
      <c r="M2379" s="26"/>
      <c r="N2379" s="26"/>
      <c r="O2379" s="93"/>
      <c r="P2379" s="95"/>
      <c r="Q2379" s="197"/>
    </row>
    <row r="2380" spans="3:17" x14ac:dyDescent="0.25">
      <c r="C2380" s="199"/>
      <c r="D2380" s="112"/>
      <c r="E2380" s="33"/>
      <c r="F2380" s="105"/>
      <c r="H2380" s="116"/>
      <c r="I2380" s="26"/>
      <c r="J2380" s="98"/>
      <c r="K2380" s="36"/>
      <c r="L2380" s="26"/>
      <c r="M2380" s="26"/>
      <c r="N2380" s="26"/>
      <c r="O2380" s="93"/>
      <c r="P2380" s="95"/>
      <c r="Q2380" s="197"/>
    </row>
    <row r="2381" spans="3:17" x14ac:dyDescent="0.25">
      <c r="C2381" s="199"/>
      <c r="D2381" s="112"/>
      <c r="E2381" s="33"/>
      <c r="F2381" s="105"/>
      <c r="H2381" s="116"/>
      <c r="I2381" s="26"/>
      <c r="J2381" s="98"/>
      <c r="K2381" s="36"/>
      <c r="L2381" s="26"/>
      <c r="M2381" s="26"/>
      <c r="N2381" s="26"/>
      <c r="O2381" s="93"/>
      <c r="P2381" s="95"/>
      <c r="Q2381" s="197"/>
    </row>
    <row r="2382" spans="3:17" x14ac:dyDescent="0.25">
      <c r="C2382" s="199"/>
      <c r="D2382" s="112"/>
      <c r="E2382" s="33"/>
      <c r="F2382" s="105"/>
      <c r="H2382" s="116"/>
      <c r="I2382" s="26"/>
      <c r="J2382" s="98"/>
      <c r="K2382" s="36"/>
      <c r="L2382" s="26"/>
      <c r="M2382" s="26"/>
      <c r="N2382" s="26"/>
      <c r="O2382" s="93"/>
      <c r="P2382" s="95"/>
      <c r="Q2382" s="197"/>
    </row>
    <row r="2383" spans="3:17" x14ac:dyDescent="0.25">
      <c r="C2383" s="199"/>
      <c r="D2383" s="112"/>
      <c r="E2383" s="33"/>
      <c r="F2383" s="105"/>
      <c r="H2383" s="116"/>
      <c r="I2383" s="26"/>
      <c r="J2383" s="98"/>
      <c r="K2383" s="36"/>
      <c r="L2383" s="26"/>
      <c r="M2383" s="26"/>
      <c r="N2383" s="26"/>
      <c r="O2383" s="93"/>
      <c r="P2383" s="95"/>
      <c r="Q2383" s="197"/>
    </row>
    <row r="2384" spans="3:17" x14ac:dyDescent="0.25">
      <c r="C2384" s="199"/>
      <c r="D2384" s="112"/>
      <c r="E2384" s="33"/>
      <c r="F2384" s="105"/>
      <c r="H2384" s="116"/>
      <c r="I2384" s="26"/>
      <c r="J2384" s="98"/>
      <c r="K2384" s="36"/>
      <c r="L2384" s="26"/>
      <c r="M2384" s="26"/>
      <c r="N2384" s="26"/>
      <c r="O2384" s="93"/>
      <c r="P2384" s="95"/>
      <c r="Q2384" s="197"/>
    </row>
    <row r="2385" spans="3:17" x14ac:dyDescent="0.25">
      <c r="C2385" s="199"/>
      <c r="D2385" s="112"/>
      <c r="E2385" s="33"/>
      <c r="F2385" s="105"/>
      <c r="H2385" s="116"/>
      <c r="I2385" s="26"/>
      <c r="J2385" s="98"/>
      <c r="K2385" s="36"/>
      <c r="L2385" s="26"/>
      <c r="M2385" s="26"/>
      <c r="N2385" s="26"/>
      <c r="O2385" s="93"/>
      <c r="P2385" s="95"/>
      <c r="Q2385" s="197"/>
    </row>
    <row r="2386" spans="3:17" x14ac:dyDescent="0.25">
      <c r="C2386" s="199"/>
      <c r="D2386" s="112"/>
      <c r="E2386" s="33"/>
      <c r="F2386" s="105"/>
      <c r="H2386" s="116"/>
      <c r="I2386" s="26"/>
      <c r="J2386" s="98"/>
      <c r="K2386" s="36"/>
      <c r="L2386" s="26"/>
      <c r="M2386" s="26"/>
      <c r="N2386" s="26"/>
      <c r="O2386" s="93"/>
      <c r="P2386" s="95"/>
      <c r="Q2386" s="197"/>
    </row>
    <row r="2387" spans="3:17" x14ac:dyDescent="0.25">
      <c r="C2387" s="199"/>
      <c r="D2387" s="112"/>
      <c r="E2387" s="33"/>
      <c r="F2387" s="105"/>
      <c r="H2387" s="116"/>
      <c r="I2387" s="26"/>
      <c r="J2387" s="98"/>
      <c r="K2387" s="36"/>
      <c r="L2387" s="26"/>
      <c r="M2387" s="26"/>
      <c r="N2387" s="26"/>
      <c r="O2387" s="93"/>
      <c r="P2387" s="95"/>
      <c r="Q2387" s="197"/>
    </row>
    <row r="2388" spans="3:17" x14ac:dyDescent="0.25">
      <c r="C2388" s="199"/>
      <c r="D2388" s="112"/>
      <c r="E2388" s="33"/>
      <c r="F2388" s="105"/>
      <c r="H2388" s="116"/>
      <c r="I2388" s="26"/>
      <c r="J2388" s="98"/>
      <c r="K2388" s="36"/>
      <c r="L2388" s="26"/>
      <c r="M2388" s="26"/>
      <c r="N2388" s="26"/>
      <c r="O2388" s="93"/>
      <c r="P2388" s="95"/>
      <c r="Q2388" s="197"/>
    </row>
    <row r="2389" spans="3:17" x14ac:dyDescent="0.25">
      <c r="C2389" s="199"/>
      <c r="D2389" s="112"/>
      <c r="E2389" s="33"/>
      <c r="F2389" s="105"/>
      <c r="H2389" s="116"/>
      <c r="I2389" s="26"/>
      <c r="J2389" s="98"/>
      <c r="K2389" s="36"/>
      <c r="L2389" s="26"/>
      <c r="M2389" s="26"/>
      <c r="N2389" s="26"/>
      <c r="O2389" s="93"/>
      <c r="P2389" s="95"/>
      <c r="Q2389" s="197"/>
    </row>
    <row r="2390" spans="3:17" x14ac:dyDescent="0.25">
      <c r="C2390" s="199"/>
      <c r="D2390" s="112"/>
      <c r="E2390" s="33"/>
      <c r="F2390" s="105"/>
      <c r="H2390" s="116"/>
      <c r="I2390" s="26"/>
      <c r="J2390" s="98"/>
      <c r="K2390" s="36"/>
      <c r="L2390" s="26"/>
      <c r="M2390" s="26"/>
      <c r="N2390" s="26"/>
      <c r="O2390" s="93"/>
      <c r="P2390" s="95"/>
      <c r="Q2390" s="197"/>
    </row>
    <row r="2391" spans="3:17" x14ac:dyDescent="0.25">
      <c r="C2391" s="199"/>
      <c r="D2391" s="112"/>
      <c r="E2391" s="33"/>
      <c r="F2391" s="105"/>
      <c r="H2391" s="116"/>
      <c r="I2391" s="26"/>
      <c r="J2391" s="98"/>
      <c r="K2391" s="36"/>
      <c r="L2391" s="26"/>
      <c r="M2391" s="26"/>
      <c r="N2391" s="26"/>
      <c r="O2391" s="93"/>
      <c r="P2391" s="95"/>
      <c r="Q2391" s="197"/>
    </row>
    <row r="2392" spans="3:17" x14ac:dyDescent="0.25">
      <c r="C2392" s="199"/>
      <c r="D2392" s="112"/>
      <c r="E2392" s="33"/>
      <c r="F2392" s="105"/>
      <c r="H2392" s="116"/>
      <c r="I2392" s="26"/>
      <c r="J2392" s="98"/>
      <c r="K2392" s="36"/>
      <c r="L2392" s="26"/>
      <c r="M2392" s="26"/>
      <c r="N2392" s="26"/>
      <c r="O2392" s="93"/>
      <c r="P2392" s="95"/>
      <c r="Q2392" s="197"/>
    </row>
    <row r="2393" spans="3:17" x14ac:dyDescent="0.25">
      <c r="C2393" s="199"/>
      <c r="D2393" s="112"/>
      <c r="E2393" s="33"/>
      <c r="F2393" s="105"/>
      <c r="H2393" s="116"/>
      <c r="I2393" s="26"/>
      <c r="J2393" s="98"/>
      <c r="K2393" s="36"/>
      <c r="L2393" s="26"/>
      <c r="M2393" s="26"/>
      <c r="N2393" s="26"/>
      <c r="O2393" s="93"/>
      <c r="P2393" s="95"/>
      <c r="Q2393" s="197"/>
    </row>
    <row r="2394" spans="3:17" x14ac:dyDescent="0.25">
      <c r="C2394" s="199"/>
      <c r="D2394" s="112"/>
      <c r="E2394" s="33"/>
      <c r="F2394" s="105"/>
      <c r="H2394" s="116"/>
      <c r="I2394" s="26"/>
      <c r="J2394" s="98"/>
      <c r="K2394" s="36"/>
      <c r="L2394" s="26"/>
      <c r="M2394" s="26"/>
      <c r="N2394" s="26"/>
      <c r="O2394" s="93"/>
      <c r="P2394" s="95"/>
      <c r="Q2394" s="197"/>
    </row>
    <row r="2395" spans="3:17" x14ac:dyDescent="0.25">
      <c r="C2395" s="199"/>
      <c r="D2395" s="112"/>
      <c r="E2395" s="33"/>
      <c r="F2395" s="105"/>
      <c r="H2395" s="116"/>
      <c r="I2395" s="26"/>
      <c r="J2395" s="98"/>
      <c r="K2395" s="36"/>
      <c r="L2395" s="26"/>
      <c r="M2395" s="26"/>
      <c r="N2395" s="26"/>
      <c r="O2395" s="93"/>
      <c r="P2395" s="95"/>
      <c r="Q2395" s="197"/>
    </row>
    <row r="2396" spans="3:17" x14ac:dyDescent="0.25">
      <c r="C2396" s="199"/>
      <c r="D2396" s="112"/>
      <c r="E2396" s="33"/>
      <c r="F2396" s="105"/>
      <c r="H2396" s="116"/>
      <c r="I2396" s="26"/>
      <c r="J2396" s="98"/>
      <c r="K2396" s="36"/>
      <c r="L2396" s="26"/>
      <c r="M2396" s="26"/>
      <c r="N2396" s="26"/>
      <c r="O2396" s="93"/>
      <c r="P2396" s="95"/>
      <c r="Q2396" s="197"/>
    </row>
    <row r="2397" spans="3:17" x14ac:dyDescent="0.25">
      <c r="C2397" s="199"/>
      <c r="D2397" s="112"/>
      <c r="E2397" s="33"/>
      <c r="F2397" s="105"/>
      <c r="H2397" s="116"/>
      <c r="I2397" s="26"/>
      <c r="J2397" s="98"/>
      <c r="K2397" s="36"/>
      <c r="L2397" s="26"/>
      <c r="M2397" s="26"/>
      <c r="N2397" s="26"/>
      <c r="O2397" s="93"/>
      <c r="P2397" s="95"/>
      <c r="Q2397" s="197"/>
    </row>
    <row r="2398" spans="3:17" x14ac:dyDescent="0.25">
      <c r="C2398" s="199"/>
      <c r="D2398" s="112"/>
      <c r="E2398" s="33"/>
      <c r="F2398" s="105"/>
      <c r="H2398" s="116"/>
      <c r="I2398" s="26"/>
      <c r="J2398" s="98"/>
      <c r="K2398" s="36"/>
      <c r="L2398" s="26"/>
      <c r="M2398" s="26"/>
      <c r="N2398" s="26"/>
      <c r="O2398" s="93"/>
      <c r="P2398" s="95"/>
      <c r="Q2398" s="197"/>
    </row>
    <row r="2399" spans="3:17" x14ac:dyDescent="0.25">
      <c r="C2399" s="199"/>
      <c r="D2399" s="112"/>
      <c r="E2399" s="33"/>
      <c r="F2399" s="105"/>
      <c r="H2399" s="116"/>
      <c r="I2399" s="26"/>
      <c r="J2399" s="98"/>
      <c r="K2399" s="36"/>
      <c r="L2399" s="26"/>
      <c r="M2399" s="26"/>
      <c r="N2399" s="26"/>
      <c r="O2399" s="93"/>
      <c r="P2399" s="95"/>
      <c r="Q2399" s="197"/>
    </row>
    <row r="2400" spans="3:17" x14ac:dyDescent="0.25">
      <c r="C2400" s="199"/>
      <c r="D2400" s="112"/>
      <c r="E2400" s="33"/>
      <c r="F2400" s="105"/>
      <c r="H2400" s="116"/>
      <c r="I2400" s="26"/>
      <c r="J2400" s="98"/>
      <c r="K2400" s="36"/>
      <c r="L2400" s="26"/>
      <c r="M2400" s="26"/>
      <c r="N2400" s="26"/>
      <c r="O2400" s="93"/>
      <c r="P2400" s="95"/>
      <c r="Q2400" s="197"/>
    </row>
    <row r="2401" spans="3:17" x14ac:dyDescent="0.25">
      <c r="C2401" s="199"/>
      <c r="D2401" s="112"/>
      <c r="E2401" s="33"/>
      <c r="F2401" s="105"/>
      <c r="H2401" s="116"/>
      <c r="I2401" s="26"/>
      <c r="J2401" s="98"/>
      <c r="K2401" s="36"/>
      <c r="L2401" s="26"/>
      <c r="M2401" s="26"/>
      <c r="N2401" s="26"/>
      <c r="O2401" s="93"/>
      <c r="P2401" s="95"/>
      <c r="Q2401" s="197"/>
    </row>
    <row r="2402" spans="3:17" x14ac:dyDescent="0.25">
      <c r="C2402" s="199"/>
      <c r="D2402" s="112"/>
      <c r="E2402" s="33"/>
      <c r="F2402" s="105"/>
      <c r="H2402" s="116"/>
      <c r="I2402" s="26"/>
      <c r="J2402" s="98"/>
      <c r="K2402" s="36"/>
      <c r="L2402" s="26"/>
      <c r="M2402" s="26"/>
      <c r="N2402" s="26"/>
      <c r="O2402" s="93"/>
      <c r="P2402" s="95"/>
      <c r="Q2402" s="197"/>
    </row>
    <row r="2403" spans="3:17" x14ac:dyDescent="0.25">
      <c r="C2403" s="199"/>
      <c r="D2403" s="112"/>
      <c r="E2403" s="33"/>
      <c r="F2403" s="105"/>
      <c r="H2403" s="116"/>
      <c r="I2403" s="26"/>
      <c r="J2403" s="98"/>
      <c r="K2403" s="36"/>
      <c r="L2403" s="26"/>
      <c r="M2403" s="26"/>
      <c r="N2403" s="26"/>
      <c r="O2403" s="93"/>
      <c r="P2403" s="95"/>
      <c r="Q2403" s="197"/>
    </row>
    <row r="2404" spans="3:17" x14ac:dyDescent="0.25">
      <c r="C2404" s="199"/>
      <c r="D2404" s="112"/>
      <c r="E2404" s="33"/>
      <c r="F2404" s="105"/>
      <c r="H2404" s="116"/>
      <c r="I2404" s="26"/>
      <c r="J2404" s="98"/>
      <c r="K2404" s="36"/>
      <c r="L2404" s="26"/>
      <c r="M2404" s="26"/>
      <c r="N2404" s="26"/>
      <c r="O2404" s="93"/>
      <c r="P2404" s="95"/>
      <c r="Q2404" s="197"/>
    </row>
    <row r="2405" spans="3:17" x14ac:dyDescent="0.25">
      <c r="C2405" s="199"/>
      <c r="D2405" s="112"/>
      <c r="E2405" s="33"/>
      <c r="F2405" s="105"/>
      <c r="H2405" s="116"/>
      <c r="I2405" s="26"/>
      <c r="J2405" s="98"/>
      <c r="K2405" s="36"/>
      <c r="L2405" s="26"/>
      <c r="M2405" s="26"/>
      <c r="N2405" s="26"/>
      <c r="O2405" s="93"/>
      <c r="P2405" s="95"/>
      <c r="Q2405" s="197"/>
    </row>
    <row r="2406" spans="3:17" x14ac:dyDescent="0.25">
      <c r="C2406" s="199"/>
      <c r="D2406" s="112"/>
      <c r="E2406" s="33"/>
      <c r="F2406" s="105"/>
      <c r="H2406" s="116"/>
      <c r="I2406" s="26"/>
      <c r="J2406" s="98"/>
      <c r="K2406" s="36"/>
      <c r="L2406" s="26"/>
      <c r="M2406" s="26"/>
      <c r="N2406" s="26"/>
      <c r="O2406" s="93"/>
      <c r="P2406" s="95"/>
      <c r="Q2406" s="197"/>
    </row>
    <row r="2407" spans="3:17" x14ac:dyDescent="0.25">
      <c r="C2407" s="199"/>
      <c r="D2407" s="112"/>
      <c r="E2407" s="33"/>
      <c r="F2407" s="105"/>
      <c r="H2407" s="116"/>
      <c r="I2407" s="26"/>
      <c r="J2407" s="98"/>
      <c r="K2407" s="36"/>
      <c r="L2407" s="26"/>
      <c r="M2407" s="26"/>
      <c r="N2407" s="26"/>
      <c r="O2407" s="93"/>
      <c r="P2407" s="95"/>
      <c r="Q2407" s="197"/>
    </row>
    <row r="2408" spans="3:17" x14ac:dyDescent="0.25">
      <c r="C2408" s="199"/>
      <c r="D2408" s="112"/>
      <c r="E2408" s="33"/>
      <c r="F2408" s="105"/>
      <c r="H2408" s="116"/>
      <c r="I2408" s="26"/>
      <c r="J2408" s="98"/>
      <c r="K2408" s="36"/>
      <c r="L2408" s="26"/>
      <c r="M2408" s="26"/>
      <c r="N2408" s="26"/>
      <c r="O2408" s="93"/>
      <c r="P2408" s="95"/>
      <c r="Q2408" s="197"/>
    </row>
    <row r="2409" spans="3:17" x14ac:dyDescent="0.25">
      <c r="C2409" s="199"/>
      <c r="D2409" s="112"/>
      <c r="E2409" s="33"/>
      <c r="F2409" s="105"/>
      <c r="H2409" s="116"/>
      <c r="I2409" s="26"/>
      <c r="J2409" s="98"/>
      <c r="K2409" s="36"/>
      <c r="L2409" s="26"/>
      <c r="M2409" s="26"/>
      <c r="N2409" s="26"/>
      <c r="O2409" s="93"/>
      <c r="P2409" s="95"/>
      <c r="Q2409" s="197"/>
    </row>
    <row r="2410" spans="3:17" x14ac:dyDescent="0.25">
      <c r="C2410" s="199"/>
      <c r="D2410" s="112"/>
      <c r="E2410" s="33"/>
      <c r="F2410" s="105"/>
      <c r="H2410" s="116"/>
      <c r="I2410" s="26"/>
      <c r="J2410" s="98"/>
      <c r="K2410" s="36"/>
      <c r="L2410" s="26"/>
      <c r="M2410" s="26"/>
      <c r="N2410" s="26"/>
      <c r="O2410" s="93"/>
      <c r="P2410" s="95"/>
      <c r="Q2410" s="197"/>
    </row>
    <row r="2411" spans="3:17" x14ac:dyDescent="0.25">
      <c r="C2411" s="199"/>
      <c r="D2411" s="112"/>
      <c r="E2411" s="33"/>
      <c r="F2411" s="105"/>
      <c r="H2411" s="116"/>
      <c r="I2411" s="26"/>
      <c r="J2411" s="98"/>
      <c r="K2411" s="36"/>
      <c r="L2411" s="26"/>
      <c r="M2411" s="26"/>
      <c r="N2411" s="26"/>
      <c r="O2411" s="93"/>
      <c r="P2411" s="95"/>
      <c r="Q2411" s="197"/>
    </row>
    <row r="2412" spans="3:17" x14ac:dyDescent="0.25">
      <c r="C2412" s="199"/>
      <c r="D2412" s="112"/>
      <c r="E2412" s="33"/>
      <c r="F2412" s="105"/>
      <c r="H2412" s="116"/>
      <c r="I2412" s="26"/>
      <c r="J2412" s="98"/>
      <c r="K2412" s="36"/>
      <c r="L2412" s="26"/>
      <c r="M2412" s="26"/>
      <c r="N2412" s="26"/>
      <c r="O2412" s="93"/>
      <c r="P2412" s="95"/>
      <c r="Q2412" s="197"/>
    </row>
    <row r="2413" spans="3:17" x14ac:dyDescent="0.25">
      <c r="C2413" s="199"/>
      <c r="D2413" s="112"/>
      <c r="E2413" s="33"/>
      <c r="F2413" s="105"/>
      <c r="H2413" s="116"/>
      <c r="I2413" s="26"/>
      <c r="J2413" s="98"/>
      <c r="K2413" s="36"/>
      <c r="L2413" s="26"/>
      <c r="M2413" s="26"/>
      <c r="N2413" s="26"/>
      <c r="O2413" s="93"/>
      <c r="P2413" s="95"/>
      <c r="Q2413" s="197"/>
    </row>
    <row r="2414" spans="3:17" x14ac:dyDescent="0.25">
      <c r="C2414" s="199"/>
      <c r="D2414" s="112"/>
      <c r="E2414" s="33"/>
      <c r="F2414" s="105"/>
      <c r="H2414" s="116"/>
      <c r="I2414" s="26"/>
      <c r="J2414" s="98"/>
      <c r="K2414" s="36"/>
      <c r="L2414" s="26"/>
      <c r="M2414" s="26"/>
      <c r="N2414" s="26"/>
      <c r="O2414" s="93"/>
      <c r="P2414" s="95"/>
      <c r="Q2414" s="197"/>
    </row>
    <row r="2415" spans="3:17" x14ac:dyDescent="0.25">
      <c r="C2415" s="199"/>
      <c r="D2415" s="112"/>
      <c r="E2415" s="33"/>
      <c r="F2415" s="105"/>
      <c r="H2415" s="116"/>
      <c r="I2415" s="26"/>
      <c r="J2415" s="98"/>
      <c r="K2415" s="36"/>
      <c r="L2415" s="26"/>
      <c r="M2415" s="26"/>
      <c r="N2415" s="26"/>
      <c r="O2415" s="93"/>
      <c r="P2415" s="95"/>
      <c r="Q2415" s="197"/>
    </row>
    <row r="2416" spans="3:17" x14ac:dyDescent="0.25">
      <c r="C2416" s="199"/>
      <c r="D2416" s="112"/>
      <c r="E2416" s="33"/>
      <c r="F2416" s="105"/>
      <c r="H2416" s="116"/>
      <c r="I2416" s="26"/>
      <c r="J2416" s="98"/>
      <c r="K2416" s="36"/>
      <c r="L2416" s="26"/>
      <c r="M2416" s="26"/>
      <c r="N2416" s="26"/>
      <c r="O2416" s="93"/>
      <c r="P2416" s="95"/>
      <c r="Q2416" s="197"/>
    </row>
    <row r="2417" spans="3:17" x14ac:dyDescent="0.25">
      <c r="C2417" s="199"/>
      <c r="D2417" s="112"/>
      <c r="E2417" s="33"/>
      <c r="F2417" s="105"/>
      <c r="H2417" s="116"/>
      <c r="I2417" s="26"/>
      <c r="J2417" s="98"/>
      <c r="K2417" s="36"/>
      <c r="L2417" s="26"/>
      <c r="M2417" s="26"/>
      <c r="N2417" s="26"/>
      <c r="O2417" s="93"/>
      <c r="P2417" s="95"/>
      <c r="Q2417" s="197"/>
    </row>
    <row r="2418" spans="3:17" x14ac:dyDescent="0.25">
      <c r="C2418" s="199"/>
      <c r="D2418" s="112"/>
      <c r="E2418" s="33"/>
      <c r="F2418" s="105"/>
      <c r="H2418" s="116"/>
      <c r="I2418" s="26"/>
      <c r="J2418" s="98"/>
      <c r="K2418" s="36"/>
      <c r="L2418" s="26"/>
      <c r="M2418" s="26"/>
      <c r="N2418" s="26"/>
      <c r="O2418" s="93"/>
      <c r="P2418" s="95"/>
      <c r="Q2418" s="197"/>
    </row>
    <row r="2419" spans="3:17" x14ac:dyDescent="0.25">
      <c r="C2419" s="199"/>
      <c r="D2419" s="112"/>
      <c r="E2419" s="33"/>
      <c r="F2419" s="105"/>
      <c r="H2419" s="116"/>
      <c r="I2419" s="26"/>
      <c r="J2419" s="98"/>
      <c r="K2419" s="36"/>
      <c r="L2419" s="26"/>
      <c r="M2419" s="26"/>
      <c r="N2419" s="26"/>
      <c r="O2419" s="93"/>
      <c r="P2419" s="95"/>
      <c r="Q2419" s="197"/>
    </row>
    <row r="2420" spans="3:17" x14ac:dyDescent="0.25">
      <c r="C2420" s="199"/>
      <c r="D2420" s="112"/>
      <c r="E2420" s="33"/>
      <c r="F2420" s="105"/>
      <c r="H2420" s="116"/>
      <c r="I2420" s="26"/>
      <c r="J2420" s="98"/>
      <c r="K2420" s="36"/>
      <c r="L2420" s="26"/>
      <c r="M2420" s="26"/>
      <c r="N2420" s="26"/>
      <c r="O2420" s="93"/>
      <c r="P2420" s="95"/>
      <c r="Q2420" s="197"/>
    </row>
    <row r="2421" spans="3:17" x14ac:dyDescent="0.25">
      <c r="C2421" s="199"/>
      <c r="D2421" s="112"/>
      <c r="E2421" s="33"/>
      <c r="F2421" s="105"/>
      <c r="H2421" s="116"/>
      <c r="I2421" s="26"/>
      <c r="J2421" s="98"/>
      <c r="K2421" s="36"/>
      <c r="L2421" s="26"/>
      <c r="M2421" s="26"/>
      <c r="N2421" s="26"/>
      <c r="O2421" s="93"/>
      <c r="P2421" s="95"/>
      <c r="Q2421" s="197"/>
    </row>
    <row r="2422" spans="3:17" x14ac:dyDescent="0.25">
      <c r="C2422" s="199"/>
      <c r="D2422" s="112"/>
      <c r="E2422" s="33"/>
      <c r="F2422" s="105"/>
      <c r="H2422" s="116"/>
      <c r="I2422" s="26"/>
      <c r="J2422" s="98"/>
      <c r="K2422" s="36"/>
      <c r="L2422" s="26"/>
      <c r="M2422" s="26"/>
      <c r="N2422" s="26"/>
      <c r="O2422" s="93"/>
      <c r="P2422" s="95"/>
      <c r="Q2422" s="197"/>
    </row>
    <row r="2423" spans="3:17" x14ac:dyDescent="0.25">
      <c r="C2423" s="199"/>
      <c r="D2423" s="112"/>
      <c r="E2423" s="33"/>
      <c r="F2423" s="105"/>
      <c r="H2423" s="116"/>
      <c r="I2423" s="26"/>
      <c r="J2423" s="98"/>
      <c r="K2423" s="36"/>
      <c r="L2423" s="26"/>
      <c r="M2423" s="26"/>
      <c r="N2423" s="26"/>
      <c r="O2423" s="93"/>
      <c r="P2423" s="95"/>
      <c r="Q2423" s="197"/>
    </row>
    <row r="2424" spans="3:17" x14ac:dyDescent="0.25">
      <c r="C2424" s="199"/>
      <c r="D2424" s="112"/>
      <c r="E2424" s="33"/>
      <c r="F2424" s="105"/>
      <c r="H2424" s="116"/>
      <c r="I2424" s="26"/>
      <c r="J2424" s="98"/>
      <c r="K2424" s="36"/>
      <c r="L2424" s="26"/>
      <c r="M2424" s="26"/>
      <c r="N2424" s="26"/>
      <c r="O2424" s="93"/>
      <c r="P2424" s="95"/>
      <c r="Q2424" s="197"/>
    </row>
    <row r="2425" spans="3:17" x14ac:dyDescent="0.25">
      <c r="C2425" s="199"/>
      <c r="D2425" s="112"/>
      <c r="E2425" s="33"/>
      <c r="F2425" s="105"/>
      <c r="H2425" s="116"/>
      <c r="I2425" s="26"/>
      <c r="J2425" s="98"/>
      <c r="K2425" s="36"/>
      <c r="L2425" s="26"/>
      <c r="M2425" s="26"/>
      <c r="N2425" s="26"/>
      <c r="O2425" s="93"/>
      <c r="P2425" s="95"/>
      <c r="Q2425" s="197"/>
    </row>
    <row r="2426" spans="3:17" x14ac:dyDescent="0.25">
      <c r="C2426" s="199"/>
      <c r="D2426" s="112"/>
      <c r="E2426" s="33"/>
      <c r="F2426" s="105"/>
      <c r="H2426" s="116"/>
      <c r="I2426" s="26"/>
      <c r="J2426" s="98"/>
      <c r="K2426" s="36"/>
      <c r="L2426" s="26"/>
      <c r="M2426" s="26"/>
      <c r="N2426" s="26"/>
      <c r="O2426" s="93"/>
      <c r="P2426" s="95"/>
      <c r="Q2426" s="197"/>
    </row>
    <row r="2427" spans="3:17" x14ac:dyDescent="0.25">
      <c r="C2427" s="199"/>
      <c r="D2427" s="112"/>
      <c r="E2427" s="33"/>
      <c r="F2427" s="105"/>
      <c r="H2427" s="116"/>
      <c r="I2427" s="26"/>
      <c r="J2427" s="98"/>
      <c r="K2427" s="36"/>
      <c r="L2427" s="26"/>
      <c r="M2427" s="26"/>
      <c r="N2427" s="26"/>
      <c r="O2427" s="93"/>
      <c r="P2427" s="95"/>
      <c r="Q2427" s="197"/>
    </row>
    <row r="2428" spans="3:17" x14ac:dyDescent="0.25">
      <c r="C2428" s="199"/>
      <c r="D2428" s="112"/>
      <c r="E2428" s="33"/>
      <c r="F2428" s="105"/>
      <c r="H2428" s="116"/>
      <c r="I2428" s="26"/>
      <c r="J2428" s="98"/>
      <c r="K2428" s="36"/>
      <c r="L2428" s="26"/>
      <c r="M2428" s="26"/>
      <c r="N2428" s="26"/>
      <c r="O2428" s="93"/>
      <c r="P2428" s="95"/>
      <c r="Q2428" s="197"/>
    </row>
    <row r="2429" spans="3:17" x14ac:dyDescent="0.25">
      <c r="C2429" s="199"/>
      <c r="D2429" s="112"/>
      <c r="E2429" s="33"/>
      <c r="F2429" s="105"/>
      <c r="H2429" s="116"/>
      <c r="I2429" s="26"/>
      <c r="J2429" s="98"/>
      <c r="K2429" s="36"/>
      <c r="L2429" s="26"/>
      <c r="M2429" s="26"/>
      <c r="N2429" s="26"/>
      <c r="O2429" s="93"/>
      <c r="P2429" s="95"/>
      <c r="Q2429" s="197"/>
    </row>
    <row r="2430" spans="3:17" x14ac:dyDescent="0.25">
      <c r="C2430" s="199"/>
      <c r="D2430" s="112"/>
      <c r="E2430" s="33"/>
      <c r="F2430" s="105"/>
      <c r="H2430" s="116"/>
      <c r="I2430" s="26"/>
      <c r="J2430" s="98"/>
      <c r="K2430" s="36"/>
      <c r="L2430" s="26"/>
      <c r="M2430" s="26"/>
      <c r="N2430" s="26"/>
      <c r="O2430" s="93"/>
      <c r="P2430" s="95"/>
      <c r="Q2430" s="197"/>
    </row>
    <row r="2431" spans="3:17" x14ac:dyDescent="0.25">
      <c r="C2431" s="199"/>
      <c r="D2431" s="112"/>
      <c r="E2431" s="33"/>
      <c r="F2431" s="105"/>
      <c r="H2431" s="116"/>
      <c r="I2431" s="26"/>
      <c r="J2431" s="98"/>
      <c r="K2431" s="36"/>
      <c r="L2431" s="26"/>
      <c r="M2431" s="26"/>
      <c r="N2431" s="26"/>
      <c r="O2431" s="93"/>
      <c r="P2431" s="95"/>
      <c r="Q2431" s="197"/>
    </row>
    <row r="2432" spans="3:17" x14ac:dyDescent="0.25">
      <c r="C2432" s="199"/>
      <c r="D2432" s="112"/>
      <c r="E2432" s="33"/>
      <c r="F2432" s="105"/>
      <c r="H2432" s="116"/>
      <c r="I2432" s="26"/>
      <c r="J2432" s="98"/>
      <c r="K2432" s="36"/>
      <c r="L2432" s="26"/>
      <c r="M2432" s="26"/>
      <c r="N2432" s="26"/>
      <c r="O2432" s="93"/>
      <c r="P2432" s="95"/>
      <c r="Q2432" s="197"/>
    </row>
    <row r="2433" spans="3:17" x14ac:dyDescent="0.25">
      <c r="C2433" s="199"/>
      <c r="D2433" s="112"/>
      <c r="E2433" s="33"/>
      <c r="F2433" s="105"/>
      <c r="H2433" s="116"/>
      <c r="I2433" s="26"/>
      <c r="J2433" s="98"/>
      <c r="K2433" s="36"/>
      <c r="L2433" s="26"/>
      <c r="M2433" s="26"/>
      <c r="N2433" s="26"/>
      <c r="O2433" s="93"/>
      <c r="P2433" s="95"/>
      <c r="Q2433" s="197"/>
    </row>
    <row r="2434" spans="3:17" x14ac:dyDescent="0.25">
      <c r="C2434" s="199"/>
      <c r="D2434" s="112"/>
      <c r="E2434" s="33"/>
      <c r="F2434" s="105"/>
      <c r="H2434" s="116"/>
      <c r="I2434" s="26"/>
      <c r="J2434" s="98"/>
      <c r="K2434" s="36"/>
      <c r="L2434" s="26"/>
      <c r="M2434" s="26"/>
      <c r="N2434" s="26"/>
      <c r="O2434" s="93"/>
      <c r="P2434" s="95"/>
      <c r="Q2434" s="197"/>
    </row>
    <row r="2435" spans="3:17" x14ac:dyDescent="0.25">
      <c r="C2435" s="199"/>
      <c r="D2435" s="112"/>
      <c r="E2435" s="33"/>
      <c r="F2435" s="105"/>
      <c r="H2435" s="116"/>
      <c r="I2435" s="26"/>
      <c r="J2435" s="98"/>
      <c r="K2435" s="36"/>
      <c r="L2435" s="26"/>
      <c r="M2435" s="26"/>
      <c r="N2435" s="26"/>
      <c r="O2435" s="93"/>
      <c r="P2435" s="95"/>
      <c r="Q2435" s="197"/>
    </row>
    <row r="2436" spans="3:17" x14ac:dyDescent="0.25">
      <c r="C2436" s="199"/>
      <c r="D2436" s="112"/>
      <c r="E2436" s="33"/>
      <c r="F2436" s="105"/>
      <c r="H2436" s="116"/>
      <c r="I2436" s="26"/>
      <c r="J2436" s="98"/>
      <c r="K2436" s="36"/>
      <c r="L2436" s="26"/>
      <c r="M2436" s="26"/>
      <c r="N2436" s="26"/>
      <c r="O2436" s="93"/>
      <c r="P2436" s="95"/>
      <c r="Q2436" s="197"/>
    </row>
    <row r="2437" spans="3:17" x14ac:dyDescent="0.25">
      <c r="C2437" s="199"/>
      <c r="D2437" s="112"/>
      <c r="E2437" s="33"/>
      <c r="F2437" s="105"/>
      <c r="H2437" s="116"/>
      <c r="I2437" s="26"/>
      <c r="J2437" s="98"/>
      <c r="K2437" s="36"/>
      <c r="L2437" s="26"/>
      <c r="M2437" s="26"/>
      <c r="N2437" s="26"/>
      <c r="O2437" s="93"/>
      <c r="P2437" s="95"/>
      <c r="Q2437" s="197"/>
    </row>
    <row r="2438" spans="3:17" x14ac:dyDescent="0.25">
      <c r="C2438" s="199"/>
      <c r="D2438" s="112"/>
      <c r="E2438" s="33"/>
      <c r="F2438" s="105"/>
      <c r="H2438" s="116"/>
      <c r="I2438" s="26"/>
      <c r="J2438" s="98"/>
      <c r="K2438" s="36"/>
      <c r="L2438" s="26"/>
      <c r="M2438" s="26"/>
      <c r="N2438" s="26"/>
      <c r="O2438" s="93"/>
      <c r="P2438" s="95"/>
      <c r="Q2438" s="197"/>
    </row>
    <row r="2439" spans="3:17" x14ac:dyDescent="0.25">
      <c r="C2439" s="199"/>
      <c r="D2439" s="112"/>
      <c r="E2439" s="33"/>
      <c r="F2439" s="105"/>
      <c r="H2439" s="116"/>
      <c r="I2439" s="26"/>
      <c r="J2439" s="98"/>
      <c r="K2439" s="36"/>
      <c r="L2439" s="26"/>
      <c r="M2439" s="26"/>
      <c r="N2439" s="26"/>
      <c r="O2439" s="93"/>
      <c r="P2439" s="95"/>
      <c r="Q2439" s="197"/>
    </row>
    <row r="2440" spans="3:17" x14ac:dyDescent="0.25">
      <c r="C2440" s="199"/>
      <c r="D2440" s="112"/>
      <c r="E2440" s="33"/>
      <c r="F2440" s="105"/>
      <c r="H2440" s="116"/>
      <c r="I2440" s="26"/>
      <c r="J2440" s="98"/>
      <c r="K2440" s="36"/>
      <c r="L2440" s="26"/>
      <c r="M2440" s="26"/>
      <c r="N2440" s="26"/>
      <c r="O2440" s="93"/>
      <c r="P2440" s="95"/>
      <c r="Q2440" s="197"/>
    </row>
    <row r="2441" spans="3:17" x14ac:dyDescent="0.25">
      <c r="C2441" s="199"/>
      <c r="D2441" s="112"/>
      <c r="E2441" s="33"/>
      <c r="F2441" s="105"/>
      <c r="H2441" s="116"/>
      <c r="I2441" s="26"/>
      <c r="J2441" s="98"/>
      <c r="K2441" s="36"/>
      <c r="L2441" s="26"/>
      <c r="M2441" s="26"/>
      <c r="N2441" s="26"/>
      <c r="O2441" s="93"/>
      <c r="P2441" s="95"/>
      <c r="Q2441" s="197"/>
    </row>
    <row r="2442" spans="3:17" x14ac:dyDescent="0.25">
      <c r="C2442" s="199"/>
      <c r="D2442" s="112"/>
      <c r="E2442" s="33"/>
      <c r="F2442" s="105"/>
      <c r="H2442" s="116"/>
      <c r="I2442" s="26"/>
      <c r="J2442" s="98"/>
      <c r="K2442" s="36"/>
      <c r="L2442" s="26"/>
      <c r="M2442" s="26"/>
      <c r="N2442" s="26"/>
      <c r="O2442" s="93"/>
      <c r="P2442" s="95"/>
      <c r="Q2442" s="197"/>
    </row>
    <row r="2443" spans="3:17" x14ac:dyDescent="0.25">
      <c r="C2443" s="199"/>
      <c r="D2443" s="112"/>
      <c r="E2443" s="33"/>
      <c r="F2443" s="105"/>
      <c r="H2443" s="116"/>
      <c r="I2443" s="26"/>
      <c r="J2443" s="98"/>
      <c r="K2443" s="36"/>
      <c r="L2443" s="26"/>
      <c r="M2443" s="26"/>
      <c r="N2443" s="26"/>
      <c r="O2443" s="93"/>
      <c r="P2443" s="95"/>
      <c r="Q2443" s="197"/>
    </row>
    <row r="2444" spans="3:17" x14ac:dyDescent="0.25">
      <c r="C2444" s="199"/>
      <c r="D2444" s="112"/>
      <c r="E2444" s="33"/>
      <c r="F2444" s="105"/>
      <c r="H2444" s="116"/>
      <c r="I2444" s="26"/>
      <c r="J2444" s="98"/>
      <c r="K2444" s="36"/>
      <c r="L2444" s="26"/>
      <c r="M2444" s="26"/>
      <c r="N2444" s="26"/>
      <c r="O2444" s="93"/>
      <c r="P2444" s="95"/>
      <c r="Q2444" s="197"/>
    </row>
    <row r="2445" spans="3:17" x14ac:dyDescent="0.25">
      <c r="C2445" s="199"/>
      <c r="D2445" s="112"/>
      <c r="E2445" s="33"/>
      <c r="F2445" s="105"/>
      <c r="H2445" s="116"/>
      <c r="I2445" s="26"/>
      <c r="J2445" s="98"/>
      <c r="K2445" s="36"/>
      <c r="L2445" s="26"/>
      <c r="M2445" s="26"/>
      <c r="N2445" s="26"/>
      <c r="O2445" s="93"/>
      <c r="P2445" s="95"/>
      <c r="Q2445" s="197"/>
    </row>
    <row r="2446" spans="3:17" x14ac:dyDescent="0.25">
      <c r="C2446" s="199"/>
      <c r="D2446" s="112"/>
      <c r="E2446" s="33"/>
      <c r="F2446" s="105"/>
      <c r="H2446" s="116"/>
      <c r="I2446" s="26"/>
      <c r="J2446" s="98"/>
      <c r="K2446" s="36"/>
      <c r="L2446" s="26"/>
      <c r="M2446" s="26"/>
      <c r="N2446" s="26"/>
      <c r="O2446" s="93"/>
      <c r="P2446" s="95"/>
      <c r="Q2446" s="197"/>
    </row>
    <row r="2447" spans="3:17" x14ac:dyDescent="0.25">
      <c r="C2447" s="199"/>
      <c r="D2447" s="112"/>
      <c r="E2447" s="33"/>
      <c r="F2447" s="105"/>
      <c r="H2447" s="116"/>
      <c r="I2447" s="26"/>
      <c r="J2447" s="98"/>
      <c r="K2447" s="36"/>
      <c r="L2447" s="26"/>
      <c r="M2447" s="26"/>
      <c r="N2447" s="26"/>
      <c r="O2447" s="93"/>
      <c r="P2447" s="95"/>
      <c r="Q2447" s="197"/>
    </row>
    <row r="2448" spans="3:17" x14ac:dyDescent="0.25">
      <c r="C2448" s="199"/>
      <c r="D2448" s="112"/>
      <c r="E2448" s="33"/>
      <c r="F2448" s="105"/>
      <c r="H2448" s="116"/>
      <c r="I2448" s="26"/>
      <c r="J2448" s="98"/>
      <c r="K2448" s="36"/>
      <c r="L2448" s="26"/>
      <c r="M2448" s="26"/>
      <c r="N2448" s="26"/>
      <c r="O2448" s="93"/>
      <c r="P2448" s="95"/>
      <c r="Q2448" s="197"/>
    </row>
    <row r="2449" spans="3:17" x14ac:dyDescent="0.25">
      <c r="C2449" s="199"/>
      <c r="D2449" s="112"/>
      <c r="E2449" s="33"/>
      <c r="F2449" s="105"/>
      <c r="H2449" s="116"/>
      <c r="I2449" s="26"/>
      <c r="J2449" s="98"/>
      <c r="K2449" s="36"/>
      <c r="L2449" s="26"/>
      <c r="M2449" s="26"/>
      <c r="N2449" s="26"/>
      <c r="O2449" s="93"/>
      <c r="P2449" s="95"/>
      <c r="Q2449" s="197"/>
    </row>
    <row r="2450" spans="3:17" x14ac:dyDescent="0.25">
      <c r="C2450" s="199"/>
      <c r="D2450" s="112"/>
      <c r="E2450" s="33"/>
      <c r="F2450" s="105"/>
      <c r="H2450" s="116"/>
      <c r="I2450" s="26"/>
      <c r="J2450" s="98"/>
      <c r="K2450" s="36"/>
      <c r="L2450" s="26"/>
      <c r="M2450" s="26"/>
      <c r="N2450" s="26"/>
      <c r="O2450" s="93"/>
      <c r="P2450" s="95"/>
      <c r="Q2450" s="197"/>
    </row>
    <row r="2451" spans="3:17" x14ac:dyDescent="0.25">
      <c r="C2451" s="199"/>
      <c r="D2451" s="112"/>
      <c r="E2451" s="33"/>
      <c r="F2451" s="105"/>
      <c r="H2451" s="116"/>
      <c r="I2451" s="26"/>
      <c r="J2451" s="98"/>
      <c r="K2451" s="36"/>
      <c r="L2451" s="26"/>
      <c r="M2451" s="26"/>
      <c r="N2451" s="26"/>
      <c r="O2451" s="93"/>
      <c r="P2451" s="95"/>
      <c r="Q2451" s="197"/>
    </row>
    <row r="2452" spans="3:17" x14ac:dyDescent="0.25">
      <c r="C2452" s="199"/>
      <c r="D2452" s="112"/>
      <c r="E2452" s="33"/>
      <c r="F2452" s="105"/>
      <c r="H2452" s="116"/>
      <c r="I2452" s="26"/>
      <c r="J2452" s="98"/>
      <c r="K2452" s="36"/>
      <c r="L2452" s="26"/>
      <c r="M2452" s="26"/>
      <c r="N2452" s="26"/>
      <c r="O2452" s="93"/>
      <c r="P2452" s="95"/>
      <c r="Q2452" s="197"/>
    </row>
    <row r="2453" spans="3:17" x14ac:dyDescent="0.25">
      <c r="C2453" s="199"/>
      <c r="D2453" s="112"/>
      <c r="E2453" s="33"/>
      <c r="F2453" s="105"/>
      <c r="H2453" s="116"/>
      <c r="I2453" s="26"/>
      <c r="J2453" s="98"/>
      <c r="K2453" s="36"/>
      <c r="L2453" s="26"/>
      <c r="M2453" s="26"/>
      <c r="N2453" s="26"/>
      <c r="O2453" s="93"/>
      <c r="P2453" s="95"/>
      <c r="Q2453" s="197"/>
    </row>
    <row r="2454" spans="3:17" x14ac:dyDescent="0.25">
      <c r="C2454" s="199"/>
      <c r="D2454" s="112"/>
      <c r="E2454" s="33"/>
      <c r="F2454" s="105"/>
      <c r="H2454" s="116"/>
      <c r="I2454" s="26"/>
      <c r="J2454" s="98"/>
      <c r="K2454" s="36"/>
      <c r="L2454" s="26"/>
      <c r="M2454" s="26"/>
      <c r="N2454" s="26"/>
      <c r="O2454" s="93"/>
      <c r="P2454" s="95"/>
      <c r="Q2454" s="197"/>
    </row>
    <row r="2455" spans="3:17" x14ac:dyDescent="0.25">
      <c r="C2455" s="199"/>
      <c r="D2455" s="112"/>
      <c r="E2455" s="33"/>
      <c r="F2455" s="105"/>
      <c r="H2455" s="116"/>
      <c r="I2455" s="26"/>
      <c r="J2455" s="98"/>
      <c r="K2455" s="36"/>
      <c r="L2455" s="26"/>
      <c r="M2455" s="26"/>
      <c r="N2455" s="26"/>
      <c r="O2455" s="93"/>
      <c r="P2455" s="95"/>
      <c r="Q2455" s="197"/>
    </row>
    <row r="2456" spans="3:17" x14ac:dyDescent="0.25">
      <c r="C2456" s="199"/>
      <c r="D2456" s="112"/>
      <c r="E2456" s="33"/>
      <c r="F2456" s="105"/>
      <c r="H2456" s="116"/>
      <c r="I2456" s="26"/>
      <c r="J2456" s="98"/>
      <c r="K2456" s="36"/>
      <c r="L2456" s="26"/>
      <c r="M2456" s="26"/>
      <c r="N2456" s="26"/>
      <c r="O2456" s="93"/>
      <c r="P2456" s="95"/>
      <c r="Q2456" s="197"/>
    </row>
    <row r="2457" spans="3:17" x14ac:dyDescent="0.25">
      <c r="C2457" s="199"/>
      <c r="D2457" s="112"/>
      <c r="E2457" s="33"/>
      <c r="F2457" s="105"/>
      <c r="H2457" s="116"/>
      <c r="I2457" s="26"/>
      <c r="J2457" s="98"/>
      <c r="K2457" s="36"/>
      <c r="L2457" s="26"/>
      <c r="M2457" s="26"/>
      <c r="N2457" s="26"/>
      <c r="O2457" s="93"/>
      <c r="P2457" s="95"/>
      <c r="Q2457" s="197"/>
    </row>
    <row r="2458" spans="3:17" x14ac:dyDescent="0.25">
      <c r="C2458" s="199"/>
      <c r="D2458" s="112"/>
      <c r="E2458" s="33"/>
      <c r="F2458" s="105"/>
      <c r="H2458" s="116"/>
      <c r="I2458" s="26"/>
      <c r="J2458" s="98"/>
      <c r="K2458" s="36"/>
      <c r="L2458" s="26"/>
      <c r="M2458" s="26"/>
      <c r="N2458" s="26"/>
      <c r="O2458" s="93"/>
      <c r="P2458" s="95"/>
      <c r="Q2458" s="197"/>
    </row>
    <row r="2459" spans="3:17" x14ac:dyDescent="0.25">
      <c r="C2459" s="199"/>
      <c r="D2459" s="112"/>
      <c r="E2459" s="33"/>
      <c r="F2459" s="105"/>
      <c r="H2459" s="116"/>
      <c r="I2459" s="26"/>
      <c r="J2459" s="98"/>
      <c r="K2459" s="36"/>
      <c r="L2459" s="26"/>
      <c r="M2459" s="26"/>
      <c r="N2459" s="26"/>
      <c r="O2459" s="93"/>
      <c r="P2459" s="95"/>
      <c r="Q2459" s="197"/>
    </row>
    <row r="2460" spans="3:17" x14ac:dyDescent="0.25">
      <c r="C2460" s="199"/>
      <c r="D2460" s="112"/>
      <c r="E2460" s="33"/>
      <c r="F2460" s="105"/>
      <c r="H2460" s="116"/>
      <c r="I2460" s="26"/>
      <c r="J2460" s="98"/>
      <c r="K2460" s="36"/>
      <c r="L2460" s="26"/>
      <c r="M2460" s="26"/>
      <c r="N2460" s="26"/>
      <c r="O2460" s="93"/>
      <c r="P2460" s="95"/>
      <c r="Q2460" s="197"/>
    </row>
    <row r="2461" spans="3:17" x14ac:dyDescent="0.25">
      <c r="C2461" s="199"/>
      <c r="D2461" s="112"/>
      <c r="E2461" s="33"/>
      <c r="F2461" s="105"/>
      <c r="H2461" s="116"/>
      <c r="I2461" s="26"/>
      <c r="J2461" s="98"/>
      <c r="K2461" s="36"/>
      <c r="L2461" s="26"/>
      <c r="M2461" s="26"/>
      <c r="N2461" s="26"/>
      <c r="O2461" s="93"/>
      <c r="P2461" s="95"/>
      <c r="Q2461" s="197"/>
    </row>
    <row r="2462" spans="3:17" x14ac:dyDescent="0.25">
      <c r="C2462" s="199"/>
      <c r="D2462" s="112"/>
      <c r="E2462" s="33"/>
      <c r="F2462" s="105"/>
      <c r="H2462" s="116"/>
      <c r="I2462" s="26"/>
      <c r="J2462" s="98"/>
      <c r="K2462" s="36"/>
      <c r="L2462" s="26"/>
      <c r="M2462" s="26"/>
      <c r="N2462" s="26"/>
      <c r="O2462" s="93"/>
      <c r="P2462" s="95"/>
      <c r="Q2462" s="197"/>
    </row>
    <row r="2463" spans="3:17" x14ac:dyDescent="0.25">
      <c r="C2463" s="199"/>
      <c r="D2463" s="112"/>
      <c r="E2463" s="33"/>
      <c r="F2463" s="105"/>
      <c r="H2463" s="116"/>
      <c r="I2463" s="26"/>
      <c r="J2463" s="98"/>
      <c r="K2463" s="36"/>
      <c r="L2463" s="26"/>
      <c r="M2463" s="26"/>
      <c r="N2463" s="26"/>
      <c r="O2463" s="93"/>
      <c r="P2463" s="95"/>
      <c r="Q2463" s="197"/>
    </row>
    <row r="2464" spans="3:17" x14ac:dyDescent="0.25">
      <c r="C2464" s="199"/>
      <c r="D2464" s="112"/>
      <c r="E2464" s="33"/>
      <c r="F2464" s="105"/>
      <c r="H2464" s="116"/>
      <c r="I2464" s="26"/>
      <c r="J2464" s="98"/>
      <c r="K2464" s="36"/>
      <c r="L2464" s="26"/>
      <c r="M2464" s="26"/>
      <c r="N2464" s="26"/>
      <c r="O2464" s="93"/>
      <c r="P2464" s="95"/>
      <c r="Q2464" s="197"/>
    </row>
    <row r="2465" spans="3:17" x14ac:dyDescent="0.25">
      <c r="C2465" s="199"/>
      <c r="D2465" s="112"/>
      <c r="E2465" s="33"/>
      <c r="F2465" s="105"/>
      <c r="H2465" s="116"/>
      <c r="I2465" s="26"/>
      <c r="J2465" s="98"/>
      <c r="K2465" s="36"/>
      <c r="L2465" s="26"/>
      <c r="M2465" s="26"/>
      <c r="N2465" s="26"/>
      <c r="O2465" s="93"/>
      <c r="P2465" s="95"/>
      <c r="Q2465" s="197"/>
    </row>
    <row r="2466" spans="3:17" x14ac:dyDescent="0.25">
      <c r="C2466" s="199"/>
      <c r="D2466" s="112"/>
      <c r="E2466" s="33"/>
      <c r="F2466" s="105"/>
      <c r="H2466" s="116"/>
      <c r="I2466" s="26"/>
      <c r="J2466" s="98"/>
      <c r="K2466" s="36"/>
      <c r="L2466" s="26"/>
      <c r="M2466" s="26"/>
      <c r="N2466" s="26"/>
      <c r="O2466" s="93"/>
      <c r="P2466" s="95"/>
      <c r="Q2466" s="197"/>
    </row>
    <row r="2467" spans="3:17" x14ac:dyDescent="0.25">
      <c r="C2467" s="199"/>
      <c r="D2467" s="112"/>
      <c r="E2467" s="33"/>
      <c r="F2467" s="105"/>
      <c r="H2467" s="116"/>
      <c r="I2467" s="26"/>
      <c r="J2467" s="98"/>
      <c r="K2467" s="36"/>
      <c r="L2467" s="26"/>
      <c r="M2467" s="26"/>
      <c r="N2467" s="26"/>
      <c r="O2467" s="93"/>
      <c r="P2467" s="95"/>
      <c r="Q2467" s="197"/>
    </row>
    <row r="2468" spans="3:17" x14ac:dyDescent="0.25">
      <c r="C2468" s="199"/>
      <c r="D2468" s="112"/>
      <c r="E2468" s="33"/>
      <c r="F2468" s="105"/>
      <c r="H2468" s="116"/>
      <c r="I2468" s="26"/>
      <c r="J2468" s="98"/>
      <c r="K2468" s="36"/>
      <c r="L2468" s="26"/>
      <c r="M2468" s="26"/>
      <c r="N2468" s="26"/>
      <c r="O2468" s="93"/>
      <c r="P2468" s="95"/>
      <c r="Q2468" s="197"/>
    </row>
    <row r="2469" spans="3:17" x14ac:dyDescent="0.25">
      <c r="C2469" s="199"/>
      <c r="D2469" s="112"/>
      <c r="E2469" s="33"/>
      <c r="F2469" s="105"/>
      <c r="H2469" s="116"/>
      <c r="I2469" s="26"/>
      <c r="J2469" s="98"/>
      <c r="K2469" s="36"/>
      <c r="L2469" s="26"/>
      <c r="M2469" s="26"/>
      <c r="N2469" s="26"/>
      <c r="O2469" s="93"/>
      <c r="P2469" s="95"/>
      <c r="Q2469" s="197"/>
    </row>
    <row r="2470" spans="3:17" x14ac:dyDescent="0.25">
      <c r="C2470" s="199"/>
      <c r="D2470" s="112"/>
      <c r="E2470" s="33"/>
      <c r="F2470" s="105"/>
      <c r="H2470" s="116"/>
      <c r="I2470" s="26"/>
      <c r="J2470" s="98"/>
      <c r="K2470" s="36"/>
      <c r="L2470" s="26"/>
      <c r="M2470" s="26"/>
      <c r="N2470" s="26"/>
      <c r="O2470" s="93"/>
      <c r="P2470" s="95"/>
      <c r="Q2470" s="197"/>
    </row>
    <row r="2471" spans="3:17" x14ac:dyDescent="0.25">
      <c r="C2471" s="199"/>
      <c r="D2471" s="112"/>
      <c r="E2471" s="33"/>
      <c r="F2471" s="105"/>
      <c r="H2471" s="116"/>
      <c r="I2471" s="26"/>
      <c r="J2471" s="98"/>
      <c r="K2471" s="36"/>
      <c r="L2471" s="26"/>
      <c r="M2471" s="26"/>
      <c r="N2471" s="26"/>
      <c r="O2471" s="93"/>
      <c r="P2471" s="95"/>
      <c r="Q2471" s="197"/>
    </row>
    <row r="2472" spans="3:17" x14ac:dyDescent="0.25">
      <c r="C2472" s="199"/>
      <c r="D2472" s="112"/>
      <c r="E2472" s="33"/>
      <c r="F2472" s="105"/>
      <c r="H2472" s="116"/>
      <c r="I2472" s="26"/>
      <c r="J2472" s="98"/>
      <c r="K2472" s="36"/>
      <c r="L2472" s="26"/>
      <c r="M2472" s="26"/>
      <c r="N2472" s="26"/>
      <c r="O2472" s="93"/>
      <c r="P2472" s="95"/>
      <c r="Q2472" s="197"/>
    </row>
    <row r="2473" spans="3:17" x14ac:dyDescent="0.25">
      <c r="C2473" s="199"/>
      <c r="D2473" s="112"/>
      <c r="E2473" s="33"/>
      <c r="F2473" s="105"/>
      <c r="H2473" s="116"/>
      <c r="I2473" s="26"/>
      <c r="J2473" s="98"/>
      <c r="K2473" s="36"/>
      <c r="L2473" s="26"/>
      <c r="M2473" s="26"/>
      <c r="N2473" s="26"/>
      <c r="O2473" s="93"/>
      <c r="P2473" s="95"/>
      <c r="Q2473" s="197"/>
    </row>
    <row r="2474" spans="3:17" x14ac:dyDescent="0.25">
      <c r="C2474" s="199"/>
      <c r="D2474" s="112"/>
      <c r="E2474" s="33"/>
      <c r="F2474" s="105"/>
      <c r="H2474" s="116"/>
      <c r="I2474" s="26"/>
      <c r="J2474" s="98"/>
      <c r="K2474" s="36"/>
      <c r="L2474" s="26"/>
      <c r="M2474" s="26"/>
      <c r="N2474" s="26"/>
      <c r="O2474" s="93"/>
      <c r="P2474" s="95"/>
      <c r="Q2474" s="197"/>
    </row>
    <row r="2475" spans="3:17" x14ac:dyDescent="0.25">
      <c r="C2475" s="199"/>
      <c r="D2475" s="112"/>
      <c r="E2475" s="33"/>
      <c r="F2475" s="105"/>
      <c r="H2475" s="116"/>
      <c r="I2475" s="26"/>
      <c r="J2475" s="98"/>
      <c r="K2475" s="36"/>
      <c r="L2475" s="26"/>
      <c r="M2475" s="26"/>
      <c r="N2475" s="26"/>
      <c r="O2475" s="93"/>
      <c r="P2475" s="95"/>
      <c r="Q2475" s="197"/>
    </row>
    <row r="2476" spans="3:17" x14ac:dyDescent="0.25">
      <c r="C2476" s="199"/>
      <c r="D2476" s="112"/>
      <c r="E2476" s="33"/>
      <c r="F2476" s="105"/>
      <c r="H2476" s="116"/>
      <c r="I2476" s="26"/>
      <c r="J2476" s="98"/>
      <c r="K2476" s="36"/>
      <c r="L2476" s="26"/>
      <c r="M2476" s="26"/>
      <c r="N2476" s="26"/>
      <c r="O2476" s="93"/>
      <c r="P2476" s="95"/>
      <c r="Q2476" s="197"/>
    </row>
    <row r="2477" spans="3:17" x14ac:dyDescent="0.25">
      <c r="C2477" s="199"/>
      <c r="D2477" s="112"/>
      <c r="E2477" s="33"/>
      <c r="F2477" s="105"/>
      <c r="H2477" s="116"/>
      <c r="I2477" s="26"/>
      <c r="J2477" s="98"/>
      <c r="K2477" s="36"/>
      <c r="L2477" s="26"/>
      <c r="M2477" s="26"/>
      <c r="N2477" s="26"/>
      <c r="O2477" s="93"/>
      <c r="P2477" s="95"/>
      <c r="Q2477" s="197"/>
    </row>
    <row r="2478" spans="3:17" x14ac:dyDescent="0.25">
      <c r="C2478" s="199"/>
      <c r="D2478" s="112"/>
      <c r="E2478" s="33"/>
      <c r="F2478" s="105"/>
      <c r="H2478" s="116"/>
      <c r="I2478" s="26"/>
      <c r="J2478" s="98"/>
      <c r="K2478" s="36"/>
      <c r="L2478" s="26"/>
      <c r="M2478" s="26"/>
      <c r="N2478" s="26"/>
      <c r="O2478" s="93"/>
      <c r="P2478" s="95"/>
      <c r="Q2478" s="197"/>
    </row>
    <row r="2479" spans="3:17" x14ac:dyDescent="0.25">
      <c r="C2479" s="199"/>
      <c r="D2479" s="112"/>
      <c r="E2479" s="33"/>
      <c r="F2479" s="105"/>
      <c r="H2479" s="116"/>
      <c r="I2479" s="26"/>
      <c r="J2479" s="98"/>
      <c r="K2479" s="36"/>
      <c r="L2479" s="26"/>
      <c r="M2479" s="26"/>
      <c r="N2479" s="26"/>
      <c r="O2479" s="93"/>
      <c r="P2479" s="95"/>
      <c r="Q2479" s="197"/>
    </row>
    <row r="2480" spans="3:17" x14ac:dyDescent="0.25">
      <c r="C2480" s="199"/>
      <c r="D2480" s="112"/>
      <c r="E2480" s="33"/>
      <c r="F2480" s="105"/>
      <c r="H2480" s="116"/>
      <c r="I2480" s="26"/>
      <c r="J2480" s="98"/>
      <c r="K2480" s="36"/>
      <c r="L2480" s="26"/>
      <c r="M2480" s="26"/>
      <c r="N2480" s="26"/>
      <c r="O2480" s="93"/>
      <c r="P2480" s="95"/>
      <c r="Q2480" s="197"/>
    </row>
    <row r="2481" spans="3:17" x14ac:dyDescent="0.25">
      <c r="C2481" s="199"/>
      <c r="D2481" s="112"/>
      <c r="E2481" s="33"/>
      <c r="F2481" s="105"/>
      <c r="H2481" s="116"/>
      <c r="I2481" s="26"/>
      <c r="J2481" s="98"/>
      <c r="K2481" s="36"/>
      <c r="L2481" s="26"/>
      <c r="M2481" s="26"/>
      <c r="N2481" s="26"/>
      <c r="O2481" s="93"/>
      <c r="P2481" s="95"/>
      <c r="Q2481" s="197"/>
    </row>
    <row r="2482" spans="3:17" x14ac:dyDescent="0.25">
      <c r="C2482" s="199"/>
      <c r="D2482" s="112"/>
      <c r="E2482" s="33"/>
      <c r="F2482" s="105"/>
      <c r="H2482" s="116"/>
      <c r="I2482" s="26"/>
      <c r="J2482" s="98"/>
      <c r="K2482" s="36"/>
      <c r="L2482" s="26"/>
      <c r="M2482" s="26"/>
      <c r="N2482" s="26"/>
      <c r="O2482" s="93"/>
      <c r="P2482" s="95"/>
      <c r="Q2482" s="197"/>
    </row>
    <row r="2483" spans="3:17" x14ac:dyDescent="0.25">
      <c r="C2483" s="199"/>
      <c r="D2483" s="112"/>
      <c r="E2483" s="33"/>
      <c r="F2483" s="105"/>
      <c r="H2483" s="116"/>
      <c r="I2483" s="26"/>
      <c r="J2483" s="98"/>
      <c r="K2483" s="36"/>
      <c r="L2483" s="26"/>
      <c r="M2483" s="26"/>
      <c r="N2483" s="26"/>
      <c r="O2483" s="93"/>
      <c r="P2483" s="95"/>
      <c r="Q2483" s="197"/>
    </row>
    <row r="2484" spans="3:17" x14ac:dyDescent="0.25">
      <c r="C2484" s="199"/>
      <c r="D2484" s="112"/>
      <c r="E2484" s="33"/>
      <c r="F2484" s="105"/>
      <c r="H2484" s="116"/>
      <c r="I2484" s="26"/>
      <c r="J2484" s="98"/>
      <c r="K2484" s="36"/>
      <c r="L2484" s="26"/>
      <c r="M2484" s="26"/>
      <c r="N2484" s="26"/>
      <c r="O2484" s="93"/>
      <c r="P2484" s="95"/>
      <c r="Q2484" s="197"/>
    </row>
    <row r="2485" spans="3:17" x14ac:dyDescent="0.25">
      <c r="C2485" s="199"/>
      <c r="D2485" s="112"/>
      <c r="E2485" s="33"/>
      <c r="F2485" s="105"/>
      <c r="H2485" s="116"/>
      <c r="I2485" s="26"/>
      <c r="J2485" s="98"/>
      <c r="K2485" s="36"/>
      <c r="L2485" s="26"/>
      <c r="M2485" s="26"/>
      <c r="N2485" s="26"/>
      <c r="O2485" s="93"/>
      <c r="P2485" s="95"/>
      <c r="Q2485" s="197"/>
    </row>
    <row r="2486" spans="3:17" x14ac:dyDescent="0.25">
      <c r="C2486" s="199"/>
      <c r="D2486" s="112"/>
      <c r="E2486" s="33"/>
      <c r="F2486" s="105"/>
      <c r="H2486" s="116"/>
      <c r="I2486" s="26"/>
      <c r="J2486" s="98"/>
      <c r="K2486" s="36"/>
      <c r="L2486" s="26"/>
      <c r="M2486" s="26"/>
      <c r="N2486" s="26"/>
      <c r="O2486" s="93"/>
      <c r="P2486" s="95"/>
      <c r="Q2486" s="197"/>
    </row>
    <row r="2487" spans="3:17" x14ac:dyDescent="0.25">
      <c r="C2487" s="199"/>
      <c r="D2487" s="112"/>
      <c r="E2487" s="33"/>
      <c r="F2487" s="105"/>
      <c r="H2487" s="116"/>
      <c r="I2487" s="26"/>
      <c r="J2487" s="98"/>
      <c r="K2487" s="36"/>
      <c r="L2487" s="26"/>
      <c r="M2487" s="26"/>
      <c r="N2487" s="26"/>
      <c r="O2487" s="93"/>
      <c r="P2487" s="95"/>
      <c r="Q2487" s="197"/>
    </row>
    <row r="2488" spans="3:17" x14ac:dyDescent="0.25">
      <c r="C2488" s="199"/>
      <c r="D2488" s="112"/>
      <c r="E2488" s="33"/>
      <c r="F2488" s="105"/>
      <c r="H2488" s="116"/>
      <c r="I2488" s="26"/>
      <c r="J2488" s="98"/>
      <c r="K2488" s="36"/>
      <c r="L2488" s="26"/>
      <c r="M2488" s="26"/>
      <c r="N2488" s="26"/>
      <c r="O2488" s="93"/>
      <c r="P2488" s="95"/>
      <c r="Q2488" s="197"/>
    </row>
    <row r="2489" spans="3:17" x14ac:dyDescent="0.25">
      <c r="C2489" s="199"/>
      <c r="D2489" s="112"/>
      <c r="E2489" s="33"/>
      <c r="F2489" s="105"/>
      <c r="H2489" s="116"/>
      <c r="I2489" s="26"/>
      <c r="J2489" s="98"/>
      <c r="K2489" s="36"/>
      <c r="L2489" s="26"/>
      <c r="M2489" s="26"/>
      <c r="N2489" s="26"/>
      <c r="O2489" s="93"/>
      <c r="P2489" s="95"/>
      <c r="Q2489" s="197"/>
    </row>
    <row r="2490" spans="3:17" x14ac:dyDescent="0.25">
      <c r="C2490" s="199"/>
      <c r="D2490" s="112"/>
      <c r="E2490" s="33"/>
      <c r="F2490" s="105"/>
      <c r="H2490" s="116"/>
      <c r="I2490" s="26"/>
      <c r="J2490" s="98"/>
      <c r="K2490" s="36"/>
      <c r="L2490" s="26"/>
      <c r="M2490" s="26"/>
      <c r="N2490" s="26"/>
      <c r="O2490" s="93"/>
      <c r="P2490" s="95"/>
      <c r="Q2490" s="197"/>
    </row>
    <row r="2491" spans="3:17" x14ac:dyDescent="0.25">
      <c r="C2491" s="199"/>
      <c r="D2491" s="112"/>
      <c r="E2491" s="33"/>
      <c r="F2491" s="105"/>
      <c r="H2491" s="116"/>
      <c r="I2491" s="26"/>
      <c r="J2491" s="98"/>
      <c r="K2491" s="36"/>
      <c r="L2491" s="26"/>
      <c r="M2491" s="26"/>
      <c r="N2491" s="26"/>
      <c r="O2491" s="93"/>
      <c r="P2491" s="95"/>
      <c r="Q2491" s="197"/>
    </row>
    <row r="2492" spans="3:17" x14ac:dyDescent="0.25">
      <c r="C2492" s="199"/>
      <c r="D2492" s="112"/>
      <c r="E2492" s="33"/>
      <c r="F2492" s="105"/>
      <c r="H2492" s="116"/>
      <c r="I2492" s="26"/>
      <c r="J2492" s="98"/>
      <c r="K2492" s="36"/>
      <c r="L2492" s="26"/>
      <c r="M2492" s="26"/>
      <c r="N2492" s="26"/>
      <c r="O2492" s="93"/>
      <c r="P2492" s="95"/>
      <c r="Q2492" s="197"/>
    </row>
    <row r="2493" spans="3:17" x14ac:dyDescent="0.25">
      <c r="C2493" s="199"/>
      <c r="D2493" s="112"/>
      <c r="E2493" s="33"/>
      <c r="F2493" s="105"/>
      <c r="H2493" s="116"/>
      <c r="I2493" s="26"/>
      <c r="J2493" s="98"/>
      <c r="K2493" s="36"/>
      <c r="L2493" s="26"/>
      <c r="M2493" s="26"/>
      <c r="N2493" s="26"/>
      <c r="O2493" s="93"/>
      <c r="P2493" s="95"/>
      <c r="Q2493" s="197"/>
    </row>
    <row r="2494" spans="3:17" x14ac:dyDescent="0.25">
      <c r="C2494" s="199"/>
      <c r="D2494" s="112"/>
      <c r="E2494" s="33"/>
      <c r="F2494" s="105"/>
      <c r="H2494" s="116"/>
      <c r="I2494" s="26"/>
      <c r="J2494" s="98"/>
      <c r="K2494" s="36"/>
      <c r="L2494" s="26"/>
      <c r="M2494" s="26"/>
      <c r="N2494" s="26"/>
      <c r="O2494" s="93"/>
      <c r="P2494" s="95"/>
      <c r="Q2494" s="197"/>
    </row>
    <row r="2495" spans="3:17" x14ac:dyDescent="0.25">
      <c r="C2495" s="199"/>
      <c r="D2495" s="112"/>
      <c r="E2495" s="33"/>
      <c r="F2495" s="105"/>
      <c r="H2495" s="116"/>
      <c r="I2495" s="26"/>
      <c r="J2495" s="98"/>
      <c r="K2495" s="36"/>
      <c r="L2495" s="26"/>
      <c r="M2495" s="26"/>
      <c r="N2495" s="26"/>
      <c r="O2495" s="93"/>
      <c r="P2495" s="95"/>
      <c r="Q2495" s="197"/>
    </row>
    <row r="2496" spans="3:17" x14ac:dyDescent="0.25">
      <c r="C2496" s="199"/>
      <c r="D2496" s="112"/>
      <c r="E2496" s="33"/>
      <c r="F2496" s="105"/>
      <c r="H2496" s="116"/>
      <c r="I2496" s="26"/>
      <c r="J2496" s="98"/>
      <c r="K2496" s="36"/>
      <c r="L2496" s="26"/>
      <c r="M2496" s="26"/>
      <c r="N2496" s="26"/>
      <c r="O2496" s="93"/>
      <c r="P2496" s="95"/>
      <c r="Q2496" s="197"/>
    </row>
    <row r="2497" spans="3:17" x14ac:dyDescent="0.25">
      <c r="C2497" s="199"/>
      <c r="D2497" s="112"/>
      <c r="E2497" s="33"/>
      <c r="F2497" s="105"/>
      <c r="H2497" s="116"/>
      <c r="I2497" s="26"/>
      <c r="J2497" s="98"/>
      <c r="K2497" s="36"/>
      <c r="L2497" s="26"/>
      <c r="M2497" s="26"/>
      <c r="N2497" s="26"/>
      <c r="O2497" s="93"/>
      <c r="P2497" s="95"/>
      <c r="Q2497" s="197"/>
    </row>
    <row r="2498" spans="3:17" x14ac:dyDescent="0.25">
      <c r="C2498" s="199"/>
      <c r="D2498" s="112"/>
      <c r="E2498" s="33"/>
      <c r="F2498" s="105"/>
      <c r="H2498" s="116"/>
      <c r="I2498" s="26"/>
      <c r="J2498" s="98"/>
      <c r="K2498" s="36"/>
      <c r="L2498" s="26"/>
      <c r="M2498" s="26"/>
      <c r="N2498" s="26"/>
      <c r="O2498" s="93"/>
      <c r="P2498" s="95"/>
      <c r="Q2498" s="197"/>
    </row>
    <row r="2499" spans="3:17" x14ac:dyDescent="0.25">
      <c r="C2499" s="199"/>
      <c r="D2499" s="112"/>
      <c r="E2499" s="33"/>
      <c r="F2499" s="105"/>
      <c r="H2499" s="116"/>
      <c r="I2499" s="26"/>
      <c r="J2499" s="98"/>
      <c r="K2499" s="36"/>
      <c r="L2499" s="26"/>
      <c r="M2499" s="26"/>
      <c r="N2499" s="26"/>
      <c r="O2499" s="93"/>
      <c r="P2499" s="95"/>
      <c r="Q2499" s="197"/>
    </row>
    <row r="2500" spans="3:17" x14ac:dyDescent="0.25">
      <c r="C2500" s="199"/>
      <c r="D2500" s="112"/>
      <c r="E2500" s="33"/>
      <c r="F2500" s="105"/>
      <c r="H2500" s="116"/>
      <c r="I2500" s="26"/>
      <c r="J2500" s="98"/>
      <c r="K2500" s="36"/>
      <c r="L2500" s="26"/>
      <c r="M2500" s="26"/>
      <c r="N2500" s="26"/>
      <c r="O2500" s="93"/>
      <c r="P2500" s="95"/>
      <c r="Q2500" s="197"/>
    </row>
    <row r="2501" spans="3:17" x14ac:dyDescent="0.25">
      <c r="C2501" s="199"/>
      <c r="D2501" s="112"/>
      <c r="E2501" s="33"/>
      <c r="F2501" s="105"/>
      <c r="H2501" s="116"/>
      <c r="I2501" s="26"/>
      <c r="J2501" s="98"/>
      <c r="K2501" s="36"/>
      <c r="L2501" s="26"/>
      <c r="M2501" s="26"/>
      <c r="N2501" s="26"/>
      <c r="O2501" s="93"/>
      <c r="P2501" s="95"/>
      <c r="Q2501" s="197"/>
    </row>
    <row r="2502" spans="3:17" x14ac:dyDescent="0.25">
      <c r="C2502" s="199"/>
      <c r="D2502" s="112"/>
      <c r="E2502" s="33"/>
      <c r="F2502" s="105"/>
      <c r="H2502" s="116"/>
      <c r="I2502" s="26"/>
      <c r="J2502" s="98"/>
      <c r="K2502" s="36"/>
      <c r="L2502" s="26"/>
      <c r="M2502" s="26"/>
      <c r="N2502" s="26"/>
      <c r="O2502" s="93"/>
      <c r="P2502" s="95"/>
      <c r="Q2502" s="197"/>
    </row>
    <row r="2503" spans="3:17" x14ac:dyDescent="0.25">
      <c r="C2503" s="199"/>
      <c r="D2503" s="112"/>
      <c r="E2503" s="33"/>
      <c r="F2503" s="105"/>
      <c r="H2503" s="116"/>
      <c r="I2503" s="26"/>
      <c r="J2503" s="98"/>
      <c r="K2503" s="36"/>
      <c r="L2503" s="26"/>
      <c r="M2503" s="26"/>
      <c r="N2503" s="26"/>
      <c r="O2503" s="93"/>
      <c r="P2503" s="95"/>
      <c r="Q2503" s="197"/>
    </row>
    <row r="2504" spans="3:17" x14ac:dyDescent="0.25">
      <c r="C2504" s="199"/>
      <c r="D2504" s="112"/>
      <c r="E2504" s="33"/>
      <c r="F2504" s="105"/>
      <c r="H2504" s="116"/>
      <c r="I2504" s="26"/>
      <c r="J2504" s="98"/>
      <c r="K2504" s="36"/>
      <c r="L2504" s="26"/>
      <c r="M2504" s="26"/>
      <c r="N2504" s="26"/>
      <c r="O2504" s="93"/>
      <c r="P2504" s="95"/>
      <c r="Q2504" s="197"/>
    </row>
    <row r="2505" spans="3:17" x14ac:dyDescent="0.25">
      <c r="C2505" s="199"/>
      <c r="D2505" s="112"/>
      <c r="E2505" s="33"/>
      <c r="F2505" s="105"/>
      <c r="H2505" s="116"/>
      <c r="I2505" s="26"/>
      <c r="J2505" s="98"/>
      <c r="K2505" s="36"/>
      <c r="L2505" s="26"/>
      <c r="M2505" s="26"/>
      <c r="N2505" s="26"/>
      <c r="O2505" s="93"/>
      <c r="P2505" s="95"/>
      <c r="Q2505" s="197"/>
    </row>
    <row r="2506" spans="3:17" x14ac:dyDescent="0.25">
      <c r="C2506" s="199"/>
      <c r="D2506" s="112"/>
      <c r="E2506" s="33"/>
      <c r="F2506" s="105"/>
      <c r="H2506" s="116"/>
      <c r="I2506" s="26"/>
      <c r="J2506" s="98"/>
      <c r="K2506" s="36"/>
      <c r="L2506" s="26"/>
      <c r="M2506" s="26"/>
      <c r="N2506" s="26"/>
      <c r="O2506" s="93"/>
      <c r="P2506" s="95"/>
      <c r="Q2506" s="197"/>
    </row>
    <row r="2507" spans="3:17" x14ac:dyDescent="0.25">
      <c r="C2507" s="199"/>
      <c r="D2507" s="112"/>
      <c r="E2507" s="33"/>
      <c r="F2507" s="105"/>
      <c r="H2507" s="116"/>
      <c r="I2507" s="26"/>
      <c r="J2507" s="98"/>
      <c r="K2507" s="36"/>
      <c r="L2507" s="26"/>
      <c r="M2507" s="26"/>
      <c r="N2507" s="26"/>
      <c r="O2507" s="93"/>
      <c r="P2507" s="95"/>
      <c r="Q2507" s="197"/>
    </row>
    <row r="2508" spans="3:17" x14ac:dyDescent="0.25">
      <c r="C2508" s="199"/>
      <c r="D2508" s="112"/>
      <c r="E2508" s="33"/>
      <c r="F2508" s="105"/>
      <c r="H2508" s="116"/>
      <c r="I2508" s="26"/>
      <c r="J2508" s="98"/>
      <c r="K2508" s="36"/>
      <c r="L2508" s="26"/>
      <c r="M2508" s="26"/>
      <c r="N2508" s="26"/>
      <c r="O2508" s="93"/>
      <c r="P2508" s="95"/>
      <c r="Q2508" s="197"/>
    </row>
    <row r="2509" spans="3:17" x14ac:dyDescent="0.25">
      <c r="C2509" s="199"/>
      <c r="D2509" s="112"/>
      <c r="E2509" s="33"/>
      <c r="F2509" s="105"/>
      <c r="H2509" s="116"/>
      <c r="I2509" s="26"/>
      <c r="J2509" s="98"/>
      <c r="K2509" s="36"/>
      <c r="L2509" s="26"/>
      <c r="M2509" s="26"/>
      <c r="N2509" s="26"/>
      <c r="O2509" s="93"/>
      <c r="P2509" s="95"/>
      <c r="Q2509" s="197"/>
    </row>
    <row r="2510" spans="3:17" x14ac:dyDescent="0.25">
      <c r="C2510" s="199"/>
      <c r="D2510" s="112"/>
      <c r="E2510" s="33"/>
      <c r="F2510" s="105"/>
      <c r="H2510" s="116"/>
      <c r="I2510" s="26"/>
      <c r="J2510" s="98"/>
      <c r="K2510" s="36"/>
      <c r="L2510" s="26"/>
      <c r="M2510" s="26"/>
      <c r="N2510" s="26"/>
      <c r="O2510" s="93"/>
      <c r="P2510" s="95"/>
      <c r="Q2510" s="197"/>
    </row>
    <row r="2511" spans="3:17" x14ac:dyDescent="0.25">
      <c r="C2511" s="199"/>
      <c r="D2511" s="112"/>
      <c r="E2511" s="33"/>
      <c r="F2511" s="105"/>
      <c r="H2511" s="116"/>
      <c r="I2511" s="26"/>
      <c r="J2511" s="98"/>
      <c r="K2511" s="36"/>
      <c r="L2511" s="26"/>
      <c r="M2511" s="26"/>
      <c r="N2511" s="26"/>
      <c r="O2511" s="93"/>
      <c r="P2511" s="95"/>
      <c r="Q2511" s="197"/>
    </row>
    <row r="2512" spans="3:17" x14ac:dyDescent="0.25">
      <c r="C2512" s="199"/>
      <c r="D2512" s="112"/>
      <c r="E2512" s="33"/>
      <c r="F2512" s="105"/>
      <c r="H2512" s="116"/>
      <c r="I2512" s="26"/>
      <c r="J2512" s="98"/>
      <c r="K2512" s="36"/>
      <c r="L2512" s="26"/>
      <c r="M2512" s="26"/>
      <c r="N2512" s="26"/>
      <c r="O2512" s="93"/>
      <c r="P2512" s="95"/>
      <c r="Q2512" s="197"/>
    </row>
    <row r="2513" spans="3:17" x14ac:dyDescent="0.25">
      <c r="C2513" s="199"/>
      <c r="D2513" s="112"/>
      <c r="E2513" s="33"/>
      <c r="F2513" s="105"/>
      <c r="H2513" s="116"/>
      <c r="I2513" s="26"/>
      <c r="J2513" s="98"/>
      <c r="K2513" s="36"/>
      <c r="L2513" s="26"/>
      <c r="M2513" s="26"/>
      <c r="N2513" s="26"/>
      <c r="O2513" s="93"/>
      <c r="P2513" s="95"/>
      <c r="Q2513" s="197"/>
    </row>
    <row r="2514" spans="3:17" x14ac:dyDescent="0.25">
      <c r="C2514" s="199"/>
      <c r="D2514" s="112"/>
      <c r="E2514" s="33"/>
      <c r="F2514" s="105"/>
      <c r="H2514" s="116"/>
      <c r="I2514" s="26"/>
      <c r="J2514" s="98"/>
      <c r="K2514" s="36"/>
      <c r="L2514" s="26"/>
      <c r="M2514" s="26"/>
      <c r="N2514" s="26"/>
      <c r="O2514" s="93"/>
      <c r="P2514" s="95"/>
      <c r="Q2514" s="197"/>
    </row>
    <row r="2515" spans="3:17" x14ac:dyDescent="0.25">
      <c r="C2515" s="199"/>
      <c r="D2515" s="112"/>
      <c r="E2515" s="33"/>
      <c r="F2515" s="105"/>
      <c r="H2515" s="116"/>
      <c r="I2515" s="26"/>
      <c r="J2515" s="98"/>
      <c r="K2515" s="36"/>
      <c r="L2515" s="26"/>
      <c r="M2515" s="26"/>
      <c r="N2515" s="26"/>
      <c r="O2515" s="93"/>
      <c r="P2515" s="95"/>
      <c r="Q2515" s="197"/>
    </row>
    <row r="2516" spans="3:17" x14ac:dyDescent="0.25">
      <c r="C2516" s="199"/>
      <c r="D2516" s="112"/>
      <c r="E2516" s="33"/>
      <c r="F2516" s="105"/>
      <c r="H2516" s="116"/>
      <c r="I2516" s="26"/>
      <c r="J2516" s="98"/>
      <c r="K2516" s="36"/>
      <c r="L2516" s="26"/>
      <c r="M2516" s="26"/>
      <c r="N2516" s="26"/>
      <c r="O2516" s="93"/>
      <c r="P2516" s="95"/>
      <c r="Q2516" s="197"/>
    </row>
    <row r="2517" spans="3:17" x14ac:dyDescent="0.25">
      <c r="C2517" s="199"/>
      <c r="D2517" s="112"/>
      <c r="E2517" s="33"/>
      <c r="F2517" s="105"/>
      <c r="H2517" s="116"/>
      <c r="I2517" s="26"/>
      <c r="J2517" s="98"/>
      <c r="K2517" s="36"/>
      <c r="L2517" s="26"/>
      <c r="M2517" s="26"/>
      <c r="N2517" s="26"/>
      <c r="O2517" s="93"/>
      <c r="P2517" s="95"/>
      <c r="Q2517" s="197"/>
    </row>
    <row r="2518" spans="3:17" x14ac:dyDescent="0.25">
      <c r="C2518" s="199"/>
      <c r="D2518" s="112"/>
      <c r="E2518" s="33"/>
      <c r="F2518" s="105"/>
      <c r="H2518" s="116"/>
      <c r="I2518" s="26"/>
      <c r="J2518" s="98"/>
      <c r="K2518" s="36"/>
      <c r="L2518" s="26"/>
      <c r="M2518" s="26"/>
      <c r="N2518" s="26"/>
      <c r="O2518" s="93"/>
      <c r="P2518" s="95"/>
      <c r="Q2518" s="197"/>
    </row>
    <row r="2519" spans="3:17" x14ac:dyDescent="0.25">
      <c r="C2519" s="199"/>
      <c r="D2519" s="112"/>
      <c r="E2519" s="33"/>
      <c r="F2519" s="105"/>
      <c r="H2519" s="116"/>
      <c r="I2519" s="26"/>
      <c r="J2519" s="98"/>
      <c r="K2519" s="36"/>
      <c r="L2519" s="26"/>
      <c r="M2519" s="26"/>
      <c r="N2519" s="26"/>
      <c r="O2519" s="93"/>
      <c r="P2519" s="95"/>
      <c r="Q2519" s="197"/>
    </row>
    <row r="2520" spans="3:17" x14ac:dyDescent="0.25">
      <c r="C2520" s="199"/>
      <c r="D2520" s="112"/>
      <c r="E2520" s="33"/>
      <c r="F2520" s="105"/>
      <c r="H2520" s="116"/>
      <c r="I2520" s="26"/>
      <c r="J2520" s="98"/>
      <c r="K2520" s="36"/>
      <c r="L2520" s="26"/>
      <c r="M2520" s="26"/>
      <c r="N2520" s="26"/>
      <c r="O2520" s="93"/>
      <c r="P2520" s="95"/>
      <c r="Q2520" s="197"/>
    </row>
    <row r="2521" spans="3:17" x14ac:dyDescent="0.25">
      <c r="C2521" s="199"/>
      <c r="D2521" s="112"/>
      <c r="E2521" s="33"/>
      <c r="F2521" s="105"/>
      <c r="H2521" s="116"/>
      <c r="I2521" s="26"/>
      <c r="J2521" s="98"/>
      <c r="K2521" s="36"/>
      <c r="L2521" s="26"/>
      <c r="M2521" s="26"/>
      <c r="N2521" s="26"/>
      <c r="O2521" s="93"/>
      <c r="P2521" s="95"/>
      <c r="Q2521" s="197"/>
    </row>
    <row r="2522" spans="3:17" x14ac:dyDescent="0.25">
      <c r="C2522" s="199"/>
      <c r="D2522" s="112"/>
      <c r="E2522" s="33"/>
      <c r="F2522" s="105"/>
      <c r="H2522" s="116"/>
      <c r="I2522" s="26"/>
      <c r="J2522" s="98"/>
      <c r="K2522" s="36"/>
      <c r="L2522" s="26"/>
      <c r="M2522" s="26"/>
      <c r="N2522" s="26"/>
      <c r="O2522" s="93"/>
      <c r="P2522" s="95"/>
      <c r="Q2522" s="197"/>
    </row>
    <row r="2523" spans="3:17" x14ac:dyDescent="0.25">
      <c r="C2523" s="199"/>
      <c r="D2523" s="112"/>
      <c r="E2523" s="33"/>
      <c r="F2523" s="105"/>
      <c r="H2523" s="116"/>
      <c r="I2523" s="26"/>
      <c r="J2523" s="98"/>
      <c r="K2523" s="36"/>
      <c r="L2523" s="26"/>
      <c r="M2523" s="26"/>
      <c r="N2523" s="26"/>
      <c r="O2523" s="93"/>
      <c r="P2523" s="95"/>
      <c r="Q2523" s="197"/>
    </row>
    <row r="2524" spans="3:17" x14ac:dyDescent="0.25">
      <c r="C2524" s="199"/>
      <c r="D2524" s="112"/>
      <c r="E2524" s="33"/>
      <c r="F2524" s="105"/>
      <c r="H2524" s="116"/>
      <c r="I2524" s="26"/>
      <c r="J2524" s="98"/>
      <c r="K2524" s="36"/>
      <c r="L2524" s="26"/>
      <c r="M2524" s="26"/>
      <c r="N2524" s="26"/>
      <c r="O2524" s="93"/>
      <c r="P2524" s="95"/>
      <c r="Q2524" s="197"/>
    </row>
    <row r="2525" spans="3:17" x14ac:dyDescent="0.25">
      <c r="C2525" s="199"/>
      <c r="D2525" s="112"/>
      <c r="E2525" s="33"/>
      <c r="F2525" s="105"/>
      <c r="H2525" s="116"/>
      <c r="I2525" s="26"/>
      <c r="J2525" s="98"/>
      <c r="K2525" s="36"/>
      <c r="L2525" s="26"/>
      <c r="M2525" s="26"/>
      <c r="N2525" s="26"/>
      <c r="O2525" s="93"/>
      <c r="P2525" s="95"/>
      <c r="Q2525" s="197"/>
    </row>
    <row r="2526" spans="3:17" x14ac:dyDescent="0.25">
      <c r="C2526" s="199"/>
      <c r="D2526" s="112"/>
      <c r="E2526" s="33"/>
      <c r="F2526" s="105"/>
      <c r="H2526" s="116"/>
      <c r="I2526" s="26"/>
      <c r="J2526" s="98"/>
      <c r="K2526" s="36"/>
      <c r="L2526" s="26"/>
      <c r="M2526" s="26"/>
      <c r="N2526" s="26"/>
      <c r="O2526" s="93"/>
      <c r="P2526" s="95"/>
      <c r="Q2526" s="197"/>
    </row>
    <row r="2527" spans="3:17" x14ac:dyDescent="0.25">
      <c r="C2527" s="199"/>
      <c r="D2527" s="112"/>
      <c r="E2527" s="33"/>
      <c r="F2527" s="105"/>
      <c r="H2527" s="116"/>
      <c r="I2527" s="26"/>
      <c r="J2527" s="98"/>
      <c r="K2527" s="36"/>
      <c r="L2527" s="26"/>
      <c r="M2527" s="26"/>
      <c r="N2527" s="26"/>
      <c r="O2527" s="93"/>
      <c r="P2527" s="95"/>
      <c r="Q2527" s="197"/>
    </row>
    <row r="2528" spans="3:17" x14ac:dyDescent="0.25">
      <c r="C2528" s="199"/>
      <c r="D2528" s="112"/>
      <c r="E2528" s="33"/>
      <c r="F2528" s="105"/>
      <c r="H2528" s="116"/>
      <c r="I2528" s="26"/>
      <c r="J2528" s="98"/>
      <c r="K2528" s="36"/>
      <c r="L2528" s="26"/>
      <c r="M2528" s="26"/>
      <c r="N2528" s="26"/>
      <c r="O2528" s="93"/>
      <c r="P2528" s="95"/>
      <c r="Q2528" s="197"/>
    </row>
    <row r="2529" spans="3:17" x14ac:dyDescent="0.25">
      <c r="C2529" s="199"/>
      <c r="D2529" s="112"/>
      <c r="E2529" s="33"/>
      <c r="F2529" s="105"/>
      <c r="H2529" s="116"/>
      <c r="I2529" s="26"/>
      <c r="J2529" s="98"/>
      <c r="K2529" s="36"/>
      <c r="L2529" s="26"/>
      <c r="M2529" s="26"/>
      <c r="N2529" s="26"/>
      <c r="O2529" s="93"/>
      <c r="P2529" s="95"/>
      <c r="Q2529" s="197"/>
    </row>
    <row r="2530" spans="3:17" x14ac:dyDescent="0.25">
      <c r="C2530" s="199"/>
      <c r="D2530" s="112"/>
      <c r="E2530" s="33"/>
      <c r="F2530" s="105"/>
      <c r="H2530" s="116"/>
      <c r="I2530" s="26"/>
      <c r="J2530" s="98"/>
      <c r="K2530" s="36"/>
      <c r="L2530" s="26"/>
      <c r="M2530" s="26"/>
      <c r="N2530" s="26"/>
      <c r="O2530" s="93"/>
      <c r="P2530" s="95"/>
      <c r="Q2530" s="197"/>
    </row>
    <row r="2531" spans="3:17" x14ac:dyDescent="0.25">
      <c r="C2531" s="199"/>
      <c r="D2531" s="112"/>
      <c r="E2531" s="33"/>
      <c r="F2531" s="105"/>
      <c r="H2531" s="116"/>
      <c r="I2531" s="26"/>
      <c r="J2531" s="98"/>
      <c r="K2531" s="36"/>
      <c r="L2531" s="26"/>
      <c r="M2531" s="26"/>
      <c r="N2531" s="26"/>
      <c r="O2531" s="93"/>
      <c r="P2531" s="95"/>
      <c r="Q2531" s="197"/>
    </row>
    <row r="2532" spans="3:17" x14ac:dyDescent="0.25">
      <c r="C2532" s="199"/>
      <c r="D2532" s="112"/>
      <c r="E2532" s="33"/>
      <c r="F2532" s="105"/>
      <c r="H2532" s="116"/>
      <c r="I2532" s="26"/>
      <c r="J2532" s="98"/>
      <c r="K2532" s="36"/>
      <c r="L2532" s="26"/>
      <c r="M2532" s="26"/>
      <c r="N2532" s="26"/>
      <c r="O2532" s="93"/>
      <c r="P2532" s="95"/>
      <c r="Q2532" s="197"/>
    </row>
    <row r="2533" spans="3:17" x14ac:dyDescent="0.25">
      <c r="C2533" s="199"/>
      <c r="D2533" s="112"/>
      <c r="E2533" s="33"/>
      <c r="F2533" s="105"/>
      <c r="H2533" s="116"/>
      <c r="I2533" s="26"/>
      <c r="J2533" s="98"/>
      <c r="K2533" s="36"/>
      <c r="L2533" s="26"/>
      <c r="M2533" s="26"/>
      <c r="N2533" s="26"/>
      <c r="O2533" s="93"/>
      <c r="P2533" s="95"/>
      <c r="Q2533" s="197"/>
    </row>
    <row r="2534" spans="3:17" x14ac:dyDescent="0.25">
      <c r="C2534" s="199"/>
      <c r="D2534" s="112"/>
      <c r="E2534" s="33"/>
      <c r="F2534" s="105"/>
      <c r="H2534" s="116"/>
      <c r="I2534" s="26"/>
      <c r="J2534" s="98"/>
      <c r="K2534" s="36"/>
      <c r="L2534" s="26"/>
      <c r="M2534" s="26"/>
      <c r="N2534" s="26"/>
      <c r="O2534" s="93"/>
      <c r="P2534" s="95"/>
      <c r="Q2534" s="197"/>
    </row>
    <row r="2535" spans="3:17" x14ac:dyDescent="0.25">
      <c r="C2535" s="199"/>
      <c r="D2535" s="112"/>
      <c r="E2535" s="33"/>
      <c r="F2535" s="105"/>
      <c r="H2535" s="116"/>
      <c r="I2535" s="26"/>
      <c r="J2535" s="98"/>
      <c r="K2535" s="36"/>
      <c r="L2535" s="26"/>
      <c r="M2535" s="26"/>
      <c r="N2535" s="26"/>
      <c r="O2535" s="93"/>
      <c r="P2535" s="95"/>
      <c r="Q2535" s="197"/>
    </row>
    <row r="2536" spans="3:17" x14ac:dyDescent="0.25">
      <c r="C2536" s="199"/>
      <c r="D2536" s="112"/>
      <c r="E2536" s="33"/>
      <c r="F2536" s="105"/>
      <c r="H2536" s="116"/>
      <c r="I2536" s="26"/>
      <c r="J2536" s="98"/>
      <c r="K2536" s="36"/>
      <c r="L2536" s="26"/>
      <c r="M2536" s="26"/>
      <c r="N2536" s="26"/>
      <c r="O2536" s="93"/>
      <c r="P2536" s="95"/>
      <c r="Q2536" s="197"/>
    </row>
    <row r="2537" spans="3:17" x14ac:dyDescent="0.25">
      <c r="C2537" s="199"/>
      <c r="D2537" s="112"/>
      <c r="E2537" s="33"/>
      <c r="F2537" s="105"/>
      <c r="H2537" s="116"/>
      <c r="I2537" s="26"/>
      <c r="J2537" s="98"/>
      <c r="K2537" s="36"/>
      <c r="L2537" s="26"/>
      <c r="M2537" s="26"/>
      <c r="N2537" s="26"/>
      <c r="O2537" s="93"/>
      <c r="P2537" s="95"/>
      <c r="Q2537" s="197"/>
    </row>
    <row r="2538" spans="3:17" x14ac:dyDescent="0.25">
      <c r="C2538" s="199"/>
      <c r="D2538" s="112"/>
      <c r="E2538" s="33"/>
      <c r="F2538" s="105"/>
      <c r="H2538" s="116"/>
      <c r="I2538" s="26"/>
      <c r="J2538" s="98"/>
      <c r="K2538" s="36"/>
      <c r="L2538" s="26"/>
      <c r="M2538" s="26"/>
      <c r="N2538" s="26"/>
      <c r="O2538" s="93"/>
      <c r="P2538" s="95"/>
      <c r="Q2538" s="197"/>
    </row>
    <row r="2539" spans="3:17" x14ac:dyDescent="0.25">
      <c r="C2539" s="199"/>
      <c r="D2539" s="112"/>
      <c r="E2539" s="33"/>
      <c r="F2539" s="105"/>
      <c r="H2539" s="116"/>
      <c r="I2539" s="26"/>
      <c r="J2539" s="98"/>
      <c r="K2539" s="36"/>
      <c r="L2539" s="26"/>
      <c r="M2539" s="26"/>
      <c r="N2539" s="26"/>
      <c r="O2539" s="93"/>
      <c r="P2539" s="95"/>
      <c r="Q2539" s="197"/>
    </row>
    <row r="2540" spans="3:17" x14ac:dyDescent="0.25">
      <c r="C2540" s="199"/>
      <c r="D2540" s="112"/>
      <c r="E2540" s="33"/>
      <c r="F2540" s="105"/>
      <c r="H2540" s="116"/>
      <c r="I2540" s="26"/>
      <c r="J2540" s="98"/>
      <c r="K2540" s="36"/>
      <c r="L2540" s="26"/>
      <c r="M2540" s="26"/>
      <c r="N2540" s="26"/>
      <c r="O2540" s="93"/>
      <c r="P2540" s="95"/>
      <c r="Q2540" s="197"/>
    </row>
    <row r="2541" spans="3:17" x14ac:dyDescent="0.25">
      <c r="C2541" s="199"/>
      <c r="D2541" s="112"/>
      <c r="E2541" s="33"/>
      <c r="F2541" s="105"/>
      <c r="H2541" s="116"/>
      <c r="I2541" s="26"/>
      <c r="J2541" s="98"/>
      <c r="K2541" s="36"/>
      <c r="L2541" s="26"/>
      <c r="M2541" s="26"/>
      <c r="N2541" s="26"/>
      <c r="O2541" s="93"/>
      <c r="P2541" s="95"/>
      <c r="Q2541" s="197"/>
    </row>
    <row r="2542" spans="3:17" x14ac:dyDescent="0.25">
      <c r="C2542" s="199"/>
      <c r="D2542" s="112"/>
      <c r="E2542" s="33"/>
      <c r="F2542" s="105"/>
      <c r="H2542" s="116"/>
      <c r="I2542" s="26"/>
      <c r="J2542" s="98"/>
      <c r="K2542" s="36"/>
      <c r="L2542" s="26"/>
      <c r="M2542" s="26"/>
      <c r="N2542" s="26"/>
      <c r="O2542" s="93"/>
      <c r="P2542" s="95"/>
      <c r="Q2542" s="197"/>
    </row>
    <row r="2543" spans="3:17" x14ac:dyDescent="0.25">
      <c r="C2543" s="199"/>
      <c r="D2543" s="112"/>
      <c r="E2543" s="33"/>
      <c r="F2543" s="105"/>
      <c r="H2543" s="116"/>
      <c r="I2543" s="26"/>
      <c r="J2543" s="98"/>
      <c r="K2543" s="36"/>
      <c r="L2543" s="26"/>
      <c r="M2543" s="26"/>
      <c r="N2543" s="26"/>
      <c r="O2543" s="93"/>
      <c r="P2543" s="95"/>
      <c r="Q2543" s="197"/>
    </row>
    <row r="2544" spans="3:17" x14ac:dyDescent="0.25">
      <c r="C2544" s="199"/>
      <c r="D2544" s="112"/>
      <c r="E2544" s="33"/>
      <c r="F2544" s="105"/>
      <c r="H2544" s="116"/>
      <c r="I2544" s="26"/>
      <c r="J2544" s="98"/>
      <c r="K2544" s="36"/>
      <c r="L2544" s="26"/>
      <c r="M2544" s="26"/>
      <c r="N2544" s="26"/>
      <c r="O2544" s="93"/>
      <c r="P2544" s="95"/>
      <c r="Q2544" s="197"/>
    </row>
    <row r="2545" spans="3:17" x14ac:dyDescent="0.25">
      <c r="C2545" s="199"/>
      <c r="D2545" s="112"/>
      <c r="E2545" s="33"/>
      <c r="F2545" s="105"/>
      <c r="H2545" s="116"/>
      <c r="I2545" s="26"/>
      <c r="J2545" s="98"/>
      <c r="K2545" s="36"/>
      <c r="L2545" s="26"/>
      <c r="M2545" s="26"/>
      <c r="N2545" s="26"/>
      <c r="O2545" s="93"/>
      <c r="P2545" s="95"/>
      <c r="Q2545" s="197"/>
    </row>
    <row r="2546" spans="3:17" x14ac:dyDescent="0.25">
      <c r="C2546" s="199"/>
      <c r="D2546" s="112"/>
      <c r="E2546" s="33"/>
      <c r="F2546" s="105"/>
      <c r="H2546" s="116"/>
      <c r="I2546" s="26"/>
      <c r="J2546" s="98"/>
      <c r="K2546" s="36"/>
      <c r="L2546" s="26"/>
      <c r="M2546" s="26"/>
      <c r="N2546" s="26"/>
      <c r="O2546" s="93"/>
      <c r="P2546" s="95"/>
      <c r="Q2546" s="197"/>
    </row>
    <row r="2547" spans="3:17" x14ac:dyDescent="0.25">
      <c r="C2547" s="199"/>
      <c r="D2547" s="112"/>
      <c r="E2547" s="33"/>
      <c r="F2547" s="105"/>
      <c r="H2547" s="116"/>
      <c r="I2547" s="26"/>
      <c r="J2547" s="98"/>
      <c r="K2547" s="36"/>
      <c r="L2547" s="26"/>
      <c r="M2547" s="26"/>
      <c r="N2547" s="26"/>
      <c r="O2547" s="93"/>
      <c r="P2547" s="95"/>
      <c r="Q2547" s="197"/>
    </row>
    <row r="2548" spans="3:17" x14ac:dyDescent="0.25">
      <c r="C2548" s="199"/>
      <c r="D2548" s="112"/>
      <c r="E2548" s="33"/>
      <c r="F2548" s="105"/>
      <c r="H2548" s="116"/>
      <c r="I2548" s="26"/>
      <c r="J2548" s="98"/>
      <c r="K2548" s="36"/>
      <c r="L2548" s="26"/>
      <c r="M2548" s="26"/>
      <c r="N2548" s="26"/>
      <c r="O2548" s="93"/>
      <c r="P2548" s="95"/>
      <c r="Q2548" s="197"/>
    </row>
    <row r="2549" spans="3:17" x14ac:dyDescent="0.25">
      <c r="C2549" s="199"/>
      <c r="D2549" s="112"/>
      <c r="E2549" s="33"/>
      <c r="F2549" s="105"/>
      <c r="H2549" s="116"/>
      <c r="I2549" s="26"/>
      <c r="J2549" s="98"/>
      <c r="K2549" s="36"/>
      <c r="L2549" s="26"/>
      <c r="M2549" s="26"/>
      <c r="N2549" s="26"/>
      <c r="O2549" s="93"/>
      <c r="P2549" s="95"/>
      <c r="Q2549" s="197"/>
    </row>
    <row r="2550" spans="3:17" x14ac:dyDescent="0.25">
      <c r="C2550" s="199"/>
      <c r="D2550" s="112"/>
      <c r="E2550" s="33"/>
      <c r="F2550" s="105"/>
      <c r="H2550" s="116"/>
      <c r="I2550" s="26"/>
      <c r="J2550" s="98"/>
      <c r="K2550" s="36"/>
      <c r="L2550" s="26"/>
      <c r="M2550" s="26"/>
      <c r="N2550" s="26"/>
      <c r="O2550" s="93"/>
      <c r="P2550" s="95"/>
      <c r="Q2550" s="197"/>
    </row>
    <row r="2551" spans="3:17" x14ac:dyDescent="0.25">
      <c r="C2551" s="199"/>
      <c r="D2551" s="112"/>
      <c r="E2551" s="33"/>
      <c r="F2551" s="105"/>
      <c r="H2551" s="116"/>
      <c r="I2551" s="26"/>
      <c r="J2551" s="98"/>
      <c r="K2551" s="36"/>
      <c r="L2551" s="26"/>
      <c r="M2551" s="26"/>
      <c r="N2551" s="26"/>
      <c r="O2551" s="93"/>
      <c r="P2551" s="95"/>
      <c r="Q2551" s="197"/>
    </row>
    <row r="2552" spans="3:17" x14ac:dyDescent="0.25">
      <c r="C2552" s="199"/>
      <c r="D2552" s="112"/>
      <c r="E2552" s="33"/>
      <c r="F2552" s="105"/>
      <c r="H2552" s="116"/>
      <c r="I2552" s="26"/>
      <c r="J2552" s="98"/>
      <c r="K2552" s="36"/>
      <c r="L2552" s="26"/>
      <c r="M2552" s="26"/>
      <c r="N2552" s="26"/>
      <c r="O2552" s="93"/>
      <c r="P2552" s="95"/>
      <c r="Q2552" s="197"/>
    </row>
    <row r="2553" spans="3:17" x14ac:dyDescent="0.25">
      <c r="C2553" s="199"/>
      <c r="D2553" s="112"/>
      <c r="E2553" s="33"/>
      <c r="F2553" s="105"/>
      <c r="H2553" s="116"/>
      <c r="I2553" s="26"/>
      <c r="J2553" s="98"/>
      <c r="K2553" s="36"/>
      <c r="L2553" s="26"/>
      <c r="M2553" s="26"/>
      <c r="N2553" s="26"/>
      <c r="O2553" s="93"/>
      <c r="P2553" s="95"/>
      <c r="Q2553" s="197"/>
    </row>
    <row r="2554" spans="3:17" x14ac:dyDescent="0.25">
      <c r="C2554" s="199"/>
      <c r="D2554" s="112"/>
      <c r="E2554" s="33"/>
      <c r="F2554" s="105"/>
      <c r="H2554" s="116"/>
      <c r="I2554" s="26"/>
      <c r="J2554" s="98"/>
      <c r="K2554" s="36"/>
      <c r="L2554" s="26"/>
      <c r="M2554" s="26"/>
      <c r="N2554" s="26"/>
      <c r="O2554" s="93"/>
      <c r="P2554" s="95"/>
      <c r="Q2554" s="197"/>
    </row>
    <row r="2555" spans="3:17" x14ac:dyDescent="0.25">
      <c r="C2555" s="199"/>
      <c r="D2555" s="112"/>
      <c r="E2555" s="33"/>
      <c r="F2555" s="105"/>
      <c r="H2555" s="116"/>
      <c r="I2555" s="26"/>
      <c r="J2555" s="98"/>
      <c r="K2555" s="36"/>
      <c r="L2555" s="26"/>
      <c r="M2555" s="26"/>
      <c r="N2555" s="26"/>
      <c r="O2555" s="93"/>
      <c r="P2555" s="95"/>
      <c r="Q2555" s="197"/>
    </row>
    <row r="2556" spans="3:17" x14ac:dyDescent="0.25">
      <c r="C2556" s="199"/>
      <c r="D2556" s="112"/>
      <c r="E2556" s="33"/>
      <c r="F2556" s="105"/>
      <c r="H2556" s="116"/>
      <c r="I2556" s="26"/>
      <c r="J2556" s="98"/>
      <c r="K2556" s="36"/>
      <c r="L2556" s="26"/>
      <c r="M2556" s="26"/>
      <c r="N2556" s="26"/>
      <c r="O2556" s="93"/>
      <c r="P2556" s="95"/>
      <c r="Q2556" s="197"/>
    </row>
    <row r="2557" spans="3:17" x14ac:dyDescent="0.25">
      <c r="C2557" s="199"/>
      <c r="D2557" s="112"/>
      <c r="E2557" s="33"/>
      <c r="F2557" s="105"/>
      <c r="H2557" s="116"/>
      <c r="I2557" s="26"/>
      <c r="J2557" s="98"/>
      <c r="K2557" s="36"/>
      <c r="L2557" s="26"/>
      <c r="M2557" s="26"/>
      <c r="N2557" s="26"/>
      <c r="O2557" s="93"/>
      <c r="P2557" s="95"/>
      <c r="Q2557" s="197"/>
    </row>
    <row r="2558" spans="3:17" x14ac:dyDescent="0.25">
      <c r="C2558" s="199"/>
      <c r="D2558" s="112"/>
      <c r="E2558" s="33"/>
      <c r="F2558" s="105"/>
      <c r="H2558" s="116"/>
      <c r="I2558" s="26"/>
      <c r="J2558" s="98"/>
      <c r="K2558" s="36"/>
      <c r="L2558" s="26"/>
      <c r="M2558" s="26"/>
      <c r="N2558" s="26"/>
      <c r="O2558" s="93"/>
      <c r="P2558" s="95"/>
      <c r="Q2558" s="197"/>
    </row>
    <row r="2559" spans="3:17" x14ac:dyDescent="0.25">
      <c r="C2559" s="199"/>
      <c r="D2559" s="112"/>
      <c r="E2559" s="33"/>
      <c r="F2559" s="105"/>
      <c r="H2559" s="116"/>
      <c r="I2559" s="26"/>
      <c r="J2559" s="98"/>
      <c r="K2559" s="36"/>
      <c r="L2559" s="26"/>
      <c r="M2559" s="26"/>
      <c r="N2559" s="26"/>
      <c r="O2559" s="93"/>
      <c r="P2559" s="95"/>
      <c r="Q2559" s="197"/>
    </row>
    <row r="2560" spans="3:17" x14ac:dyDescent="0.25">
      <c r="C2560" s="199"/>
      <c r="D2560" s="112"/>
      <c r="E2560" s="33"/>
      <c r="F2560" s="105"/>
      <c r="H2560" s="116"/>
      <c r="I2560" s="26"/>
      <c r="J2560" s="98"/>
      <c r="K2560" s="36"/>
      <c r="L2560" s="26"/>
      <c r="M2560" s="26"/>
      <c r="N2560" s="26"/>
      <c r="O2560" s="93"/>
      <c r="P2560" s="95"/>
      <c r="Q2560" s="197"/>
    </row>
    <row r="2561" spans="3:17" x14ac:dyDescent="0.25">
      <c r="C2561" s="199"/>
      <c r="D2561" s="112"/>
      <c r="E2561" s="33"/>
      <c r="F2561" s="105"/>
      <c r="H2561" s="116"/>
      <c r="I2561" s="26"/>
      <c r="J2561" s="98"/>
      <c r="K2561" s="36"/>
      <c r="L2561" s="26"/>
      <c r="M2561" s="26"/>
      <c r="N2561" s="26"/>
      <c r="O2561" s="93"/>
      <c r="P2561" s="95"/>
      <c r="Q2561" s="197"/>
    </row>
    <row r="2562" spans="3:17" x14ac:dyDescent="0.25">
      <c r="C2562" s="199"/>
      <c r="D2562" s="112"/>
      <c r="E2562" s="33"/>
      <c r="F2562" s="105"/>
      <c r="H2562" s="116"/>
      <c r="I2562" s="26"/>
      <c r="J2562" s="98"/>
      <c r="K2562" s="36"/>
      <c r="L2562" s="26"/>
      <c r="M2562" s="26"/>
      <c r="N2562" s="26"/>
      <c r="O2562" s="93"/>
      <c r="P2562" s="95"/>
      <c r="Q2562" s="197"/>
    </row>
    <row r="2563" spans="3:17" x14ac:dyDescent="0.25">
      <c r="C2563" s="199"/>
      <c r="D2563" s="112"/>
      <c r="E2563" s="33"/>
      <c r="F2563" s="105"/>
      <c r="H2563" s="116"/>
      <c r="I2563" s="26"/>
      <c r="J2563" s="98"/>
      <c r="K2563" s="36"/>
      <c r="L2563" s="26"/>
      <c r="M2563" s="26"/>
      <c r="N2563" s="26"/>
      <c r="O2563" s="93"/>
      <c r="P2563" s="95"/>
      <c r="Q2563" s="197"/>
    </row>
    <row r="2564" spans="3:17" x14ac:dyDescent="0.25">
      <c r="C2564" s="199"/>
      <c r="D2564" s="112"/>
      <c r="E2564" s="33"/>
      <c r="F2564" s="105"/>
      <c r="H2564" s="116"/>
      <c r="I2564" s="26"/>
      <c r="J2564" s="98"/>
      <c r="K2564" s="36"/>
      <c r="L2564" s="26"/>
      <c r="M2564" s="26"/>
      <c r="N2564" s="26"/>
      <c r="O2564" s="93"/>
      <c r="P2564" s="95"/>
      <c r="Q2564" s="197"/>
    </row>
    <row r="2565" spans="3:17" x14ac:dyDescent="0.25">
      <c r="C2565" s="199"/>
      <c r="D2565" s="112"/>
      <c r="E2565" s="33"/>
      <c r="F2565" s="105"/>
      <c r="H2565" s="116"/>
      <c r="I2565" s="26"/>
      <c r="J2565" s="98"/>
      <c r="K2565" s="36"/>
      <c r="L2565" s="26"/>
      <c r="M2565" s="26"/>
      <c r="N2565" s="26"/>
      <c r="O2565" s="93"/>
      <c r="P2565" s="95"/>
      <c r="Q2565" s="197"/>
    </row>
    <row r="2566" spans="3:17" x14ac:dyDescent="0.25">
      <c r="C2566" s="199"/>
      <c r="D2566" s="112"/>
      <c r="E2566" s="33"/>
      <c r="F2566" s="105"/>
      <c r="H2566" s="116"/>
      <c r="I2566" s="26"/>
      <c r="J2566" s="98"/>
      <c r="K2566" s="36"/>
      <c r="L2566" s="26"/>
      <c r="M2566" s="26"/>
      <c r="N2566" s="26"/>
      <c r="O2566" s="93"/>
      <c r="P2566" s="95"/>
      <c r="Q2566" s="197"/>
    </row>
    <row r="2567" spans="3:17" x14ac:dyDescent="0.25">
      <c r="C2567" s="199"/>
      <c r="D2567" s="112"/>
      <c r="E2567" s="33"/>
      <c r="F2567" s="105"/>
      <c r="H2567" s="116"/>
      <c r="I2567" s="26"/>
      <c r="J2567" s="98"/>
      <c r="K2567" s="36"/>
      <c r="L2567" s="26"/>
      <c r="M2567" s="26"/>
      <c r="N2567" s="26"/>
      <c r="O2567" s="93"/>
      <c r="P2567" s="95"/>
      <c r="Q2567" s="197"/>
    </row>
    <row r="2568" spans="3:17" x14ac:dyDescent="0.25">
      <c r="C2568" s="199"/>
      <c r="D2568" s="112"/>
      <c r="E2568" s="33"/>
      <c r="F2568" s="105"/>
      <c r="H2568" s="116"/>
      <c r="I2568" s="26"/>
      <c r="J2568" s="98"/>
      <c r="K2568" s="36"/>
      <c r="L2568" s="26"/>
      <c r="M2568" s="26"/>
      <c r="N2568" s="26"/>
      <c r="O2568" s="93"/>
      <c r="P2568" s="95"/>
      <c r="Q2568" s="197"/>
    </row>
    <row r="2569" spans="3:17" x14ac:dyDescent="0.25">
      <c r="C2569" s="199"/>
      <c r="D2569" s="112"/>
      <c r="E2569" s="33"/>
      <c r="F2569" s="105"/>
      <c r="H2569" s="116"/>
      <c r="I2569" s="26"/>
      <c r="J2569" s="98"/>
      <c r="K2569" s="36"/>
      <c r="L2569" s="26"/>
      <c r="M2569" s="26"/>
      <c r="N2569" s="26"/>
      <c r="O2569" s="93"/>
      <c r="P2569" s="95"/>
      <c r="Q2569" s="197"/>
    </row>
    <row r="2570" spans="3:17" x14ac:dyDescent="0.25">
      <c r="C2570" s="199"/>
      <c r="D2570" s="112"/>
      <c r="E2570" s="33"/>
      <c r="F2570" s="105"/>
      <c r="H2570" s="116"/>
      <c r="I2570" s="26"/>
      <c r="J2570" s="98"/>
      <c r="K2570" s="36"/>
      <c r="L2570" s="26"/>
      <c r="M2570" s="26"/>
      <c r="N2570" s="26"/>
      <c r="O2570" s="93"/>
      <c r="P2570" s="95"/>
      <c r="Q2570" s="197"/>
    </row>
    <row r="2571" spans="3:17" x14ac:dyDescent="0.25">
      <c r="C2571" s="199"/>
      <c r="D2571" s="112"/>
      <c r="E2571" s="33"/>
      <c r="F2571" s="105"/>
      <c r="H2571" s="116"/>
      <c r="I2571" s="26"/>
      <c r="J2571" s="98"/>
      <c r="K2571" s="36"/>
      <c r="L2571" s="26"/>
      <c r="M2571" s="26"/>
      <c r="N2571" s="26"/>
      <c r="O2571" s="93"/>
      <c r="P2571" s="95"/>
      <c r="Q2571" s="197"/>
    </row>
    <row r="2572" spans="3:17" x14ac:dyDescent="0.25">
      <c r="C2572" s="199"/>
      <c r="D2572" s="112"/>
      <c r="E2572" s="33"/>
      <c r="F2572" s="105"/>
      <c r="H2572" s="116"/>
      <c r="I2572" s="26"/>
      <c r="J2572" s="98"/>
      <c r="K2572" s="36"/>
      <c r="L2572" s="26"/>
      <c r="M2572" s="26"/>
      <c r="N2572" s="26"/>
      <c r="O2572" s="93"/>
      <c r="P2572" s="95"/>
      <c r="Q2572" s="197"/>
    </row>
    <row r="2573" spans="3:17" x14ac:dyDescent="0.25">
      <c r="C2573" s="199"/>
      <c r="D2573" s="112"/>
      <c r="E2573" s="33"/>
      <c r="F2573" s="105"/>
      <c r="H2573" s="116"/>
      <c r="I2573" s="26"/>
      <c r="J2573" s="98"/>
      <c r="K2573" s="36"/>
      <c r="L2573" s="26"/>
      <c r="M2573" s="26"/>
      <c r="N2573" s="26"/>
      <c r="O2573" s="93"/>
      <c r="P2573" s="95"/>
      <c r="Q2573" s="197"/>
    </row>
    <row r="2574" spans="3:17" x14ac:dyDescent="0.25">
      <c r="C2574" s="199"/>
      <c r="D2574" s="112"/>
      <c r="E2574" s="33"/>
      <c r="F2574" s="105"/>
      <c r="H2574" s="116"/>
      <c r="I2574" s="26"/>
      <c r="J2574" s="98"/>
      <c r="K2574" s="36"/>
      <c r="L2574" s="26"/>
      <c r="M2574" s="26"/>
      <c r="N2574" s="26"/>
      <c r="O2574" s="93"/>
      <c r="P2574" s="95"/>
      <c r="Q2574" s="197"/>
    </row>
    <row r="2575" spans="3:17" x14ac:dyDescent="0.25">
      <c r="C2575" s="199"/>
      <c r="D2575" s="112"/>
      <c r="E2575" s="33"/>
      <c r="F2575" s="105"/>
      <c r="H2575" s="116"/>
      <c r="I2575" s="26"/>
      <c r="J2575" s="98"/>
      <c r="K2575" s="36"/>
      <c r="L2575" s="26"/>
      <c r="M2575" s="26"/>
      <c r="N2575" s="26"/>
      <c r="O2575" s="93"/>
      <c r="P2575" s="95"/>
      <c r="Q2575" s="197"/>
    </row>
    <row r="2576" spans="3:17" x14ac:dyDescent="0.25">
      <c r="C2576" s="199"/>
      <c r="D2576" s="112"/>
      <c r="E2576" s="33"/>
      <c r="F2576" s="105"/>
      <c r="H2576" s="116"/>
      <c r="I2576" s="26"/>
      <c r="J2576" s="98"/>
      <c r="K2576" s="36"/>
      <c r="L2576" s="26"/>
      <c r="M2576" s="26"/>
      <c r="N2576" s="26"/>
      <c r="O2576" s="93"/>
      <c r="P2576" s="95"/>
      <c r="Q2576" s="197"/>
    </row>
    <row r="2577" spans="3:17" x14ac:dyDescent="0.25">
      <c r="C2577" s="199"/>
      <c r="D2577" s="112"/>
      <c r="E2577" s="33"/>
      <c r="F2577" s="105"/>
      <c r="H2577" s="116"/>
      <c r="I2577" s="26"/>
      <c r="J2577" s="98"/>
      <c r="K2577" s="36"/>
      <c r="L2577" s="26"/>
      <c r="M2577" s="26"/>
      <c r="N2577" s="26"/>
      <c r="O2577" s="93"/>
      <c r="P2577" s="95"/>
      <c r="Q2577" s="197"/>
    </row>
    <row r="2578" spans="3:17" x14ac:dyDescent="0.25">
      <c r="C2578" s="199"/>
      <c r="D2578" s="112"/>
      <c r="E2578" s="33"/>
      <c r="F2578" s="105"/>
      <c r="H2578" s="116"/>
      <c r="I2578" s="26"/>
      <c r="J2578" s="98"/>
      <c r="K2578" s="36"/>
      <c r="L2578" s="26"/>
      <c r="M2578" s="26"/>
      <c r="N2578" s="26"/>
      <c r="O2578" s="93"/>
      <c r="P2578" s="95"/>
      <c r="Q2578" s="197"/>
    </row>
    <row r="2579" spans="3:17" x14ac:dyDescent="0.25">
      <c r="C2579" s="199"/>
      <c r="D2579" s="112"/>
      <c r="E2579" s="33"/>
      <c r="F2579" s="105"/>
      <c r="H2579" s="116"/>
      <c r="I2579" s="26"/>
      <c r="J2579" s="98"/>
      <c r="K2579" s="36"/>
      <c r="L2579" s="26"/>
      <c r="M2579" s="26"/>
      <c r="N2579" s="26"/>
      <c r="O2579" s="93"/>
      <c r="P2579" s="95"/>
      <c r="Q2579" s="197"/>
    </row>
    <row r="2580" spans="3:17" x14ac:dyDescent="0.25">
      <c r="C2580" s="199"/>
      <c r="D2580" s="112"/>
      <c r="E2580" s="33"/>
      <c r="F2580" s="105"/>
      <c r="H2580" s="116"/>
      <c r="I2580" s="26"/>
      <c r="J2580" s="98"/>
      <c r="K2580" s="36"/>
      <c r="L2580" s="26"/>
      <c r="M2580" s="26"/>
      <c r="N2580" s="26"/>
      <c r="O2580" s="93"/>
      <c r="P2580" s="95"/>
      <c r="Q2580" s="197"/>
    </row>
    <row r="2581" spans="3:17" x14ac:dyDescent="0.25">
      <c r="C2581" s="199"/>
      <c r="D2581" s="112"/>
      <c r="E2581" s="33"/>
      <c r="F2581" s="105"/>
      <c r="H2581" s="116"/>
      <c r="I2581" s="26"/>
      <c r="J2581" s="98"/>
      <c r="K2581" s="36"/>
      <c r="L2581" s="26"/>
      <c r="M2581" s="26"/>
      <c r="N2581" s="26"/>
      <c r="O2581" s="93"/>
      <c r="P2581" s="95"/>
      <c r="Q2581" s="197"/>
    </row>
    <row r="2582" spans="3:17" x14ac:dyDescent="0.25">
      <c r="C2582" s="199"/>
      <c r="D2582" s="112"/>
      <c r="E2582" s="33"/>
      <c r="F2582" s="105"/>
      <c r="H2582" s="116"/>
      <c r="I2582" s="26"/>
      <c r="J2582" s="98"/>
      <c r="K2582" s="36"/>
      <c r="L2582" s="26"/>
      <c r="M2582" s="26"/>
      <c r="N2582" s="26"/>
      <c r="O2582" s="93"/>
      <c r="P2582" s="95"/>
      <c r="Q2582" s="197"/>
    </row>
    <row r="2583" spans="3:17" x14ac:dyDescent="0.25">
      <c r="C2583" s="199"/>
      <c r="D2583" s="112"/>
      <c r="E2583" s="33"/>
      <c r="F2583" s="105"/>
      <c r="H2583" s="116"/>
      <c r="I2583" s="26"/>
      <c r="J2583" s="98"/>
      <c r="K2583" s="36"/>
      <c r="L2583" s="26"/>
      <c r="M2583" s="26"/>
      <c r="N2583" s="26"/>
      <c r="O2583" s="93"/>
      <c r="P2583" s="95"/>
      <c r="Q2583" s="197"/>
    </row>
    <row r="2584" spans="3:17" x14ac:dyDescent="0.25">
      <c r="C2584" s="199"/>
      <c r="D2584" s="112"/>
      <c r="E2584" s="33"/>
      <c r="F2584" s="105"/>
      <c r="H2584" s="116"/>
      <c r="I2584" s="26"/>
      <c r="J2584" s="98"/>
      <c r="K2584" s="36"/>
      <c r="L2584" s="26"/>
      <c r="M2584" s="26"/>
      <c r="N2584" s="26"/>
      <c r="O2584" s="93"/>
      <c r="P2584" s="95"/>
      <c r="Q2584" s="197"/>
    </row>
    <row r="2585" spans="3:17" x14ac:dyDescent="0.25">
      <c r="C2585" s="199"/>
      <c r="D2585" s="112"/>
      <c r="E2585" s="33"/>
      <c r="F2585" s="105"/>
      <c r="H2585" s="116"/>
      <c r="I2585" s="26"/>
      <c r="J2585" s="98"/>
      <c r="K2585" s="36"/>
      <c r="L2585" s="26"/>
      <c r="M2585" s="26"/>
      <c r="N2585" s="26"/>
      <c r="O2585" s="93"/>
      <c r="P2585" s="95"/>
      <c r="Q2585" s="197"/>
    </row>
    <row r="2586" spans="3:17" x14ac:dyDescent="0.25">
      <c r="C2586" s="199"/>
      <c r="D2586" s="112"/>
      <c r="E2586" s="33"/>
      <c r="F2586" s="105"/>
      <c r="H2586" s="116"/>
      <c r="I2586" s="26"/>
      <c r="J2586" s="98"/>
      <c r="K2586" s="36"/>
      <c r="L2586" s="26"/>
      <c r="M2586" s="26"/>
      <c r="N2586" s="26"/>
      <c r="O2586" s="93"/>
      <c r="P2586" s="95"/>
      <c r="Q2586" s="197"/>
    </row>
    <row r="2587" spans="3:17" x14ac:dyDescent="0.25">
      <c r="C2587" s="199"/>
      <c r="D2587" s="112"/>
      <c r="E2587" s="33"/>
      <c r="F2587" s="105"/>
      <c r="H2587" s="116"/>
      <c r="I2587" s="26"/>
      <c r="J2587" s="98"/>
      <c r="K2587" s="36"/>
      <c r="L2587" s="26"/>
      <c r="M2587" s="26"/>
      <c r="N2587" s="26"/>
      <c r="O2587" s="93"/>
      <c r="P2587" s="95"/>
      <c r="Q2587" s="197"/>
    </row>
    <row r="2588" spans="3:17" x14ac:dyDescent="0.25">
      <c r="C2588" s="199"/>
      <c r="D2588" s="112"/>
      <c r="E2588" s="33"/>
      <c r="F2588" s="105"/>
      <c r="H2588" s="116"/>
      <c r="I2588" s="26"/>
      <c r="J2588" s="98"/>
      <c r="K2588" s="36"/>
      <c r="L2588" s="26"/>
      <c r="M2588" s="26"/>
      <c r="N2588" s="26"/>
      <c r="O2588" s="93"/>
      <c r="P2588" s="95"/>
      <c r="Q2588" s="197"/>
    </row>
    <row r="2589" spans="3:17" x14ac:dyDescent="0.25">
      <c r="C2589" s="199"/>
      <c r="D2589" s="112"/>
      <c r="E2589" s="33"/>
      <c r="F2589" s="105"/>
      <c r="H2589" s="116"/>
      <c r="I2589" s="26"/>
      <c r="J2589" s="98"/>
      <c r="K2589" s="36"/>
      <c r="L2589" s="26"/>
      <c r="M2589" s="26"/>
      <c r="N2589" s="26"/>
      <c r="O2589" s="93"/>
      <c r="P2589" s="95"/>
      <c r="Q2589" s="197"/>
    </row>
    <row r="2590" spans="3:17" x14ac:dyDescent="0.25">
      <c r="C2590" s="199"/>
      <c r="D2590" s="112"/>
      <c r="E2590" s="33"/>
      <c r="F2590" s="105"/>
      <c r="H2590" s="116"/>
      <c r="I2590" s="26"/>
      <c r="J2590" s="98"/>
      <c r="K2590" s="36"/>
      <c r="L2590" s="26"/>
      <c r="M2590" s="26"/>
      <c r="N2590" s="26"/>
      <c r="O2590" s="93"/>
      <c r="P2590" s="95"/>
      <c r="Q2590" s="197"/>
    </row>
    <row r="2591" spans="3:17" x14ac:dyDescent="0.25">
      <c r="C2591" s="199"/>
      <c r="D2591" s="112"/>
      <c r="E2591" s="33"/>
      <c r="F2591" s="105"/>
      <c r="H2591" s="116"/>
      <c r="I2591" s="26"/>
      <c r="J2591" s="98"/>
      <c r="K2591" s="36"/>
      <c r="L2591" s="26"/>
      <c r="M2591" s="26"/>
      <c r="N2591" s="26"/>
      <c r="O2591" s="93"/>
      <c r="P2591" s="95"/>
      <c r="Q2591" s="197"/>
    </row>
    <row r="2592" spans="3:17" x14ac:dyDescent="0.25">
      <c r="C2592" s="199"/>
      <c r="D2592" s="112"/>
      <c r="E2592" s="33"/>
      <c r="F2592" s="105"/>
      <c r="H2592" s="116"/>
      <c r="I2592" s="26"/>
      <c r="J2592" s="98"/>
      <c r="K2592" s="36"/>
      <c r="L2592" s="26"/>
      <c r="M2592" s="26"/>
      <c r="N2592" s="26"/>
      <c r="O2592" s="93"/>
      <c r="P2592" s="95"/>
      <c r="Q2592" s="197"/>
    </row>
    <row r="2593" spans="3:17" x14ac:dyDescent="0.25">
      <c r="C2593" s="199"/>
      <c r="D2593" s="112"/>
      <c r="E2593" s="33"/>
      <c r="F2593" s="105"/>
      <c r="H2593" s="116"/>
      <c r="I2593" s="26"/>
      <c r="J2593" s="98"/>
      <c r="K2593" s="36"/>
      <c r="L2593" s="26"/>
      <c r="M2593" s="26"/>
      <c r="N2593" s="26"/>
      <c r="O2593" s="93"/>
      <c r="P2593" s="95"/>
      <c r="Q2593" s="197"/>
    </row>
    <row r="2594" spans="3:17" x14ac:dyDescent="0.25">
      <c r="C2594" s="199"/>
      <c r="D2594" s="112"/>
      <c r="E2594" s="33"/>
      <c r="F2594" s="105"/>
      <c r="H2594" s="116"/>
      <c r="I2594" s="26"/>
      <c r="J2594" s="98"/>
      <c r="K2594" s="36"/>
      <c r="L2594" s="26"/>
      <c r="M2594" s="26"/>
      <c r="N2594" s="26"/>
      <c r="O2594" s="93"/>
      <c r="P2594" s="95"/>
      <c r="Q2594" s="197"/>
    </row>
    <row r="2595" spans="3:17" x14ac:dyDescent="0.25">
      <c r="C2595" s="199"/>
      <c r="D2595" s="112"/>
      <c r="E2595" s="33"/>
      <c r="F2595" s="105"/>
      <c r="H2595" s="116"/>
      <c r="I2595" s="26"/>
      <c r="J2595" s="98"/>
      <c r="K2595" s="36"/>
      <c r="L2595" s="26"/>
      <c r="M2595" s="26"/>
      <c r="N2595" s="26"/>
      <c r="O2595" s="93"/>
      <c r="P2595" s="95"/>
      <c r="Q2595" s="197"/>
    </row>
    <row r="2596" spans="3:17" x14ac:dyDescent="0.25">
      <c r="C2596" s="199"/>
      <c r="D2596" s="112"/>
      <c r="E2596" s="33"/>
      <c r="F2596" s="105"/>
      <c r="H2596" s="116"/>
      <c r="I2596" s="26"/>
      <c r="J2596" s="98"/>
      <c r="K2596" s="36"/>
      <c r="L2596" s="26"/>
      <c r="M2596" s="26"/>
      <c r="N2596" s="26"/>
      <c r="O2596" s="93"/>
      <c r="P2596" s="95"/>
      <c r="Q2596" s="197"/>
    </row>
    <row r="2597" spans="3:17" x14ac:dyDescent="0.25">
      <c r="C2597" s="199"/>
      <c r="D2597" s="112"/>
      <c r="E2597" s="33"/>
      <c r="F2597" s="105"/>
      <c r="H2597" s="116"/>
      <c r="I2597" s="26"/>
      <c r="J2597" s="98"/>
      <c r="K2597" s="36"/>
      <c r="L2597" s="26"/>
      <c r="M2597" s="26"/>
      <c r="N2597" s="26"/>
      <c r="O2597" s="93"/>
      <c r="P2597" s="95"/>
      <c r="Q2597" s="197"/>
    </row>
    <row r="2598" spans="3:17" x14ac:dyDescent="0.25">
      <c r="C2598" s="199"/>
      <c r="D2598" s="112"/>
      <c r="E2598" s="33"/>
      <c r="F2598" s="105"/>
      <c r="H2598" s="116"/>
      <c r="I2598" s="26"/>
      <c r="J2598" s="98"/>
      <c r="K2598" s="36"/>
      <c r="L2598" s="26"/>
      <c r="M2598" s="26"/>
      <c r="N2598" s="26"/>
      <c r="O2598" s="93"/>
      <c r="P2598" s="95"/>
      <c r="Q2598" s="197"/>
    </row>
    <row r="2599" spans="3:17" x14ac:dyDescent="0.25">
      <c r="C2599" s="199"/>
      <c r="D2599" s="112"/>
      <c r="E2599" s="33"/>
      <c r="F2599" s="105"/>
      <c r="H2599" s="116"/>
      <c r="I2599" s="26"/>
      <c r="J2599" s="98"/>
      <c r="K2599" s="36"/>
      <c r="L2599" s="26"/>
      <c r="M2599" s="26"/>
      <c r="N2599" s="26"/>
      <c r="O2599" s="93"/>
      <c r="P2599" s="95"/>
      <c r="Q2599" s="197"/>
    </row>
    <row r="2600" spans="3:17" x14ac:dyDescent="0.25">
      <c r="C2600" s="199"/>
      <c r="D2600" s="112"/>
      <c r="E2600" s="33"/>
      <c r="F2600" s="105"/>
      <c r="H2600" s="116"/>
      <c r="I2600" s="26"/>
      <c r="J2600" s="98"/>
      <c r="K2600" s="36"/>
      <c r="L2600" s="26"/>
      <c r="M2600" s="26"/>
      <c r="N2600" s="26"/>
      <c r="O2600" s="93"/>
      <c r="P2600" s="95"/>
      <c r="Q2600" s="197"/>
    </row>
    <row r="2601" spans="3:17" x14ac:dyDescent="0.25">
      <c r="C2601" s="199"/>
      <c r="D2601" s="112"/>
      <c r="E2601" s="33"/>
      <c r="F2601" s="105"/>
      <c r="H2601" s="116"/>
      <c r="I2601" s="26"/>
      <c r="J2601" s="98"/>
      <c r="K2601" s="36"/>
      <c r="L2601" s="26"/>
      <c r="M2601" s="26"/>
      <c r="N2601" s="26"/>
      <c r="O2601" s="93"/>
      <c r="P2601" s="95"/>
      <c r="Q2601" s="197"/>
    </row>
    <row r="2602" spans="3:17" x14ac:dyDescent="0.25">
      <c r="C2602" s="199"/>
      <c r="D2602" s="112"/>
      <c r="E2602" s="33"/>
      <c r="F2602" s="105"/>
      <c r="H2602" s="116"/>
      <c r="I2602" s="26"/>
      <c r="J2602" s="98"/>
      <c r="K2602" s="36"/>
      <c r="L2602" s="26"/>
      <c r="M2602" s="26"/>
      <c r="N2602" s="26"/>
      <c r="O2602" s="93"/>
      <c r="P2602" s="95"/>
      <c r="Q2602" s="197"/>
    </row>
    <row r="2603" spans="3:17" x14ac:dyDescent="0.25">
      <c r="C2603" s="199"/>
      <c r="D2603" s="112"/>
      <c r="E2603" s="33"/>
      <c r="F2603" s="105"/>
      <c r="H2603" s="116"/>
      <c r="I2603" s="26"/>
      <c r="J2603" s="98"/>
      <c r="K2603" s="36"/>
      <c r="L2603" s="26"/>
      <c r="M2603" s="26"/>
      <c r="N2603" s="26"/>
      <c r="O2603" s="93"/>
      <c r="P2603" s="95"/>
      <c r="Q2603" s="197"/>
    </row>
    <row r="2604" spans="3:17" x14ac:dyDescent="0.25">
      <c r="C2604" s="199"/>
      <c r="D2604" s="112"/>
      <c r="E2604" s="33"/>
      <c r="F2604" s="105"/>
      <c r="H2604" s="116"/>
      <c r="I2604" s="26"/>
      <c r="J2604" s="98"/>
      <c r="K2604" s="36"/>
      <c r="L2604" s="26"/>
      <c r="M2604" s="26"/>
      <c r="N2604" s="26"/>
      <c r="O2604" s="93"/>
      <c r="P2604" s="95"/>
      <c r="Q2604" s="197"/>
    </row>
    <row r="2605" spans="3:17" x14ac:dyDescent="0.25">
      <c r="C2605" s="199"/>
      <c r="D2605" s="112"/>
      <c r="E2605" s="33"/>
      <c r="F2605" s="105"/>
      <c r="H2605" s="116"/>
      <c r="I2605" s="26"/>
      <c r="J2605" s="98"/>
      <c r="K2605" s="36"/>
      <c r="L2605" s="26"/>
      <c r="M2605" s="26"/>
      <c r="N2605" s="26"/>
      <c r="O2605" s="93"/>
      <c r="P2605" s="95"/>
      <c r="Q2605" s="197"/>
    </row>
    <row r="2606" spans="3:17" x14ac:dyDescent="0.25">
      <c r="C2606" s="199"/>
      <c r="D2606" s="112"/>
      <c r="E2606" s="33"/>
      <c r="F2606" s="105"/>
      <c r="H2606" s="116"/>
      <c r="I2606" s="26"/>
      <c r="J2606" s="98"/>
      <c r="K2606" s="36"/>
      <c r="L2606" s="26"/>
      <c r="M2606" s="26"/>
      <c r="N2606" s="26"/>
      <c r="O2606" s="93"/>
      <c r="P2606" s="95"/>
      <c r="Q2606" s="197"/>
    </row>
    <row r="2607" spans="3:17" x14ac:dyDescent="0.25">
      <c r="C2607" s="199"/>
      <c r="D2607" s="112"/>
      <c r="E2607" s="33"/>
      <c r="F2607" s="105"/>
      <c r="H2607" s="116"/>
      <c r="I2607" s="26"/>
      <c r="J2607" s="98"/>
      <c r="K2607" s="36"/>
      <c r="L2607" s="26"/>
      <c r="M2607" s="26"/>
      <c r="N2607" s="26"/>
      <c r="O2607" s="93"/>
      <c r="P2607" s="95"/>
      <c r="Q2607" s="197"/>
    </row>
    <row r="2608" spans="3:17" x14ac:dyDescent="0.25">
      <c r="C2608" s="199"/>
      <c r="D2608" s="112"/>
      <c r="E2608" s="33"/>
      <c r="F2608" s="105"/>
      <c r="H2608" s="116"/>
      <c r="I2608" s="26"/>
      <c r="J2608" s="98"/>
      <c r="K2608" s="36"/>
      <c r="L2608" s="26"/>
      <c r="M2608" s="26"/>
      <c r="N2608" s="26"/>
      <c r="O2608" s="93"/>
      <c r="P2608" s="95"/>
      <c r="Q2608" s="197"/>
    </row>
    <row r="2609" spans="3:17" x14ac:dyDescent="0.25">
      <c r="C2609" s="199"/>
      <c r="D2609" s="112"/>
      <c r="E2609" s="33"/>
      <c r="F2609" s="105"/>
      <c r="H2609" s="116"/>
      <c r="I2609" s="26"/>
      <c r="J2609" s="98"/>
      <c r="K2609" s="36"/>
      <c r="L2609" s="26"/>
      <c r="M2609" s="26"/>
      <c r="N2609" s="26"/>
      <c r="O2609" s="93"/>
      <c r="P2609" s="95"/>
      <c r="Q2609" s="197"/>
    </row>
    <row r="2610" spans="3:17" x14ac:dyDescent="0.25">
      <c r="C2610" s="199"/>
      <c r="D2610" s="112"/>
      <c r="E2610" s="33"/>
      <c r="F2610" s="105"/>
      <c r="H2610" s="116"/>
      <c r="I2610" s="26"/>
      <c r="J2610" s="98"/>
      <c r="K2610" s="36"/>
      <c r="L2610" s="26"/>
      <c r="M2610" s="26"/>
      <c r="N2610" s="26"/>
      <c r="O2610" s="93"/>
      <c r="P2610" s="95"/>
      <c r="Q2610" s="197"/>
    </row>
    <row r="2611" spans="3:17" x14ac:dyDescent="0.25">
      <c r="C2611" s="199"/>
      <c r="D2611" s="112"/>
      <c r="E2611" s="33"/>
      <c r="F2611" s="105"/>
      <c r="H2611" s="116"/>
      <c r="I2611" s="26"/>
      <c r="J2611" s="98"/>
      <c r="K2611" s="36"/>
      <c r="L2611" s="26"/>
      <c r="M2611" s="26"/>
      <c r="N2611" s="26"/>
      <c r="O2611" s="93"/>
      <c r="P2611" s="95"/>
      <c r="Q2611" s="197"/>
    </row>
    <row r="2612" spans="3:17" x14ac:dyDescent="0.25">
      <c r="C2612" s="199"/>
      <c r="D2612" s="112"/>
      <c r="E2612" s="33"/>
      <c r="F2612" s="105"/>
      <c r="H2612" s="116"/>
      <c r="I2612" s="26"/>
      <c r="J2612" s="98"/>
      <c r="K2612" s="36"/>
      <c r="L2612" s="26"/>
      <c r="M2612" s="26"/>
      <c r="N2612" s="26"/>
      <c r="O2612" s="93"/>
      <c r="P2612" s="95"/>
      <c r="Q2612" s="197"/>
    </row>
    <row r="2613" spans="3:17" x14ac:dyDescent="0.25">
      <c r="C2613" s="199"/>
      <c r="D2613" s="112"/>
      <c r="E2613" s="33"/>
      <c r="F2613" s="105"/>
      <c r="H2613" s="116"/>
      <c r="I2613" s="26"/>
      <c r="J2613" s="98"/>
      <c r="K2613" s="36"/>
      <c r="L2613" s="26"/>
      <c r="M2613" s="26"/>
      <c r="N2613" s="26"/>
      <c r="O2613" s="93"/>
      <c r="P2613" s="95"/>
      <c r="Q2613" s="197"/>
    </row>
    <row r="2614" spans="3:17" x14ac:dyDescent="0.25">
      <c r="C2614" s="199"/>
      <c r="D2614" s="112"/>
      <c r="E2614" s="33"/>
      <c r="F2614" s="105"/>
      <c r="H2614" s="116"/>
      <c r="I2614" s="26"/>
      <c r="J2614" s="98"/>
      <c r="K2614" s="36"/>
      <c r="L2614" s="26"/>
      <c r="M2614" s="26"/>
      <c r="N2614" s="26"/>
      <c r="O2614" s="93"/>
      <c r="P2614" s="95"/>
      <c r="Q2614" s="197"/>
    </row>
    <row r="2615" spans="3:17" x14ac:dyDescent="0.25">
      <c r="C2615" s="199"/>
      <c r="D2615" s="112"/>
      <c r="E2615" s="33"/>
      <c r="F2615" s="105"/>
      <c r="H2615" s="116"/>
      <c r="I2615" s="26"/>
      <c r="J2615" s="98"/>
      <c r="K2615" s="36"/>
      <c r="L2615" s="26"/>
      <c r="M2615" s="26"/>
      <c r="N2615" s="26"/>
      <c r="O2615" s="93"/>
      <c r="P2615" s="95"/>
      <c r="Q2615" s="197"/>
    </row>
    <row r="2616" spans="3:17" x14ac:dyDescent="0.25">
      <c r="C2616" s="199"/>
      <c r="D2616" s="112"/>
      <c r="E2616" s="33"/>
      <c r="F2616" s="105"/>
      <c r="H2616" s="116"/>
      <c r="I2616" s="26"/>
      <c r="J2616" s="98"/>
      <c r="K2616" s="36"/>
      <c r="L2616" s="26"/>
      <c r="M2616" s="26"/>
      <c r="N2616" s="26"/>
      <c r="O2616" s="93"/>
      <c r="P2616" s="95"/>
      <c r="Q2616" s="197"/>
    </row>
    <row r="2617" spans="3:17" x14ac:dyDescent="0.25">
      <c r="C2617" s="199"/>
      <c r="D2617" s="112"/>
      <c r="E2617" s="33"/>
      <c r="F2617" s="105"/>
      <c r="H2617" s="116"/>
      <c r="I2617" s="26"/>
      <c r="J2617" s="98"/>
      <c r="K2617" s="36"/>
      <c r="L2617" s="26"/>
      <c r="M2617" s="26"/>
      <c r="N2617" s="26"/>
      <c r="O2617" s="93"/>
      <c r="P2617" s="95"/>
      <c r="Q2617" s="197"/>
    </row>
    <row r="2618" spans="3:17" x14ac:dyDescent="0.25">
      <c r="C2618" s="199"/>
      <c r="D2618" s="112"/>
      <c r="E2618" s="33"/>
      <c r="F2618" s="105"/>
      <c r="H2618" s="116"/>
      <c r="I2618" s="26"/>
      <c r="J2618" s="98"/>
      <c r="K2618" s="36"/>
      <c r="L2618" s="26"/>
      <c r="M2618" s="26"/>
      <c r="N2618" s="26"/>
      <c r="O2618" s="93"/>
      <c r="P2618" s="95"/>
      <c r="Q2618" s="197"/>
    </row>
    <row r="2619" spans="3:17" x14ac:dyDescent="0.25">
      <c r="C2619" s="199"/>
      <c r="D2619" s="112"/>
      <c r="E2619" s="33"/>
      <c r="F2619" s="105"/>
      <c r="H2619" s="116"/>
      <c r="I2619" s="26"/>
      <c r="J2619" s="98"/>
      <c r="K2619" s="36"/>
      <c r="L2619" s="26"/>
      <c r="M2619" s="26"/>
      <c r="N2619" s="26"/>
      <c r="O2619" s="93"/>
      <c r="P2619" s="95"/>
      <c r="Q2619" s="197"/>
    </row>
    <row r="2620" spans="3:17" x14ac:dyDescent="0.25">
      <c r="C2620" s="199"/>
      <c r="D2620" s="112"/>
      <c r="E2620" s="33"/>
      <c r="F2620" s="105"/>
      <c r="H2620" s="116"/>
      <c r="I2620" s="26"/>
      <c r="J2620" s="98"/>
      <c r="K2620" s="36"/>
      <c r="L2620" s="26"/>
      <c r="M2620" s="26"/>
      <c r="N2620" s="26"/>
      <c r="O2620" s="93"/>
      <c r="P2620" s="95"/>
      <c r="Q2620" s="197"/>
    </row>
    <row r="2621" spans="3:17" x14ac:dyDescent="0.25">
      <c r="C2621" s="199"/>
      <c r="D2621" s="112"/>
      <c r="E2621" s="33"/>
      <c r="F2621" s="105"/>
      <c r="H2621" s="116"/>
      <c r="I2621" s="26"/>
      <c r="J2621" s="98"/>
      <c r="K2621" s="36"/>
      <c r="L2621" s="26"/>
      <c r="M2621" s="26"/>
      <c r="N2621" s="26"/>
      <c r="O2621" s="93"/>
      <c r="P2621" s="95"/>
      <c r="Q2621" s="197"/>
    </row>
    <row r="2622" spans="3:17" x14ac:dyDescent="0.25">
      <c r="C2622" s="199"/>
      <c r="D2622" s="112"/>
      <c r="E2622" s="33"/>
      <c r="F2622" s="105"/>
      <c r="H2622" s="116"/>
      <c r="I2622" s="26"/>
      <c r="J2622" s="98"/>
      <c r="K2622" s="36"/>
      <c r="L2622" s="26"/>
      <c r="M2622" s="26"/>
      <c r="N2622" s="26"/>
      <c r="O2622" s="93"/>
      <c r="P2622" s="95"/>
      <c r="Q2622" s="197"/>
    </row>
    <row r="2623" spans="3:17" x14ac:dyDescent="0.25">
      <c r="C2623" s="199"/>
      <c r="D2623" s="112"/>
      <c r="E2623" s="33"/>
      <c r="F2623" s="105"/>
      <c r="H2623" s="116"/>
      <c r="I2623" s="26"/>
      <c r="J2623" s="98"/>
      <c r="K2623" s="36"/>
      <c r="L2623" s="26"/>
      <c r="M2623" s="26"/>
      <c r="N2623" s="26"/>
      <c r="O2623" s="93"/>
      <c r="P2623" s="95"/>
      <c r="Q2623" s="197"/>
    </row>
    <row r="2624" spans="3:17" x14ac:dyDescent="0.25">
      <c r="C2624" s="199"/>
      <c r="D2624" s="112"/>
      <c r="E2624" s="33"/>
      <c r="F2624" s="105"/>
      <c r="H2624" s="116"/>
      <c r="I2624" s="26"/>
      <c r="J2624" s="98"/>
      <c r="K2624" s="36"/>
      <c r="L2624" s="26"/>
      <c r="M2624" s="26"/>
      <c r="N2624" s="26"/>
      <c r="O2624" s="93"/>
      <c r="P2624" s="95"/>
      <c r="Q2624" s="197"/>
    </row>
    <row r="2625" spans="3:17" x14ac:dyDescent="0.25">
      <c r="C2625" s="199"/>
      <c r="D2625" s="112"/>
      <c r="E2625" s="33"/>
      <c r="F2625" s="105"/>
      <c r="H2625" s="116"/>
      <c r="I2625" s="26"/>
      <c r="J2625" s="98"/>
      <c r="K2625" s="36"/>
      <c r="L2625" s="26"/>
      <c r="M2625" s="26"/>
      <c r="N2625" s="26"/>
      <c r="O2625" s="93"/>
      <c r="P2625" s="95"/>
      <c r="Q2625" s="197"/>
    </row>
    <row r="2626" spans="3:17" x14ac:dyDescent="0.25">
      <c r="C2626" s="199"/>
      <c r="D2626" s="112"/>
      <c r="E2626" s="33"/>
      <c r="F2626" s="105"/>
      <c r="H2626" s="116"/>
      <c r="I2626" s="26"/>
      <c r="J2626" s="98"/>
      <c r="K2626" s="36"/>
      <c r="L2626" s="26"/>
      <c r="M2626" s="26"/>
      <c r="N2626" s="26"/>
      <c r="O2626" s="93"/>
      <c r="P2626" s="95"/>
      <c r="Q2626" s="197"/>
    </row>
    <row r="2627" spans="3:17" x14ac:dyDescent="0.25">
      <c r="C2627" s="199"/>
      <c r="D2627" s="112"/>
      <c r="E2627" s="33"/>
      <c r="F2627" s="105"/>
      <c r="H2627" s="116"/>
      <c r="I2627" s="26"/>
      <c r="J2627" s="98"/>
      <c r="K2627" s="36"/>
      <c r="L2627" s="26"/>
      <c r="M2627" s="26"/>
      <c r="N2627" s="26"/>
      <c r="O2627" s="93"/>
      <c r="P2627" s="95"/>
      <c r="Q2627" s="197"/>
    </row>
    <row r="2628" spans="3:17" x14ac:dyDescent="0.25">
      <c r="C2628" s="199"/>
      <c r="D2628" s="112"/>
      <c r="E2628" s="33"/>
      <c r="F2628" s="105"/>
      <c r="H2628" s="116"/>
      <c r="I2628" s="26"/>
      <c r="J2628" s="98"/>
      <c r="K2628" s="36"/>
      <c r="L2628" s="26"/>
      <c r="M2628" s="26"/>
      <c r="N2628" s="26"/>
      <c r="O2628" s="93"/>
      <c r="P2628" s="95"/>
      <c r="Q2628" s="197"/>
    </row>
    <row r="2629" spans="3:17" x14ac:dyDescent="0.25">
      <c r="C2629" s="199"/>
      <c r="D2629" s="112"/>
      <c r="E2629" s="33"/>
      <c r="F2629" s="105"/>
      <c r="H2629" s="116"/>
      <c r="I2629" s="26"/>
      <c r="J2629" s="98"/>
      <c r="K2629" s="36"/>
      <c r="L2629" s="26"/>
      <c r="M2629" s="26"/>
      <c r="N2629" s="26"/>
      <c r="O2629" s="93"/>
      <c r="P2629" s="95"/>
      <c r="Q2629" s="197"/>
    </row>
    <row r="2630" spans="3:17" x14ac:dyDescent="0.25">
      <c r="C2630" s="199"/>
      <c r="D2630" s="112"/>
      <c r="E2630" s="33"/>
      <c r="F2630" s="105"/>
      <c r="H2630" s="116"/>
      <c r="I2630" s="26"/>
      <c r="J2630" s="98"/>
      <c r="K2630" s="36"/>
      <c r="L2630" s="26"/>
      <c r="M2630" s="26"/>
      <c r="N2630" s="26"/>
      <c r="O2630" s="93"/>
      <c r="P2630" s="95"/>
      <c r="Q2630" s="197"/>
    </row>
    <row r="2631" spans="3:17" x14ac:dyDescent="0.25">
      <c r="C2631" s="199"/>
      <c r="D2631" s="112"/>
      <c r="E2631" s="33"/>
      <c r="F2631" s="105"/>
      <c r="H2631" s="116"/>
      <c r="I2631" s="26"/>
      <c r="J2631" s="98"/>
      <c r="K2631" s="36"/>
      <c r="L2631" s="26"/>
      <c r="M2631" s="26"/>
      <c r="N2631" s="26"/>
      <c r="O2631" s="93"/>
      <c r="P2631" s="95"/>
      <c r="Q2631" s="197"/>
    </row>
    <row r="2632" spans="3:17" x14ac:dyDescent="0.25">
      <c r="C2632" s="199"/>
      <c r="D2632" s="112"/>
      <c r="E2632" s="33"/>
      <c r="F2632" s="105"/>
      <c r="H2632" s="116"/>
      <c r="I2632" s="26"/>
      <c r="J2632" s="98"/>
      <c r="K2632" s="36"/>
      <c r="L2632" s="26"/>
      <c r="M2632" s="26"/>
      <c r="N2632" s="26"/>
      <c r="O2632" s="93"/>
      <c r="P2632" s="95"/>
      <c r="Q2632" s="197"/>
    </row>
    <row r="2633" spans="3:17" x14ac:dyDescent="0.25">
      <c r="C2633" s="199"/>
      <c r="D2633" s="112"/>
      <c r="E2633" s="33"/>
      <c r="F2633" s="105"/>
      <c r="H2633" s="116"/>
      <c r="I2633" s="26"/>
      <c r="J2633" s="98"/>
      <c r="K2633" s="36"/>
      <c r="L2633" s="26"/>
      <c r="M2633" s="26"/>
      <c r="N2633" s="26"/>
      <c r="O2633" s="93"/>
      <c r="P2633" s="95"/>
      <c r="Q2633" s="197"/>
    </row>
    <row r="2634" spans="3:17" x14ac:dyDescent="0.25">
      <c r="C2634" s="199"/>
      <c r="D2634" s="112"/>
      <c r="E2634" s="33"/>
      <c r="F2634" s="105"/>
      <c r="H2634" s="116"/>
      <c r="I2634" s="26"/>
      <c r="J2634" s="98"/>
      <c r="K2634" s="36"/>
      <c r="L2634" s="26"/>
      <c r="M2634" s="26"/>
      <c r="N2634" s="26"/>
      <c r="O2634" s="93"/>
      <c r="P2634" s="95"/>
      <c r="Q2634" s="197"/>
    </row>
    <row r="2635" spans="3:17" x14ac:dyDescent="0.25">
      <c r="C2635" s="199"/>
      <c r="D2635" s="112"/>
      <c r="E2635" s="33"/>
      <c r="F2635" s="105"/>
      <c r="H2635" s="116"/>
      <c r="I2635" s="26"/>
      <c r="J2635" s="98"/>
      <c r="K2635" s="36"/>
      <c r="L2635" s="26"/>
      <c r="M2635" s="26"/>
      <c r="N2635" s="26"/>
      <c r="O2635" s="93"/>
      <c r="P2635" s="95"/>
      <c r="Q2635" s="197"/>
    </row>
    <row r="2636" spans="3:17" x14ac:dyDescent="0.25">
      <c r="C2636" s="199"/>
      <c r="D2636" s="112"/>
      <c r="E2636" s="33"/>
      <c r="F2636" s="105"/>
      <c r="H2636" s="116"/>
      <c r="I2636" s="26"/>
      <c r="J2636" s="98"/>
      <c r="K2636" s="36"/>
      <c r="L2636" s="26"/>
      <c r="M2636" s="26"/>
      <c r="N2636" s="26"/>
      <c r="O2636" s="93"/>
      <c r="P2636" s="95"/>
      <c r="Q2636" s="197"/>
    </row>
    <row r="2637" spans="3:17" x14ac:dyDescent="0.25">
      <c r="C2637" s="199"/>
      <c r="D2637" s="112"/>
      <c r="E2637" s="33"/>
      <c r="F2637" s="105"/>
      <c r="H2637" s="116"/>
      <c r="I2637" s="26"/>
      <c r="J2637" s="98"/>
      <c r="K2637" s="36"/>
      <c r="L2637" s="26"/>
      <c r="M2637" s="26"/>
      <c r="N2637" s="26"/>
      <c r="O2637" s="93"/>
      <c r="P2637" s="95"/>
      <c r="Q2637" s="197"/>
    </row>
    <row r="2638" spans="3:17" x14ac:dyDescent="0.25">
      <c r="C2638" s="199"/>
      <c r="D2638" s="112"/>
      <c r="E2638" s="33"/>
      <c r="F2638" s="105"/>
      <c r="H2638" s="116"/>
      <c r="I2638" s="26"/>
      <c r="J2638" s="98"/>
      <c r="K2638" s="36"/>
      <c r="L2638" s="26"/>
      <c r="M2638" s="26"/>
      <c r="N2638" s="26"/>
      <c r="O2638" s="93"/>
      <c r="P2638" s="95"/>
      <c r="Q2638" s="197"/>
    </row>
    <row r="2639" spans="3:17" x14ac:dyDescent="0.25">
      <c r="C2639" s="199"/>
      <c r="D2639" s="112"/>
      <c r="E2639" s="33"/>
      <c r="F2639" s="105"/>
      <c r="H2639" s="116"/>
      <c r="I2639" s="26"/>
      <c r="J2639" s="98"/>
      <c r="K2639" s="36"/>
      <c r="L2639" s="26"/>
      <c r="M2639" s="26"/>
      <c r="N2639" s="26"/>
      <c r="O2639" s="93"/>
      <c r="P2639" s="95"/>
      <c r="Q2639" s="197"/>
    </row>
    <row r="2640" spans="3:17" x14ac:dyDescent="0.25">
      <c r="C2640" s="199"/>
      <c r="D2640" s="112"/>
      <c r="E2640" s="33"/>
      <c r="F2640" s="105"/>
      <c r="H2640" s="116"/>
      <c r="I2640" s="26"/>
      <c r="J2640" s="98"/>
      <c r="K2640" s="36"/>
      <c r="L2640" s="26"/>
      <c r="M2640" s="26"/>
      <c r="N2640" s="26"/>
      <c r="O2640" s="93"/>
      <c r="P2640" s="95"/>
      <c r="Q2640" s="197"/>
    </row>
    <row r="2641" spans="3:17" x14ac:dyDescent="0.25">
      <c r="C2641" s="199"/>
      <c r="D2641" s="112"/>
      <c r="E2641" s="33"/>
      <c r="F2641" s="105"/>
      <c r="H2641" s="116"/>
      <c r="I2641" s="26"/>
      <c r="J2641" s="98"/>
      <c r="K2641" s="36"/>
      <c r="L2641" s="26"/>
      <c r="M2641" s="26"/>
      <c r="N2641" s="26"/>
      <c r="O2641" s="93"/>
      <c r="P2641" s="95"/>
      <c r="Q2641" s="197"/>
    </row>
    <row r="2642" spans="3:17" x14ac:dyDescent="0.25">
      <c r="C2642" s="199"/>
      <c r="D2642" s="112"/>
      <c r="E2642" s="33"/>
      <c r="F2642" s="105"/>
      <c r="H2642" s="116"/>
      <c r="I2642" s="26"/>
      <c r="J2642" s="98"/>
      <c r="K2642" s="36"/>
      <c r="L2642" s="26"/>
      <c r="M2642" s="26"/>
      <c r="N2642" s="26"/>
      <c r="O2642" s="93"/>
      <c r="P2642" s="95"/>
      <c r="Q2642" s="197"/>
    </row>
    <row r="2643" spans="3:17" x14ac:dyDescent="0.25">
      <c r="C2643" s="199"/>
      <c r="D2643" s="112"/>
      <c r="E2643" s="33"/>
      <c r="F2643" s="105"/>
      <c r="H2643" s="116"/>
      <c r="I2643" s="26"/>
      <c r="J2643" s="98"/>
      <c r="K2643" s="36"/>
      <c r="L2643" s="26"/>
      <c r="M2643" s="26"/>
      <c r="N2643" s="26"/>
      <c r="O2643" s="93"/>
      <c r="P2643" s="95"/>
      <c r="Q2643" s="197"/>
    </row>
    <row r="2644" spans="3:17" x14ac:dyDescent="0.25">
      <c r="C2644" s="199"/>
      <c r="D2644" s="112"/>
      <c r="E2644" s="33"/>
      <c r="F2644" s="105"/>
      <c r="H2644" s="116"/>
      <c r="I2644" s="26"/>
      <c r="J2644" s="98"/>
      <c r="K2644" s="36"/>
      <c r="L2644" s="26"/>
      <c r="M2644" s="26"/>
      <c r="N2644" s="26"/>
      <c r="O2644" s="93"/>
      <c r="P2644" s="95"/>
      <c r="Q2644" s="197"/>
    </row>
    <row r="2645" spans="3:17" x14ac:dyDescent="0.25">
      <c r="C2645" s="199"/>
      <c r="D2645" s="112"/>
      <c r="E2645" s="33"/>
      <c r="F2645" s="105"/>
      <c r="H2645" s="116"/>
      <c r="I2645" s="26"/>
      <c r="J2645" s="98"/>
      <c r="K2645" s="36"/>
      <c r="L2645" s="26"/>
      <c r="M2645" s="26"/>
      <c r="N2645" s="26"/>
      <c r="O2645" s="93"/>
      <c r="P2645" s="95"/>
      <c r="Q2645" s="197"/>
    </row>
    <row r="2646" spans="3:17" x14ac:dyDescent="0.25">
      <c r="C2646" s="199"/>
      <c r="D2646" s="112"/>
      <c r="E2646" s="33"/>
      <c r="F2646" s="105"/>
      <c r="H2646" s="116"/>
      <c r="I2646" s="26"/>
      <c r="J2646" s="98"/>
      <c r="K2646" s="36"/>
      <c r="L2646" s="26"/>
      <c r="M2646" s="26"/>
      <c r="N2646" s="26"/>
      <c r="O2646" s="93"/>
      <c r="P2646" s="95"/>
      <c r="Q2646" s="197"/>
    </row>
    <row r="2647" spans="3:17" x14ac:dyDescent="0.25">
      <c r="C2647" s="199"/>
      <c r="D2647" s="112"/>
      <c r="E2647" s="33"/>
      <c r="F2647" s="105"/>
      <c r="H2647" s="116"/>
      <c r="I2647" s="26"/>
      <c r="J2647" s="98"/>
      <c r="K2647" s="36"/>
      <c r="L2647" s="26"/>
      <c r="M2647" s="26"/>
      <c r="N2647" s="26"/>
      <c r="O2647" s="93"/>
      <c r="P2647" s="95"/>
      <c r="Q2647" s="197"/>
    </row>
    <row r="2648" spans="3:17" x14ac:dyDescent="0.25">
      <c r="C2648" s="199"/>
      <c r="D2648" s="112"/>
      <c r="E2648" s="33"/>
      <c r="F2648" s="105"/>
      <c r="H2648" s="116"/>
      <c r="I2648" s="26"/>
      <c r="J2648" s="98"/>
      <c r="K2648" s="36"/>
      <c r="L2648" s="26"/>
      <c r="M2648" s="26"/>
      <c r="N2648" s="26"/>
      <c r="O2648" s="93"/>
      <c r="P2648" s="95"/>
      <c r="Q2648" s="197"/>
    </row>
    <row r="2649" spans="3:17" x14ac:dyDescent="0.25">
      <c r="C2649" s="199"/>
      <c r="D2649" s="112"/>
      <c r="E2649" s="33"/>
      <c r="F2649" s="105"/>
      <c r="H2649" s="116"/>
      <c r="I2649" s="26"/>
      <c r="J2649" s="98"/>
      <c r="K2649" s="36"/>
      <c r="L2649" s="26"/>
      <c r="M2649" s="26"/>
      <c r="N2649" s="26"/>
      <c r="O2649" s="93"/>
      <c r="P2649" s="95"/>
      <c r="Q2649" s="197"/>
    </row>
    <row r="2650" spans="3:17" x14ac:dyDescent="0.25">
      <c r="C2650" s="199"/>
      <c r="D2650" s="112"/>
      <c r="E2650" s="33"/>
      <c r="F2650" s="105"/>
      <c r="H2650" s="116"/>
      <c r="I2650" s="26"/>
      <c r="J2650" s="98"/>
      <c r="K2650" s="36"/>
      <c r="L2650" s="26"/>
      <c r="M2650" s="26"/>
      <c r="N2650" s="26"/>
      <c r="O2650" s="93"/>
      <c r="P2650" s="95"/>
      <c r="Q2650" s="197"/>
    </row>
    <row r="2651" spans="3:17" x14ac:dyDescent="0.25">
      <c r="C2651" s="199"/>
      <c r="D2651" s="112"/>
      <c r="E2651" s="33"/>
      <c r="F2651" s="105"/>
      <c r="H2651" s="116"/>
      <c r="I2651" s="26"/>
      <c r="J2651" s="98"/>
      <c r="K2651" s="36"/>
      <c r="L2651" s="26"/>
      <c r="M2651" s="26"/>
      <c r="N2651" s="26"/>
      <c r="O2651" s="93"/>
      <c r="P2651" s="95"/>
      <c r="Q2651" s="197"/>
    </row>
    <row r="2652" spans="3:17" x14ac:dyDescent="0.25">
      <c r="C2652" s="199"/>
      <c r="D2652" s="112"/>
      <c r="E2652" s="33"/>
      <c r="F2652" s="105"/>
      <c r="H2652" s="116"/>
      <c r="I2652" s="26"/>
      <c r="J2652" s="98"/>
      <c r="K2652" s="36"/>
      <c r="L2652" s="26"/>
      <c r="M2652" s="26"/>
      <c r="N2652" s="26"/>
      <c r="O2652" s="93"/>
      <c r="P2652" s="95"/>
      <c r="Q2652" s="197"/>
    </row>
    <row r="2653" spans="3:17" x14ac:dyDescent="0.25">
      <c r="C2653" s="199"/>
      <c r="D2653" s="112"/>
      <c r="E2653" s="33"/>
      <c r="F2653" s="105"/>
      <c r="H2653" s="116"/>
      <c r="I2653" s="26"/>
      <c r="J2653" s="98"/>
      <c r="K2653" s="36"/>
      <c r="L2653" s="26"/>
      <c r="M2653" s="26"/>
      <c r="N2653" s="26"/>
      <c r="O2653" s="93"/>
      <c r="P2653" s="95"/>
      <c r="Q2653" s="197"/>
    </row>
    <row r="2654" spans="3:17" x14ac:dyDescent="0.25">
      <c r="C2654" s="199"/>
      <c r="D2654" s="112"/>
      <c r="E2654" s="33"/>
      <c r="F2654" s="105"/>
      <c r="H2654" s="116"/>
      <c r="I2654" s="26"/>
      <c r="J2654" s="98"/>
      <c r="K2654" s="36"/>
      <c r="L2654" s="26"/>
      <c r="M2654" s="26"/>
      <c r="N2654" s="26"/>
      <c r="O2654" s="93"/>
      <c r="P2654" s="95"/>
      <c r="Q2654" s="197"/>
    </row>
    <row r="2655" spans="3:17" x14ac:dyDescent="0.25">
      <c r="C2655" s="199"/>
      <c r="D2655" s="112"/>
      <c r="E2655" s="33"/>
      <c r="F2655" s="105"/>
      <c r="H2655" s="116"/>
      <c r="I2655" s="26"/>
      <c r="J2655" s="98"/>
      <c r="K2655" s="36"/>
      <c r="L2655" s="26"/>
      <c r="M2655" s="26"/>
      <c r="N2655" s="26"/>
      <c r="O2655" s="93"/>
      <c r="P2655" s="95"/>
      <c r="Q2655" s="197"/>
    </row>
    <row r="2656" spans="3:17" x14ac:dyDescent="0.25">
      <c r="C2656" s="199"/>
      <c r="D2656" s="112"/>
      <c r="E2656" s="33"/>
      <c r="F2656" s="105"/>
      <c r="H2656" s="116"/>
      <c r="I2656" s="26"/>
      <c r="J2656" s="98"/>
      <c r="K2656" s="36"/>
      <c r="L2656" s="26"/>
      <c r="M2656" s="26"/>
      <c r="N2656" s="26"/>
      <c r="O2656" s="93"/>
      <c r="P2656" s="95"/>
      <c r="Q2656" s="197"/>
    </row>
    <row r="2657" spans="3:17" x14ac:dyDescent="0.25">
      <c r="C2657" s="199"/>
      <c r="D2657" s="112"/>
      <c r="E2657" s="33"/>
      <c r="F2657" s="105"/>
      <c r="H2657" s="116"/>
      <c r="I2657" s="26"/>
      <c r="J2657" s="98"/>
      <c r="K2657" s="36"/>
      <c r="L2657" s="26"/>
      <c r="M2657" s="26"/>
      <c r="N2657" s="26"/>
      <c r="O2657" s="93"/>
      <c r="P2657" s="95"/>
      <c r="Q2657" s="197"/>
    </row>
    <row r="2658" spans="3:17" x14ac:dyDescent="0.25">
      <c r="C2658" s="199"/>
      <c r="D2658" s="112"/>
      <c r="E2658" s="33"/>
      <c r="F2658" s="105"/>
      <c r="H2658" s="116"/>
      <c r="I2658" s="26"/>
      <c r="J2658" s="98"/>
      <c r="K2658" s="36"/>
      <c r="L2658" s="26"/>
      <c r="M2658" s="26"/>
      <c r="N2658" s="26"/>
      <c r="O2658" s="93"/>
      <c r="P2658" s="95"/>
      <c r="Q2658" s="197"/>
    </row>
    <row r="2659" spans="3:17" x14ac:dyDescent="0.25">
      <c r="C2659" s="199"/>
      <c r="D2659" s="112"/>
      <c r="E2659" s="33"/>
      <c r="F2659" s="105"/>
      <c r="H2659" s="116"/>
      <c r="I2659" s="26"/>
      <c r="J2659" s="98"/>
      <c r="K2659" s="36"/>
      <c r="L2659" s="26"/>
      <c r="M2659" s="26"/>
      <c r="N2659" s="26"/>
      <c r="O2659" s="93"/>
      <c r="P2659" s="95"/>
      <c r="Q2659" s="197"/>
    </row>
    <row r="2660" spans="3:17" x14ac:dyDescent="0.25">
      <c r="C2660" s="199"/>
      <c r="D2660" s="112"/>
      <c r="E2660" s="33"/>
      <c r="F2660" s="105"/>
      <c r="H2660" s="116"/>
      <c r="I2660" s="26"/>
      <c r="J2660" s="98"/>
      <c r="K2660" s="36"/>
      <c r="L2660" s="26"/>
      <c r="M2660" s="26"/>
      <c r="N2660" s="26"/>
      <c r="O2660" s="93"/>
      <c r="P2660" s="95"/>
      <c r="Q2660" s="197"/>
    </row>
    <row r="2661" spans="3:17" x14ac:dyDescent="0.25">
      <c r="C2661" s="199"/>
      <c r="D2661" s="112"/>
      <c r="E2661" s="33"/>
      <c r="F2661" s="105"/>
      <c r="H2661" s="116"/>
      <c r="I2661" s="26"/>
      <c r="J2661" s="98"/>
      <c r="K2661" s="36"/>
      <c r="L2661" s="26"/>
      <c r="M2661" s="26"/>
      <c r="N2661" s="26"/>
      <c r="O2661" s="93"/>
      <c r="P2661" s="95"/>
      <c r="Q2661" s="197"/>
    </row>
    <row r="2662" spans="3:17" x14ac:dyDescent="0.25">
      <c r="C2662" s="199"/>
      <c r="D2662" s="112"/>
      <c r="E2662" s="33"/>
      <c r="F2662" s="105"/>
      <c r="H2662" s="116"/>
      <c r="I2662" s="26"/>
      <c r="J2662" s="98"/>
      <c r="K2662" s="36"/>
      <c r="L2662" s="26"/>
      <c r="M2662" s="26"/>
      <c r="N2662" s="26"/>
      <c r="O2662" s="93"/>
      <c r="P2662" s="95"/>
      <c r="Q2662" s="197"/>
    </row>
    <row r="2663" spans="3:17" x14ac:dyDescent="0.25">
      <c r="C2663" s="199"/>
      <c r="D2663" s="112"/>
      <c r="E2663" s="33"/>
      <c r="F2663" s="105"/>
      <c r="H2663" s="116"/>
      <c r="I2663" s="26"/>
      <c r="J2663" s="98"/>
      <c r="K2663" s="36"/>
      <c r="L2663" s="26"/>
      <c r="M2663" s="26"/>
      <c r="N2663" s="26"/>
      <c r="O2663" s="93"/>
      <c r="P2663" s="95"/>
      <c r="Q2663" s="197"/>
    </row>
    <row r="2664" spans="3:17" x14ac:dyDescent="0.25">
      <c r="C2664" s="199"/>
      <c r="D2664" s="112"/>
      <c r="E2664" s="33"/>
      <c r="F2664" s="105"/>
      <c r="H2664" s="116"/>
      <c r="I2664" s="26"/>
      <c r="J2664" s="98"/>
      <c r="K2664" s="36"/>
      <c r="L2664" s="26"/>
      <c r="M2664" s="26"/>
      <c r="N2664" s="26"/>
      <c r="O2664" s="93"/>
      <c r="P2664" s="95"/>
      <c r="Q2664" s="197"/>
    </row>
    <row r="2665" spans="3:17" x14ac:dyDescent="0.25">
      <c r="C2665" s="199"/>
      <c r="D2665" s="112"/>
      <c r="E2665" s="33"/>
      <c r="F2665" s="105"/>
      <c r="H2665" s="116"/>
      <c r="I2665" s="26"/>
      <c r="J2665" s="98"/>
      <c r="K2665" s="36"/>
      <c r="L2665" s="26"/>
      <c r="M2665" s="26"/>
      <c r="N2665" s="26"/>
      <c r="O2665" s="93"/>
      <c r="P2665" s="95"/>
      <c r="Q2665" s="197"/>
    </row>
    <row r="2666" spans="3:17" x14ac:dyDescent="0.25">
      <c r="C2666" s="199"/>
      <c r="D2666" s="112"/>
      <c r="E2666" s="33"/>
      <c r="F2666" s="105"/>
      <c r="H2666" s="116"/>
      <c r="I2666" s="26"/>
      <c r="J2666" s="98"/>
      <c r="K2666" s="36"/>
      <c r="L2666" s="26"/>
      <c r="M2666" s="26"/>
      <c r="N2666" s="26"/>
      <c r="O2666" s="93"/>
      <c r="P2666" s="95"/>
      <c r="Q2666" s="197"/>
    </row>
    <row r="2667" spans="3:17" x14ac:dyDescent="0.25">
      <c r="C2667" s="199"/>
      <c r="D2667" s="112"/>
      <c r="E2667" s="33"/>
      <c r="F2667" s="105"/>
      <c r="H2667" s="116"/>
      <c r="I2667" s="26"/>
      <c r="J2667" s="98"/>
      <c r="K2667" s="36"/>
      <c r="L2667" s="26"/>
      <c r="M2667" s="26"/>
      <c r="N2667" s="26"/>
      <c r="O2667" s="93"/>
      <c r="P2667" s="95"/>
      <c r="Q2667" s="197"/>
    </row>
    <row r="2668" spans="3:17" x14ac:dyDescent="0.25">
      <c r="C2668" s="199"/>
      <c r="D2668" s="112"/>
      <c r="E2668" s="33"/>
      <c r="F2668" s="105"/>
      <c r="H2668" s="116"/>
      <c r="I2668" s="26"/>
      <c r="J2668" s="98"/>
      <c r="K2668" s="36"/>
      <c r="L2668" s="26"/>
      <c r="M2668" s="26"/>
      <c r="N2668" s="26"/>
      <c r="O2668" s="93"/>
      <c r="P2668" s="95"/>
      <c r="Q2668" s="197"/>
    </row>
    <row r="2669" spans="3:17" x14ac:dyDescent="0.25">
      <c r="C2669" s="199"/>
      <c r="D2669" s="112"/>
      <c r="E2669" s="33"/>
      <c r="F2669" s="105"/>
      <c r="H2669" s="116"/>
      <c r="I2669" s="26"/>
      <c r="J2669" s="98"/>
      <c r="K2669" s="36"/>
      <c r="L2669" s="26"/>
      <c r="M2669" s="26"/>
      <c r="N2669" s="26"/>
      <c r="O2669" s="93"/>
      <c r="P2669" s="95"/>
      <c r="Q2669" s="197"/>
    </row>
    <row r="2670" spans="3:17" x14ac:dyDescent="0.25">
      <c r="C2670" s="199"/>
      <c r="D2670" s="112"/>
      <c r="E2670" s="33"/>
      <c r="F2670" s="105"/>
      <c r="H2670" s="116"/>
      <c r="I2670" s="26"/>
      <c r="J2670" s="98"/>
      <c r="K2670" s="36"/>
      <c r="L2670" s="26"/>
      <c r="M2670" s="26"/>
      <c r="N2670" s="26"/>
      <c r="O2670" s="93"/>
      <c r="P2670" s="95"/>
      <c r="Q2670" s="197"/>
    </row>
    <row r="2671" spans="3:17" x14ac:dyDescent="0.25">
      <c r="C2671" s="199"/>
      <c r="D2671" s="112"/>
      <c r="E2671" s="33"/>
      <c r="F2671" s="105"/>
      <c r="H2671" s="116"/>
      <c r="I2671" s="26"/>
      <c r="J2671" s="98"/>
      <c r="K2671" s="36"/>
      <c r="L2671" s="26"/>
      <c r="M2671" s="26"/>
      <c r="N2671" s="26"/>
      <c r="O2671" s="93"/>
      <c r="P2671" s="95"/>
      <c r="Q2671" s="197"/>
    </row>
    <row r="2672" spans="3:17" x14ac:dyDescent="0.25">
      <c r="C2672" s="199"/>
      <c r="D2672" s="112"/>
      <c r="E2672" s="33"/>
      <c r="F2672" s="105"/>
      <c r="H2672" s="116"/>
      <c r="I2672" s="26"/>
      <c r="J2672" s="98"/>
      <c r="K2672" s="36"/>
      <c r="L2672" s="26"/>
      <c r="M2672" s="26"/>
      <c r="N2672" s="26"/>
      <c r="O2672" s="93"/>
      <c r="P2672" s="95"/>
      <c r="Q2672" s="197"/>
    </row>
    <row r="2673" spans="3:17" x14ac:dyDescent="0.25">
      <c r="C2673" s="199"/>
      <c r="D2673" s="112"/>
      <c r="E2673" s="33"/>
      <c r="F2673" s="105"/>
      <c r="H2673" s="116"/>
      <c r="I2673" s="26"/>
      <c r="J2673" s="98"/>
      <c r="K2673" s="36"/>
      <c r="L2673" s="26"/>
      <c r="M2673" s="26"/>
      <c r="N2673" s="26"/>
      <c r="O2673" s="93"/>
      <c r="P2673" s="95"/>
      <c r="Q2673" s="197"/>
    </row>
    <row r="2674" spans="3:17" x14ac:dyDescent="0.25">
      <c r="C2674" s="199"/>
      <c r="D2674" s="112"/>
      <c r="E2674" s="33"/>
      <c r="F2674" s="105"/>
      <c r="H2674" s="116"/>
      <c r="I2674" s="26"/>
      <c r="J2674" s="98"/>
      <c r="K2674" s="36"/>
      <c r="L2674" s="26"/>
      <c r="M2674" s="26"/>
      <c r="N2674" s="26"/>
      <c r="O2674" s="93"/>
      <c r="P2674" s="95"/>
      <c r="Q2674" s="197"/>
    </row>
    <row r="2675" spans="3:17" x14ac:dyDescent="0.25">
      <c r="C2675" s="199"/>
      <c r="D2675" s="112"/>
      <c r="E2675" s="33"/>
      <c r="F2675" s="105"/>
      <c r="H2675" s="116"/>
      <c r="I2675" s="26"/>
      <c r="J2675" s="98"/>
      <c r="K2675" s="36"/>
      <c r="L2675" s="26"/>
      <c r="M2675" s="26"/>
      <c r="N2675" s="26"/>
      <c r="O2675" s="93"/>
      <c r="P2675" s="95"/>
      <c r="Q2675" s="197"/>
    </row>
    <row r="2676" spans="3:17" x14ac:dyDescent="0.25">
      <c r="C2676" s="199"/>
      <c r="D2676" s="112"/>
      <c r="E2676" s="33"/>
      <c r="F2676" s="105"/>
      <c r="H2676" s="116"/>
      <c r="I2676" s="26"/>
      <c r="J2676" s="98"/>
      <c r="K2676" s="36"/>
      <c r="L2676" s="26"/>
      <c r="M2676" s="26"/>
      <c r="N2676" s="26"/>
      <c r="O2676" s="93"/>
      <c r="P2676" s="95"/>
      <c r="Q2676" s="197"/>
    </row>
    <row r="2677" spans="3:17" x14ac:dyDescent="0.25">
      <c r="C2677" s="199"/>
      <c r="D2677" s="112"/>
      <c r="E2677" s="33"/>
      <c r="F2677" s="105"/>
      <c r="H2677" s="116"/>
      <c r="I2677" s="26"/>
      <c r="J2677" s="98"/>
      <c r="K2677" s="36"/>
      <c r="L2677" s="26"/>
      <c r="M2677" s="26"/>
      <c r="N2677" s="26"/>
      <c r="O2677" s="93"/>
      <c r="P2677" s="95"/>
      <c r="Q2677" s="197"/>
    </row>
    <row r="2678" spans="3:17" x14ac:dyDescent="0.25">
      <c r="C2678" s="199"/>
      <c r="D2678" s="112"/>
      <c r="E2678" s="33"/>
      <c r="F2678" s="105"/>
      <c r="H2678" s="116"/>
      <c r="I2678" s="26"/>
      <c r="J2678" s="98"/>
      <c r="K2678" s="36"/>
      <c r="L2678" s="26"/>
      <c r="M2678" s="26"/>
      <c r="N2678" s="26"/>
      <c r="O2678" s="93"/>
      <c r="P2678" s="95"/>
      <c r="Q2678" s="197"/>
    </row>
    <row r="2679" spans="3:17" x14ac:dyDescent="0.25">
      <c r="C2679" s="199"/>
      <c r="D2679" s="112"/>
      <c r="E2679" s="33"/>
      <c r="F2679" s="105"/>
      <c r="H2679" s="116"/>
      <c r="I2679" s="26"/>
      <c r="J2679" s="98"/>
      <c r="K2679" s="36"/>
      <c r="L2679" s="26"/>
      <c r="M2679" s="26"/>
      <c r="N2679" s="26"/>
      <c r="O2679" s="93"/>
      <c r="P2679" s="95"/>
      <c r="Q2679" s="197"/>
    </row>
    <row r="2680" spans="3:17" x14ac:dyDescent="0.25">
      <c r="C2680" s="199"/>
      <c r="D2680" s="112"/>
      <c r="E2680" s="33"/>
      <c r="F2680" s="105"/>
      <c r="H2680" s="116"/>
      <c r="I2680" s="26"/>
      <c r="J2680" s="98"/>
      <c r="K2680" s="36"/>
      <c r="L2680" s="26"/>
      <c r="M2680" s="26"/>
      <c r="N2680" s="26"/>
      <c r="O2680" s="93"/>
      <c r="P2680" s="95"/>
      <c r="Q2680" s="197"/>
    </row>
    <row r="2681" spans="3:17" x14ac:dyDescent="0.25">
      <c r="C2681" s="199"/>
      <c r="D2681" s="112"/>
      <c r="E2681" s="33"/>
      <c r="F2681" s="105"/>
      <c r="H2681" s="116"/>
      <c r="I2681" s="26"/>
      <c r="J2681" s="98"/>
      <c r="K2681" s="36"/>
      <c r="L2681" s="26"/>
      <c r="M2681" s="26"/>
      <c r="N2681" s="26"/>
      <c r="O2681" s="93"/>
      <c r="P2681" s="95"/>
      <c r="Q2681" s="197"/>
    </row>
    <row r="2682" spans="3:17" x14ac:dyDescent="0.25">
      <c r="C2682" s="199"/>
      <c r="D2682" s="112"/>
      <c r="E2682" s="33"/>
      <c r="F2682" s="105"/>
      <c r="H2682" s="116"/>
      <c r="I2682" s="26"/>
      <c r="J2682" s="98"/>
      <c r="K2682" s="36"/>
      <c r="L2682" s="26"/>
      <c r="M2682" s="26"/>
      <c r="N2682" s="26"/>
      <c r="O2682" s="93"/>
      <c r="P2682" s="95"/>
      <c r="Q2682" s="197"/>
    </row>
    <row r="2683" spans="3:17" x14ac:dyDescent="0.25">
      <c r="C2683" s="199"/>
      <c r="D2683" s="112"/>
      <c r="E2683" s="33"/>
      <c r="F2683" s="105"/>
      <c r="H2683" s="116"/>
      <c r="I2683" s="26"/>
      <c r="J2683" s="98"/>
      <c r="K2683" s="36"/>
      <c r="L2683" s="26"/>
      <c r="M2683" s="26"/>
      <c r="N2683" s="26"/>
      <c r="O2683" s="93"/>
      <c r="P2683" s="95"/>
      <c r="Q2683" s="197"/>
    </row>
    <row r="2684" spans="3:17" x14ac:dyDescent="0.25">
      <c r="C2684" s="199"/>
      <c r="D2684" s="112"/>
      <c r="E2684" s="33"/>
      <c r="F2684" s="105"/>
      <c r="H2684" s="116"/>
      <c r="I2684" s="26"/>
      <c r="J2684" s="98"/>
      <c r="K2684" s="36"/>
      <c r="L2684" s="26"/>
      <c r="M2684" s="26"/>
      <c r="N2684" s="26"/>
      <c r="O2684" s="93"/>
      <c r="P2684" s="95"/>
      <c r="Q2684" s="197"/>
    </row>
    <row r="2685" spans="3:17" x14ac:dyDescent="0.25">
      <c r="C2685" s="199"/>
      <c r="D2685" s="112"/>
      <c r="E2685" s="33"/>
      <c r="F2685" s="105"/>
      <c r="H2685" s="116"/>
      <c r="I2685" s="26"/>
      <c r="J2685" s="98"/>
      <c r="K2685" s="36"/>
      <c r="L2685" s="26"/>
      <c r="M2685" s="26"/>
      <c r="N2685" s="26"/>
      <c r="O2685" s="93"/>
      <c r="P2685" s="95"/>
      <c r="Q2685" s="197"/>
    </row>
    <row r="2686" spans="3:17" x14ac:dyDescent="0.25">
      <c r="C2686" s="199"/>
      <c r="D2686" s="112"/>
      <c r="E2686" s="33"/>
      <c r="F2686" s="105"/>
      <c r="H2686" s="116"/>
      <c r="I2686" s="26"/>
      <c r="J2686" s="98"/>
      <c r="K2686" s="36"/>
      <c r="L2686" s="26"/>
      <c r="M2686" s="26"/>
      <c r="N2686" s="26"/>
      <c r="O2686" s="93"/>
      <c r="P2686" s="95"/>
      <c r="Q2686" s="197"/>
    </row>
    <row r="2687" spans="3:17" x14ac:dyDescent="0.25">
      <c r="C2687" s="199"/>
      <c r="D2687" s="112"/>
      <c r="E2687" s="33"/>
      <c r="F2687" s="105"/>
      <c r="H2687" s="116"/>
      <c r="I2687" s="26"/>
      <c r="J2687" s="98"/>
      <c r="K2687" s="36"/>
      <c r="L2687" s="26"/>
      <c r="M2687" s="26"/>
      <c r="N2687" s="26"/>
      <c r="O2687" s="93"/>
      <c r="P2687" s="95"/>
      <c r="Q2687" s="197"/>
    </row>
    <row r="2688" spans="3:17" x14ac:dyDescent="0.25">
      <c r="C2688" s="199"/>
      <c r="D2688" s="112"/>
      <c r="E2688" s="33"/>
      <c r="F2688" s="105"/>
      <c r="H2688" s="116"/>
      <c r="I2688" s="26"/>
      <c r="J2688" s="98"/>
      <c r="K2688" s="36"/>
      <c r="L2688" s="26"/>
      <c r="M2688" s="26"/>
      <c r="N2688" s="26"/>
      <c r="O2688" s="93"/>
      <c r="P2688" s="95"/>
      <c r="Q2688" s="197"/>
    </row>
    <row r="2689" spans="3:17" x14ac:dyDescent="0.25">
      <c r="C2689" s="199"/>
      <c r="D2689" s="112"/>
      <c r="E2689" s="33"/>
      <c r="F2689" s="105"/>
      <c r="H2689" s="116"/>
      <c r="I2689" s="26"/>
      <c r="J2689" s="98"/>
      <c r="K2689" s="36"/>
      <c r="L2689" s="26"/>
      <c r="M2689" s="26"/>
      <c r="N2689" s="26"/>
      <c r="O2689" s="93"/>
      <c r="P2689" s="95"/>
      <c r="Q2689" s="197"/>
    </row>
    <row r="2690" spans="3:17" x14ac:dyDescent="0.25">
      <c r="C2690" s="199"/>
      <c r="D2690" s="112"/>
      <c r="E2690" s="33"/>
      <c r="F2690" s="105"/>
      <c r="H2690" s="116"/>
      <c r="I2690" s="26"/>
      <c r="J2690" s="98"/>
      <c r="K2690" s="36"/>
      <c r="L2690" s="26"/>
      <c r="M2690" s="26"/>
      <c r="N2690" s="26"/>
      <c r="O2690" s="93"/>
      <c r="P2690" s="95"/>
      <c r="Q2690" s="197"/>
    </row>
    <row r="2691" spans="3:17" x14ac:dyDescent="0.25">
      <c r="C2691" s="199"/>
      <c r="D2691" s="112"/>
      <c r="E2691" s="33"/>
      <c r="F2691" s="105"/>
      <c r="H2691" s="116"/>
      <c r="I2691" s="26"/>
      <c r="J2691" s="98"/>
      <c r="K2691" s="36"/>
      <c r="L2691" s="26"/>
      <c r="M2691" s="26"/>
      <c r="N2691" s="26"/>
      <c r="O2691" s="93"/>
      <c r="P2691" s="95"/>
      <c r="Q2691" s="197"/>
    </row>
    <row r="2692" spans="3:17" x14ac:dyDescent="0.25">
      <c r="C2692" s="199"/>
      <c r="D2692" s="112"/>
      <c r="E2692" s="33"/>
      <c r="F2692" s="105"/>
      <c r="H2692" s="116"/>
      <c r="I2692" s="26"/>
      <c r="J2692" s="98"/>
      <c r="K2692" s="36"/>
      <c r="L2692" s="26"/>
      <c r="M2692" s="26"/>
      <c r="N2692" s="26"/>
      <c r="O2692" s="93"/>
      <c r="P2692" s="95"/>
      <c r="Q2692" s="197"/>
    </row>
    <row r="2693" spans="3:17" x14ac:dyDescent="0.25">
      <c r="C2693" s="199"/>
      <c r="D2693" s="112"/>
      <c r="E2693" s="33"/>
      <c r="F2693" s="105"/>
      <c r="H2693" s="116"/>
      <c r="I2693" s="26"/>
      <c r="J2693" s="98"/>
      <c r="K2693" s="36"/>
      <c r="L2693" s="26"/>
      <c r="M2693" s="26"/>
      <c r="N2693" s="26"/>
      <c r="O2693" s="93"/>
      <c r="P2693" s="95"/>
      <c r="Q2693" s="197"/>
    </row>
    <row r="2694" spans="3:17" x14ac:dyDescent="0.25">
      <c r="C2694" s="199"/>
      <c r="D2694" s="112"/>
      <c r="E2694" s="33"/>
      <c r="F2694" s="105"/>
      <c r="H2694" s="116"/>
      <c r="I2694" s="26"/>
      <c r="J2694" s="98"/>
      <c r="K2694" s="36"/>
      <c r="L2694" s="26"/>
      <c r="M2694" s="26"/>
      <c r="N2694" s="26"/>
      <c r="O2694" s="93"/>
      <c r="P2694" s="95"/>
      <c r="Q2694" s="197"/>
    </row>
    <row r="2695" spans="3:17" x14ac:dyDescent="0.25">
      <c r="C2695" s="199"/>
      <c r="D2695" s="112"/>
      <c r="E2695" s="33"/>
      <c r="F2695" s="105"/>
      <c r="H2695" s="116"/>
      <c r="I2695" s="26"/>
      <c r="J2695" s="98"/>
      <c r="K2695" s="36"/>
      <c r="L2695" s="26"/>
      <c r="M2695" s="26"/>
      <c r="N2695" s="26"/>
      <c r="O2695" s="93"/>
      <c r="P2695" s="95"/>
      <c r="Q2695" s="197"/>
    </row>
    <row r="2696" spans="3:17" x14ac:dyDescent="0.25">
      <c r="C2696" s="199"/>
      <c r="D2696" s="112"/>
      <c r="E2696" s="33"/>
      <c r="F2696" s="105"/>
      <c r="H2696" s="116"/>
      <c r="I2696" s="26"/>
      <c r="J2696" s="98"/>
      <c r="K2696" s="36"/>
      <c r="L2696" s="26"/>
      <c r="M2696" s="26"/>
      <c r="N2696" s="26"/>
      <c r="O2696" s="93"/>
      <c r="P2696" s="95"/>
      <c r="Q2696" s="197"/>
    </row>
    <row r="2697" spans="3:17" x14ac:dyDescent="0.25">
      <c r="C2697" s="199"/>
      <c r="D2697" s="112"/>
      <c r="E2697" s="33"/>
      <c r="F2697" s="105"/>
      <c r="H2697" s="116"/>
      <c r="I2697" s="26"/>
      <c r="J2697" s="98"/>
      <c r="K2697" s="36"/>
      <c r="L2697" s="26"/>
      <c r="M2697" s="26"/>
      <c r="N2697" s="26"/>
      <c r="O2697" s="93"/>
      <c r="P2697" s="95"/>
      <c r="Q2697" s="197"/>
    </row>
    <row r="2698" spans="3:17" x14ac:dyDescent="0.25">
      <c r="C2698" s="199"/>
      <c r="D2698" s="112"/>
      <c r="E2698" s="33"/>
      <c r="F2698" s="105"/>
      <c r="H2698" s="116"/>
      <c r="I2698" s="26"/>
      <c r="J2698" s="98"/>
      <c r="K2698" s="36"/>
      <c r="L2698" s="26"/>
      <c r="M2698" s="26"/>
      <c r="N2698" s="26"/>
      <c r="O2698" s="93"/>
      <c r="P2698" s="95"/>
      <c r="Q2698" s="197"/>
    </row>
    <row r="2699" spans="3:17" x14ac:dyDescent="0.25">
      <c r="C2699" s="199"/>
      <c r="D2699" s="112"/>
      <c r="E2699" s="33"/>
      <c r="F2699" s="105"/>
      <c r="H2699" s="116"/>
      <c r="I2699" s="26"/>
      <c r="J2699" s="98"/>
      <c r="K2699" s="36"/>
      <c r="L2699" s="26"/>
      <c r="M2699" s="26"/>
      <c r="N2699" s="26"/>
      <c r="O2699" s="93"/>
      <c r="P2699" s="95"/>
      <c r="Q2699" s="197"/>
    </row>
    <row r="2700" spans="3:17" x14ac:dyDescent="0.25">
      <c r="C2700" s="199"/>
      <c r="D2700" s="112"/>
      <c r="E2700" s="33"/>
      <c r="F2700" s="105"/>
      <c r="H2700" s="116"/>
      <c r="I2700" s="26"/>
      <c r="J2700" s="98"/>
      <c r="K2700" s="36"/>
      <c r="L2700" s="26"/>
      <c r="M2700" s="26"/>
      <c r="N2700" s="26"/>
      <c r="O2700" s="93"/>
      <c r="P2700" s="95"/>
      <c r="Q2700" s="197"/>
    </row>
    <row r="2701" spans="3:17" x14ac:dyDescent="0.25">
      <c r="C2701" s="199"/>
      <c r="D2701" s="112"/>
      <c r="E2701" s="33"/>
      <c r="F2701" s="105"/>
      <c r="H2701" s="116"/>
      <c r="I2701" s="26"/>
      <c r="J2701" s="98"/>
      <c r="K2701" s="36"/>
      <c r="L2701" s="26"/>
      <c r="M2701" s="26"/>
      <c r="N2701" s="26"/>
      <c r="O2701" s="93"/>
      <c r="P2701" s="95"/>
      <c r="Q2701" s="197"/>
    </row>
    <row r="2702" spans="3:17" x14ac:dyDescent="0.25">
      <c r="C2702" s="199"/>
      <c r="D2702" s="112"/>
      <c r="E2702" s="33"/>
      <c r="F2702" s="105"/>
      <c r="H2702" s="116"/>
      <c r="I2702" s="26"/>
      <c r="J2702" s="98"/>
      <c r="K2702" s="36"/>
      <c r="L2702" s="26"/>
      <c r="M2702" s="26"/>
      <c r="N2702" s="26"/>
      <c r="O2702" s="93"/>
      <c r="P2702" s="95"/>
      <c r="Q2702" s="197"/>
    </row>
    <row r="2703" spans="3:17" x14ac:dyDescent="0.25">
      <c r="C2703" s="199"/>
      <c r="D2703" s="112"/>
      <c r="E2703" s="33"/>
      <c r="F2703" s="105"/>
      <c r="H2703" s="116"/>
      <c r="I2703" s="26"/>
      <c r="J2703" s="98"/>
      <c r="K2703" s="36"/>
      <c r="L2703" s="26"/>
      <c r="M2703" s="26"/>
      <c r="N2703" s="26"/>
      <c r="O2703" s="93"/>
      <c r="P2703" s="95"/>
      <c r="Q2703" s="197"/>
    </row>
    <row r="2704" spans="3:17" x14ac:dyDescent="0.25">
      <c r="C2704" s="199"/>
      <c r="D2704" s="112"/>
      <c r="E2704" s="33"/>
      <c r="F2704" s="105"/>
      <c r="H2704" s="116"/>
      <c r="I2704" s="26"/>
      <c r="J2704" s="98"/>
      <c r="K2704" s="36"/>
      <c r="L2704" s="26"/>
      <c r="M2704" s="26"/>
      <c r="N2704" s="26"/>
      <c r="O2704" s="93"/>
      <c r="P2704" s="95"/>
      <c r="Q2704" s="197"/>
    </row>
    <row r="2705" spans="3:17" x14ac:dyDescent="0.25">
      <c r="C2705" s="199"/>
      <c r="D2705" s="112"/>
      <c r="E2705" s="33"/>
      <c r="F2705" s="105"/>
      <c r="H2705" s="116"/>
      <c r="I2705" s="26"/>
      <c r="J2705" s="98"/>
      <c r="K2705" s="36"/>
      <c r="L2705" s="26"/>
      <c r="M2705" s="26"/>
      <c r="N2705" s="26"/>
      <c r="O2705" s="93"/>
      <c r="P2705" s="95"/>
      <c r="Q2705" s="197"/>
    </row>
    <row r="2706" spans="3:17" x14ac:dyDescent="0.25">
      <c r="C2706" s="199"/>
      <c r="D2706" s="112"/>
      <c r="E2706" s="33"/>
      <c r="F2706" s="105"/>
      <c r="H2706" s="116"/>
      <c r="I2706" s="26"/>
      <c r="J2706" s="98"/>
      <c r="K2706" s="36"/>
      <c r="L2706" s="26"/>
      <c r="M2706" s="26"/>
      <c r="N2706" s="26"/>
      <c r="O2706" s="93"/>
      <c r="P2706" s="95"/>
      <c r="Q2706" s="197"/>
    </row>
    <row r="2707" spans="3:17" x14ac:dyDescent="0.25">
      <c r="C2707" s="199"/>
      <c r="D2707" s="112"/>
      <c r="E2707" s="33"/>
      <c r="F2707" s="105"/>
      <c r="H2707" s="116"/>
      <c r="I2707" s="26"/>
      <c r="J2707" s="98"/>
      <c r="K2707" s="36"/>
      <c r="L2707" s="26"/>
      <c r="M2707" s="26"/>
      <c r="N2707" s="26"/>
      <c r="O2707" s="93"/>
      <c r="P2707" s="95"/>
      <c r="Q2707" s="197"/>
    </row>
    <row r="2708" spans="3:17" x14ac:dyDescent="0.25">
      <c r="C2708" s="199"/>
      <c r="D2708" s="112"/>
      <c r="E2708" s="33"/>
      <c r="F2708" s="105"/>
      <c r="H2708" s="116"/>
      <c r="I2708" s="26"/>
      <c r="J2708" s="98"/>
      <c r="K2708" s="36"/>
      <c r="L2708" s="26"/>
      <c r="M2708" s="26"/>
      <c r="N2708" s="26"/>
      <c r="O2708" s="93"/>
      <c r="P2708" s="95"/>
      <c r="Q2708" s="197"/>
    </row>
    <row r="2709" spans="3:17" x14ac:dyDescent="0.25">
      <c r="C2709" s="199"/>
      <c r="D2709" s="112"/>
      <c r="E2709" s="33"/>
      <c r="F2709" s="105"/>
      <c r="H2709" s="116"/>
      <c r="I2709" s="26"/>
      <c r="J2709" s="98"/>
      <c r="K2709" s="36"/>
      <c r="L2709" s="26"/>
      <c r="M2709" s="26"/>
      <c r="N2709" s="26"/>
      <c r="O2709" s="93"/>
      <c r="P2709" s="95"/>
      <c r="Q2709" s="197"/>
    </row>
    <row r="2710" spans="3:17" x14ac:dyDescent="0.25">
      <c r="C2710" s="199"/>
      <c r="D2710" s="112"/>
      <c r="E2710" s="33"/>
      <c r="F2710" s="105"/>
      <c r="H2710" s="116"/>
      <c r="I2710" s="26"/>
      <c r="J2710" s="98"/>
      <c r="K2710" s="36"/>
      <c r="L2710" s="26"/>
      <c r="M2710" s="26"/>
      <c r="N2710" s="26"/>
      <c r="O2710" s="93"/>
      <c r="P2710" s="95"/>
      <c r="Q2710" s="197"/>
    </row>
    <row r="2711" spans="3:17" x14ac:dyDescent="0.25">
      <c r="C2711" s="199"/>
      <c r="D2711" s="112"/>
      <c r="E2711" s="33"/>
      <c r="F2711" s="105"/>
      <c r="H2711" s="116"/>
      <c r="I2711" s="26"/>
      <c r="J2711" s="98"/>
      <c r="K2711" s="36"/>
      <c r="L2711" s="26"/>
      <c r="M2711" s="26"/>
      <c r="N2711" s="26"/>
      <c r="O2711" s="93"/>
      <c r="P2711" s="95"/>
      <c r="Q2711" s="197"/>
    </row>
    <row r="2712" spans="3:17" x14ac:dyDescent="0.25">
      <c r="C2712" s="199"/>
      <c r="D2712" s="112"/>
      <c r="E2712" s="33"/>
      <c r="F2712" s="105"/>
      <c r="H2712" s="116"/>
      <c r="I2712" s="26"/>
      <c r="J2712" s="98"/>
      <c r="K2712" s="36"/>
      <c r="L2712" s="26"/>
      <c r="M2712" s="26"/>
      <c r="N2712" s="26"/>
      <c r="O2712" s="93"/>
      <c r="P2712" s="95"/>
      <c r="Q2712" s="197"/>
    </row>
    <row r="2713" spans="3:17" x14ac:dyDescent="0.25">
      <c r="C2713" s="199"/>
      <c r="D2713" s="112"/>
      <c r="E2713" s="33"/>
      <c r="F2713" s="105"/>
      <c r="H2713" s="116"/>
      <c r="I2713" s="26"/>
      <c r="J2713" s="98"/>
      <c r="K2713" s="36"/>
      <c r="L2713" s="26"/>
      <c r="M2713" s="26"/>
      <c r="N2713" s="26"/>
      <c r="O2713" s="93"/>
      <c r="P2713" s="95"/>
      <c r="Q2713" s="197"/>
    </row>
    <row r="2714" spans="3:17" x14ac:dyDescent="0.25">
      <c r="C2714" s="199"/>
      <c r="D2714" s="112"/>
      <c r="E2714" s="33"/>
      <c r="F2714" s="105"/>
      <c r="H2714" s="116"/>
      <c r="I2714" s="26"/>
      <c r="J2714" s="98"/>
      <c r="K2714" s="36"/>
      <c r="L2714" s="26"/>
      <c r="M2714" s="26"/>
      <c r="N2714" s="26"/>
      <c r="O2714" s="93"/>
      <c r="P2714" s="95"/>
      <c r="Q2714" s="197"/>
    </row>
    <row r="2715" spans="3:17" x14ac:dyDescent="0.25">
      <c r="C2715" s="199"/>
      <c r="D2715" s="112"/>
      <c r="E2715" s="33"/>
      <c r="F2715" s="105"/>
      <c r="H2715" s="116"/>
      <c r="I2715" s="26"/>
      <c r="J2715" s="98"/>
      <c r="K2715" s="36"/>
      <c r="L2715" s="26"/>
      <c r="M2715" s="26"/>
      <c r="N2715" s="26"/>
      <c r="O2715" s="93"/>
      <c r="P2715" s="95"/>
      <c r="Q2715" s="197"/>
    </row>
    <row r="2716" spans="3:17" x14ac:dyDescent="0.25">
      <c r="C2716" s="199"/>
      <c r="D2716" s="112"/>
      <c r="E2716" s="33"/>
      <c r="F2716" s="105"/>
      <c r="H2716" s="116"/>
      <c r="I2716" s="26"/>
      <c r="J2716" s="98"/>
      <c r="K2716" s="36"/>
      <c r="L2716" s="26"/>
      <c r="M2716" s="26"/>
      <c r="N2716" s="26"/>
      <c r="O2716" s="93"/>
      <c r="P2716" s="95"/>
      <c r="Q2716" s="197"/>
    </row>
    <row r="2717" spans="3:17" x14ac:dyDescent="0.25">
      <c r="C2717" s="199"/>
      <c r="D2717" s="112"/>
      <c r="E2717" s="33"/>
      <c r="F2717" s="105"/>
      <c r="H2717" s="116"/>
      <c r="I2717" s="26"/>
      <c r="J2717" s="98"/>
      <c r="K2717" s="36"/>
      <c r="L2717" s="26"/>
      <c r="M2717" s="26"/>
      <c r="N2717" s="26"/>
      <c r="O2717" s="93"/>
      <c r="P2717" s="95"/>
      <c r="Q2717" s="197"/>
    </row>
    <row r="2718" spans="3:17" x14ac:dyDescent="0.25">
      <c r="C2718" s="199"/>
      <c r="D2718" s="112"/>
      <c r="E2718" s="33"/>
      <c r="F2718" s="105"/>
      <c r="H2718" s="116"/>
      <c r="I2718" s="26"/>
      <c r="J2718" s="98"/>
      <c r="K2718" s="36"/>
      <c r="L2718" s="26"/>
      <c r="M2718" s="26"/>
      <c r="N2718" s="26"/>
      <c r="O2718" s="93"/>
      <c r="P2718" s="95"/>
      <c r="Q2718" s="197"/>
    </row>
    <row r="2719" spans="3:17" x14ac:dyDescent="0.25">
      <c r="C2719" s="199"/>
      <c r="D2719" s="112"/>
      <c r="E2719" s="33"/>
      <c r="F2719" s="105"/>
      <c r="H2719" s="116"/>
      <c r="I2719" s="26"/>
      <c r="J2719" s="98"/>
      <c r="K2719" s="36"/>
      <c r="L2719" s="26"/>
      <c r="M2719" s="26"/>
      <c r="N2719" s="26"/>
      <c r="O2719" s="93"/>
      <c r="P2719" s="95"/>
      <c r="Q2719" s="197"/>
    </row>
    <row r="2720" spans="3:17" x14ac:dyDescent="0.25">
      <c r="C2720" s="199"/>
      <c r="D2720" s="112"/>
      <c r="E2720" s="33"/>
      <c r="F2720" s="105"/>
      <c r="H2720" s="116"/>
      <c r="I2720" s="26"/>
      <c r="J2720" s="98"/>
      <c r="K2720" s="36"/>
      <c r="L2720" s="26"/>
      <c r="M2720" s="26"/>
      <c r="N2720" s="26"/>
      <c r="O2720" s="93"/>
      <c r="P2720" s="95"/>
      <c r="Q2720" s="197"/>
    </row>
    <row r="2721" spans="3:17" x14ac:dyDescent="0.25">
      <c r="C2721" s="199"/>
      <c r="D2721" s="112"/>
      <c r="E2721" s="33"/>
      <c r="F2721" s="105"/>
      <c r="H2721" s="116"/>
      <c r="I2721" s="26"/>
      <c r="J2721" s="98"/>
      <c r="K2721" s="36"/>
      <c r="L2721" s="26"/>
      <c r="M2721" s="26"/>
      <c r="N2721" s="26"/>
      <c r="O2721" s="93"/>
      <c r="P2721" s="95"/>
      <c r="Q2721" s="197"/>
    </row>
    <row r="2722" spans="3:17" x14ac:dyDescent="0.25">
      <c r="C2722" s="199"/>
      <c r="D2722" s="112"/>
      <c r="E2722" s="33"/>
      <c r="F2722" s="105"/>
      <c r="H2722" s="116"/>
      <c r="I2722" s="26"/>
      <c r="J2722" s="98"/>
      <c r="K2722" s="36"/>
      <c r="L2722" s="26"/>
      <c r="M2722" s="26"/>
      <c r="N2722" s="26"/>
      <c r="O2722" s="93"/>
      <c r="P2722" s="95"/>
      <c r="Q2722" s="197"/>
    </row>
    <row r="2723" spans="3:17" x14ac:dyDescent="0.25">
      <c r="C2723" s="199"/>
      <c r="D2723" s="112"/>
      <c r="E2723" s="33"/>
      <c r="F2723" s="105"/>
      <c r="H2723" s="116"/>
      <c r="I2723" s="26"/>
      <c r="J2723" s="98"/>
      <c r="K2723" s="36"/>
      <c r="L2723" s="26"/>
      <c r="M2723" s="26"/>
      <c r="N2723" s="26"/>
      <c r="O2723" s="93"/>
      <c r="P2723" s="95"/>
      <c r="Q2723" s="197"/>
    </row>
    <row r="2724" spans="3:17" x14ac:dyDescent="0.25">
      <c r="C2724" s="199"/>
      <c r="D2724" s="112"/>
      <c r="E2724" s="33"/>
      <c r="F2724" s="105"/>
      <c r="H2724" s="116"/>
      <c r="I2724" s="26"/>
      <c r="J2724" s="98"/>
      <c r="K2724" s="36"/>
      <c r="L2724" s="26"/>
      <c r="M2724" s="26"/>
      <c r="N2724" s="26"/>
      <c r="O2724" s="93"/>
      <c r="P2724" s="95"/>
      <c r="Q2724" s="197"/>
    </row>
    <row r="2725" spans="3:17" x14ac:dyDescent="0.25">
      <c r="C2725" s="199"/>
      <c r="D2725" s="112"/>
      <c r="E2725" s="33"/>
      <c r="F2725" s="105"/>
      <c r="H2725" s="116"/>
      <c r="I2725" s="26"/>
      <c r="J2725" s="98"/>
      <c r="K2725" s="36"/>
      <c r="L2725" s="26"/>
      <c r="M2725" s="26"/>
      <c r="N2725" s="26"/>
      <c r="O2725" s="93"/>
      <c r="P2725" s="95"/>
      <c r="Q2725" s="197"/>
    </row>
    <row r="2726" spans="3:17" x14ac:dyDescent="0.25">
      <c r="C2726" s="199"/>
      <c r="D2726" s="112"/>
      <c r="E2726" s="33"/>
      <c r="F2726" s="105"/>
      <c r="H2726" s="116"/>
      <c r="I2726" s="26"/>
      <c r="J2726" s="98"/>
      <c r="K2726" s="36"/>
      <c r="L2726" s="26"/>
      <c r="M2726" s="26"/>
      <c r="N2726" s="26"/>
      <c r="O2726" s="93"/>
      <c r="P2726" s="95"/>
      <c r="Q2726" s="197"/>
    </row>
    <row r="2727" spans="3:17" x14ac:dyDescent="0.25">
      <c r="C2727" s="199"/>
      <c r="D2727" s="112"/>
      <c r="E2727" s="33"/>
      <c r="F2727" s="105"/>
      <c r="H2727" s="116"/>
      <c r="I2727" s="26"/>
      <c r="J2727" s="98"/>
      <c r="K2727" s="36"/>
      <c r="L2727" s="26"/>
      <c r="M2727" s="26"/>
      <c r="N2727" s="26"/>
      <c r="O2727" s="93"/>
      <c r="P2727" s="95"/>
      <c r="Q2727" s="197"/>
    </row>
    <row r="2728" spans="3:17" x14ac:dyDescent="0.25">
      <c r="C2728" s="199"/>
      <c r="D2728" s="112"/>
      <c r="E2728" s="33"/>
      <c r="F2728" s="105"/>
      <c r="H2728" s="116"/>
      <c r="I2728" s="26"/>
      <c r="J2728" s="98"/>
      <c r="K2728" s="36"/>
      <c r="L2728" s="26"/>
      <c r="M2728" s="26"/>
      <c r="N2728" s="26"/>
      <c r="O2728" s="93"/>
      <c r="P2728" s="95"/>
      <c r="Q2728" s="197"/>
    </row>
    <row r="2729" spans="3:17" x14ac:dyDescent="0.25">
      <c r="C2729" s="199"/>
      <c r="D2729" s="112"/>
      <c r="E2729" s="33"/>
      <c r="F2729" s="105"/>
      <c r="H2729" s="116"/>
      <c r="I2729" s="26"/>
      <c r="J2729" s="98"/>
      <c r="K2729" s="36"/>
      <c r="L2729" s="26"/>
      <c r="M2729" s="26"/>
      <c r="N2729" s="26"/>
      <c r="O2729" s="93"/>
      <c r="P2729" s="95"/>
      <c r="Q2729" s="197"/>
    </row>
    <row r="2730" spans="3:17" x14ac:dyDescent="0.25">
      <c r="C2730" s="199"/>
      <c r="D2730" s="112"/>
      <c r="E2730" s="33"/>
      <c r="F2730" s="105"/>
      <c r="H2730" s="116"/>
      <c r="I2730" s="26"/>
      <c r="J2730" s="98"/>
      <c r="K2730" s="36"/>
      <c r="L2730" s="26"/>
      <c r="M2730" s="26"/>
      <c r="N2730" s="26"/>
      <c r="O2730" s="93"/>
      <c r="P2730" s="95"/>
      <c r="Q2730" s="197"/>
    </row>
    <row r="2731" spans="3:17" x14ac:dyDescent="0.25">
      <c r="C2731" s="199"/>
      <c r="D2731" s="112"/>
      <c r="E2731" s="33"/>
      <c r="F2731" s="105"/>
      <c r="H2731" s="116"/>
      <c r="I2731" s="26"/>
      <c r="J2731" s="98"/>
      <c r="K2731" s="36"/>
      <c r="L2731" s="26"/>
      <c r="M2731" s="26"/>
      <c r="N2731" s="26"/>
      <c r="O2731" s="93"/>
      <c r="P2731" s="95"/>
      <c r="Q2731" s="197"/>
    </row>
    <row r="2732" spans="3:17" x14ac:dyDescent="0.25">
      <c r="C2732" s="199"/>
      <c r="D2732" s="112"/>
      <c r="E2732" s="33"/>
      <c r="F2732" s="105"/>
      <c r="H2732" s="116"/>
      <c r="I2732" s="26"/>
      <c r="J2732" s="98"/>
      <c r="K2732" s="36"/>
      <c r="L2732" s="26"/>
      <c r="M2732" s="26"/>
      <c r="N2732" s="26"/>
      <c r="O2732" s="93"/>
      <c r="P2732" s="95"/>
      <c r="Q2732" s="197"/>
    </row>
    <row r="2733" spans="3:17" x14ac:dyDescent="0.25">
      <c r="C2733" s="199"/>
      <c r="D2733" s="112"/>
      <c r="E2733" s="33"/>
      <c r="F2733" s="105"/>
      <c r="H2733" s="116"/>
      <c r="I2733" s="26"/>
      <c r="J2733" s="98"/>
      <c r="K2733" s="36"/>
      <c r="L2733" s="26"/>
      <c r="M2733" s="26"/>
      <c r="N2733" s="26"/>
      <c r="O2733" s="93"/>
      <c r="P2733" s="95"/>
      <c r="Q2733" s="197"/>
    </row>
    <row r="2734" spans="3:17" x14ac:dyDescent="0.25">
      <c r="C2734" s="199"/>
      <c r="D2734" s="112"/>
      <c r="E2734" s="33"/>
      <c r="F2734" s="105"/>
      <c r="H2734" s="116"/>
      <c r="I2734" s="26"/>
      <c r="J2734" s="98"/>
      <c r="K2734" s="36"/>
      <c r="L2734" s="26"/>
      <c r="M2734" s="26"/>
      <c r="N2734" s="26"/>
      <c r="O2734" s="93"/>
      <c r="P2734" s="95"/>
      <c r="Q2734" s="197"/>
    </row>
    <row r="2735" spans="3:17" x14ac:dyDescent="0.25">
      <c r="C2735" s="199"/>
      <c r="D2735" s="112"/>
      <c r="E2735" s="33"/>
      <c r="F2735" s="105"/>
      <c r="H2735" s="116"/>
      <c r="I2735" s="26"/>
      <c r="J2735" s="98"/>
      <c r="K2735" s="36"/>
      <c r="L2735" s="26"/>
      <c r="M2735" s="26"/>
      <c r="N2735" s="26"/>
      <c r="O2735" s="93"/>
      <c r="P2735" s="95"/>
      <c r="Q2735" s="197"/>
    </row>
    <row r="2736" spans="3:17" x14ac:dyDescent="0.25">
      <c r="C2736" s="199"/>
      <c r="D2736" s="112"/>
      <c r="E2736" s="33"/>
      <c r="F2736" s="105"/>
      <c r="H2736" s="116"/>
      <c r="I2736" s="26"/>
      <c r="J2736" s="98"/>
      <c r="K2736" s="36"/>
      <c r="L2736" s="26"/>
      <c r="M2736" s="26"/>
      <c r="N2736" s="26"/>
      <c r="O2736" s="93"/>
      <c r="P2736" s="95"/>
      <c r="Q2736" s="197"/>
    </row>
    <row r="2737" spans="3:17" x14ac:dyDescent="0.25">
      <c r="C2737" s="199"/>
      <c r="D2737" s="112"/>
      <c r="E2737" s="33"/>
      <c r="F2737" s="105"/>
      <c r="H2737" s="116"/>
      <c r="I2737" s="26"/>
      <c r="J2737" s="98"/>
      <c r="K2737" s="36"/>
      <c r="L2737" s="26"/>
      <c r="M2737" s="26"/>
      <c r="N2737" s="26"/>
      <c r="O2737" s="93"/>
      <c r="P2737" s="95"/>
      <c r="Q2737" s="197"/>
    </row>
    <row r="2738" spans="3:17" x14ac:dyDescent="0.25">
      <c r="C2738" s="199"/>
      <c r="D2738" s="112"/>
      <c r="E2738" s="33"/>
      <c r="F2738" s="105"/>
      <c r="H2738" s="116"/>
      <c r="I2738" s="26"/>
      <c r="J2738" s="98"/>
      <c r="K2738" s="36"/>
      <c r="L2738" s="26"/>
      <c r="M2738" s="26"/>
      <c r="N2738" s="26"/>
      <c r="O2738" s="93"/>
      <c r="P2738" s="95"/>
      <c r="Q2738" s="197"/>
    </row>
    <row r="2739" spans="3:17" x14ac:dyDescent="0.25">
      <c r="C2739" s="199"/>
      <c r="D2739" s="112"/>
      <c r="E2739" s="33"/>
      <c r="F2739" s="105"/>
      <c r="H2739" s="116"/>
      <c r="I2739" s="26"/>
      <c r="J2739" s="98"/>
      <c r="K2739" s="36"/>
      <c r="L2739" s="26"/>
      <c r="M2739" s="26"/>
      <c r="N2739" s="26"/>
      <c r="O2739" s="93"/>
      <c r="P2739" s="95"/>
      <c r="Q2739" s="197"/>
    </row>
    <row r="2740" spans="3:17" x14ac:dyDescent="0.25">
      <c r="C2740" s="199"/>
      <c r="D2740" s="112"/>
      <c r="E2740" s="33"/>
      <c r="F2740" s="105"/>
      <c r="H2740" s="116"/>
      <c r="I2740" s="26"/>
      <c r="J2740" s="98"/>
      <c r="K2740" s="36"/>
      <c r="L2740" s="26"/>
      <c r="M2740" s="26"/>
      <c r="N2740" s="26"/>
      <c r="O2740" s="93"/>
      <c r="P2740" s="95"/>
      <c r="Q2740" s="197"/>
    </row>
    <row r="2741" spans="3:17" x14ac:dyDescent="0.25">
      <c r="C2741" s="199"/>
      <c r="D2741" s="112"/>
      <c r="E2741" s="33"/>
      <c r="F2741" s="105"/>
      <c r="H2741" s="116"/>
      <c r="I2741" s="26"/>
      <c r="J2741" s="98"/>
      <c r="K2741" s="36"/>
      <c r="L2741" s="26"/>
      <c r="M2741" s="26"/>
      <c r="N2741" s="26"/>
      <c r="O2741" s="93"/>
      <c r="P2741" s="95"/>
      <c r="Q2741" s="197"/>
    </row>
    <row r="2742" spans="3:17" x14ac:dyDescent="0.25">
      <c r="C2742" s="199"/>
      <c r="D2742" s="112"/>
      <c r="E2742" s="33"/>
      <c r="F2742" s="105"/>
      <c r="H2742" s="116"/>
      <c r="I2742" s="26"/>
      <c r="J2742" s="98"/>
      <c r="K2742" s="36"/>
      <c r="L2742" s="26"/>
      <c r="M2742" s="26"/>
      <c r="N2742" s="26"/>
      <c r="O2742" s="93"/>
      <c r="P2742" s="95"/>
      <c r="Q2742" s="197"/>
    </row>
    <row r="2743" spans="3:17" x14ac:dyDescent="0.25">
      <c r="C2743" s="199"/>
      <c r="D2743" s="112"/>
      <c r="E2743" s="33"/>
      <c r="F2743" s="105"/>
      <c r="H2743" s="116"/>
      <c r="I2743" s="26"/>
      <c r="J2743" s="98"/>
      <c r="K2743" s="36"/>
      <c r="L2743" s="26"/>
      <c r="M2743" s="26"/>
      <c r="N2743" s="26"/>
      <c r="O2743" s="93"/>
      <c r="P2743" s="95"/>
      <c r="Q2743" s="197"/>
    </row>
    <row r="2744" spans="3:17" x14ac:dyDescent="0.25">
      <c r="C2744" s="199"/>
      <c r="D2744" s="112"/>
      <c r="E2744" s="33"/>
      <c r="F2744" s="105"/>
      <c r="H2744" s="116"/>
      <c r="I2744" s="26"/>
      <c r="J2744" s="98"/>
      <c r="K2744" s="36"/>
      <c r="L2744" s="26"/>
      <c r="M2744" s="26"/>
      <c r="N2744" s="26"/>
      <c r="O2744" s="93"/>
      <c r="P2744" s="95"/>
      <c r="Q2744" s="197"/>
    </row>
    <row r="2745" spans="3:17" x14ac:dyDescent="0.25">
      <c r="C2745" s="199"/>
      <c r="D2745" s="112"/>
      <c r="E2745" s="33"/>
      <c r="F2745" s="105"/>
      <c r="H2745" s="116"/>
      <c r="I2745" s="26"/>
      <c r="J2745" s="98"/>
      <c r="K2745" s="36"/>
      <c r="L2745" s="26"/>
      <c r="M2745" s="26"/>
      <c r="N2745" s="26"/>
      <c r="O2745" s="93"/>
      <c r="P2745" s="95"/>
      <c r="Q2745" s="197"/>
    </row>
    <row r="2746" spans="3:17" x14ac:dyDescent="0.25">
      <c r="C2746" s="199"/>
      <c r="D2746" s="112"/>
      <c r="E2746" s="33"/>
      <c r="F2746" s="105"/>
      <c r="H2746" s="116"/>
      <c r="I2746" s="26"/>
      <c r="J2746" s="98"/>
      <c r="K2746" s="36"/>
      <c r="L2746" s="26"/>
      <c r="M2746" s="26"/>
      <c r="N2746" s="26"/>
      <c r="O2746" s="93"/>
      <c r="P2746" s="95"/>
      <c r="Q2746" s="197"/>
    </row>
    <row r="2747" spans="3:17" x14ac:dyDescent="0.25">
      <c r="C2747" s="199"/>
      <c r="D2747" s="112"/>
      <c r="E2747" s="33"/>
      <c r="F2747" s="105"/>
      <c r="H2747" s="116"/>
      <c r="I2747" s="26"/>
      <c r="J2747" s="98"/>
      <c r="K2747" s="36"/>
      <c r="L2747" s="26"/>
      <c r="M2747" s="26"/>
      <c r="N2747" s="26"/>
      <c r="O2747" s="93"/>
      <c r="P2747" s="95"/>
      <c r="Q2747" s="197"/>
    </row>
    <row r="2748" spans="3:17" x14ac:dyDescent="0.25">
      <c r="C2748" s="199"/>
      <c r="D2748" s="112"/>
      <c r="E2748" s="33"/>
      <c r="F2748" s="105"/>
      <c r="H2748" s="116"/>
      <c r="I2748" s="26"/>
      <c r="J2748" s="98"/>
      <c r="K2748" s="36"/>
      <c r="L2748" s="26"/>
      <c r="M2748" s="26"/>
      <c r="N2748" s="26"/>
      <c r="O2748" s="93"/>
      <c r="P2748" s="95"/>
      <c r="Q2748" s="197"/>
    </row>
    <row r="2749" spans="3:17" x14ac:dyDescent="0.25">
      <c r="C2749" s="199"/>
      <c r="D2749" s="112"/>
      <c r="E2749" s="33"/>
      <c r="F2749" s="105"/>
      <c r="H2749" s="116"/>
      <c r="I2749" s="26"/>
      <c r="J2749" s="98"/>
      <c r="K2749" s="36"/>
      <c r="L2749" s="26"/>
      <c r="M2749" s="26"/>
      <c r="N2749" s="26"/>
      <c r="O2749" s="93"/>
      <c r="P2749" s="95"/>
      <c r="Q2749" s="197"/>
    </row>
    <row r="2750" spans="3:17" x14ac:dyDescent="0.25">
      <c r="C2750" s="199"/>
      <c r="D2750" s="112"/>
      <c r="E2750" s="33"/>
      <c r="F2750" s="105"/>
      <c r="H2750" s="116"/>
      <c r="I2750" s="26"/>
      <c r="J2750" s="98"/>
      <c r="K2750" s="36"/>
      <c r="L2750" s="26"/>
      <c r="M2750" s="26"/>
      <c r="N2750" s="26"/>
      <c r="O2750" s="93"/>
      <c r="P2750" s="95"/>
      <c r="Q2750" s="197"/>
    </row>
    <row r="2751" spans="3:17" x14ac:dyDescent="0.25">
      <c r="C2751" s="199"/>
      <c r="D2751" s="112"/>
      <c r="E2751" s="33"/>
      <c r="F2751" s="105"/>
      <c r="H2751" s="116"/>
      <c r="I2751" s="26"/>
      <c r="J2751" s="98"/>
      <c r="K2751" s="36"/>
      <c r="L2751" s="26"/>
      <c r="M2751" s="26"/>
      <c r="N2751" s="26"/>
      <c r="O2751" s="93"/>
      <c r="P2751" s="95"/>
      <c r="Q2751" s="197"/>
    </row>
    <row r="2752" spans="3:17" x14ac:dyDescent="0.25">
      <c r="C2752" s="199"/>
      <c r="D2752" s="112"/>
      <c r="E2752" s="33"/>
      <c r="F2752" s="105"/>
      <c r="H2752" s="116"/>
      <c r="I2752" s="26"/>
      <c r="J2752" s="98"/>
      <c r="K2752" s="36"/>
      <c r="L2752" s="26"/>
      <c r="M2752" s="26"/>
      <c r="N2752" s="26"/>
      <c r="O2752" s="93"/>
      <c r="P2752" s="95"/>
      <c r="Q2752" s="197"/>
    </row>
    <row r="2753" spans="3:17" x14ac:dyDescent="0.25">
      <c r="C2753" s="199"/>
      <c r="D2753" s="112"/>
      <c r="E2753" s="33"/>
      <c r="F2753" s="105"/>
      <c r="H2753" s="116"/>
      <c r="I2753" s="26"/>
      <c r="J2753" s="98"/>
      <c r="K2753" s="36"/>
      <c r="L2753" s="26"/>
      <c r="M2753" s="26"/>
      <c r="N2753" s="26"/>
      <c r="O2753" s="93"/>
      <c r="P2753" s="95"/>
      <c r="Q2753" s="197"/>
    </row>
    <row r="2754" spans="3:17" x14ac:dyDescent="0.25">
      <c r="C2754" s="199"/>
      <c r="D2754" s="112"/>
      <c r="E2754" s="33"/>
      <c r="F2754" s="105"/>
      <c r="H2754" s="116"/>
      <c r="I2754" s="26"/>
      <c r="J2754" s="98"/>
      <c r="K2754" s="36"/>
      <c r="L2754" s="26"/>
      <c r="M2754" s="26"/>
      <c r="N2754" s="26"/>
      <c r="O2754" s="93"/>
      <c r="P2754" s="95"/>
      <c r="Q2754" s="197"/>
    </row>
    <row r="2755" spans="3:17" x14ac:dyDescent="0.25">
      <c r="C2755" s="199"/>
      <c r="D2755" s="112"/>
      <c r="E2755" s="33"/>
      <c r="F2755" s="105"/>
      <c r="H2755" s="116"/>
      <c r="I2755" s="26"/>
      <c r="J2755" s="98"/>
      <c r="K2755" s="36"/>
      <c r="L2755" s="26"/>
      <c r="M2755" s="26"/>
      <c r="N2755" s="26"/>
      <c r="O2755" s="93"/>
      <c r="P2755" s="95"/>
      <c r="Q2755" s="197"/>
    </row>
    <row r="2756" spans="3:17" x14ac:dyDescent="0.25">
      <c r="C2756" s="199"/>
      <c r="D2756" s="112"/>
      <c r="E2756" s="33"/>
      <c r="F2756" s="105"/>
      <c r="H2756" s="116"/>
      <c r="I2756" s="26"/>
      <c r="J2756" s="98"/>
      <c r="K2756" s="36"/>
      <c r="L2756" s="26"/>
      <c r="M2756" s="26"/>
      <c r="N2756" s="26"/>
      <c r="O2756" s="93"/>
      <c r="P2756" s="95"/>
      <c r="Q2756" s="197"/>
    </row>
    <row r="2757" spans="3:17" x14ac:dyDescent="0.25">
      <c r="C2757" s="199"/>
      <c r="D2757" s="112"/>
      <c r="E2757" s="33"/>
      <c r="F2757" s="105"/>
      <c r="H2757" s="116"/>
      <c r="I2757" s="26"/>
      <c r="J2757" s="98"/>
      <c r="K2757" s="36"/>
      <c r="L2757" s="26"/>
      <c r="M2757" s="26"/>
      <c r="N2757" s="26"/>
      <c r="O2757" s="93"/>
      <c r="P2757" s="95"/>
      <c r="Q2757" s="197"/>
    </row>
    <row r="2758" spans="3:17" x14ac:dyDescent="0.25">
      <c r="C2758" s="199"/>
      <c r="D2758" s="112"/>
      <c r="E2758" s="33"/>
      <c r="F2758" s="105"/>
      <c r="H2758" s="116"/>
      <c r="I2758" s="26"/>
      <c r="J2758" s="98"/>
      <c r="K2758" s="36"/>
      <c r="L2758" s="26"/>
      <c r="M2758" s="26"/>
      <c r="N2758" s="26"/>
      <c r="O2758" s="93"/>
      <c r="P2758" s="95"/>
      <c r="Q2758" s="197"/>
    </row>
    <row r="2759" spans="3:17" x14ac:dyDescent="0.25">
      <c r="C2759" s="199"/>
      <c r="D2759" s="112"/>
      <c r="E2759" s="33"/>
      <c r="F2759" s="105"/>
      <c r="H2759" s="116"/>
      <c r="I2759" s="26"/>
      <c r="J2759" s="98"/>
      <c r="K2759" s="36"/>
      <c r="L2759" s="26"/>
      <c r="M2759" s="26"/>
      <c r="N2759" s="26"/>
      <c r="O2759" s="93"/>
      <c r="P2759" s="95"/>
      <c r="Q2759" s="197"/>
    </row>
    <row r="2760" spans="3:17" x14ac:dyDescent="0.25">
      <c r="C2760" s="199"/>
      <c r="D2760" s="112"/>
      <c r="E2760" s="33"/>
      <c r="F2760" s="105"/>
      <c r="H2760" s="116"/>
      <c r="I2760" s="26"/>
      <c r="J2760" s="98"/>
      <c r="K2760" s="36"/>
      <c r="L2760" s="26"/>
      <c r="M2760" s="26"/>
      <c r="N2760" s="26"/>
      <c r="O2760" s="93"/>
      <c r="P2760" s="95"/>
      <c r="Q2760" s="197"/>
    </row>
    <row r="2761" spans="3:17" x14ac:dyDescent="0.25">
      <c r="C2761" s="199"/>
      <c r="D2761" s="112"/>
      <c r="E2761" s="33"/>
      <c r="F2761" s="105"/>
      <c r="H2761" s="116"/>
      <c r="I2761" s="26"/>
      <c r="J2761" s="98"/>
      <c r="K2761" s="36"/>
      <c r="L2761" s="26"/>
      <c r="M2761" s="26"/>
      <c r="N2761" s="26"/>
      <c r="O2761" s="93"/>
      <c r="P2761" s="95"/>
      <c r="Q2761" s="197"/>
    </row>
    <row r="2762" spans="3:17" x14ac:dyDescent="0.25">
      <c r="C2762" s="199"/>
      <c r="D2762" s="112"/>
      <c r="E2762" s="33"/>
      <c r="F2762" s="105"/>
      <c r="H2762" s="116"/>
      <c r="I2762" s="26"/>
      <c r="J2762" s="98"/>
      <c r="K2762" s="36"/>
      <c r="L2762" s="26"/>
      <c r="M2762" s="26"/>
      <c r="N2762" s="26"/>
      <c r="O2762" s="93"/>
      <c r="P2762" s="95"/>
      <c r="Q2762" s="197"/>
    </row>
    <row r="2763" spans="3:17" x14ac:dyDescent="0.25">
      <c r="C2763" s="199"/>
      <c r="D2763" s="112"/>
      <c r="E2763" s="33"/>
      <c r="F2763" s="105"/>
      <c r="H2763" s="116"/>
      <c r="I2763" s="26"/>
      <c r="J2763" s="98"/>
      <c r="K2763" s="36"/>
      <c r="L2763" s="26"/>
      <c r="M2763" s="26"/>
      <c r="N2763" s="26"/>
      <c r="O2763" s="93"/>
      <c r="P2763" s="95"/>
      <c r="Q2763" s="197"/>
    </row>
    <row r="2764" spans="3:17" x14ac:dyDescent="0.25">
      <c r="C2764" s="199"/>
      <c r="D2764" s="112"/>
      <c r="E2764" s="33"/>
      <c r="F2764" s="105"/>
      <c r="H2764" s="116"/>
      <c r="I2764" s="26"/>
      <c r="J2764" s="98"/>
      <c r="K2764" s="36"/>
      <c r="L2764" s="26"/>
      <c r="M2764" s="26"/>
      <c r="N2764" s="26"/>
      <c r="O2764" s="93"/>
      <c r="P2764" s="95"/>
      <c r="Q2764" s="197"/>
    </row>
    <row r="2765" spans="3:17" x14ac:dyDescent="0.25">
      <c r="C2765" s="199"/>
      <c r="D2765" s="112"/>
      <c r="E2765" s="33"/>
      <c r="F2765" s="105"/>
      <c r="H2765" s="116"/>
      <c r="I2765" s="26"/>
      <c r="J2765" s="98"/>
      <c r="K2765" s="36"/>
      <c r="L2765" s="26"/>
      <c r="M2765" s="26"/>
      <c r="N2765" s="26"/>
      <c r="O2765" s="93"/>
      <c r="P2765" s="95"/>
      <c r="Q2765" s="197"/>
    </row>
    <row r="2766" spans="3:17" x14ac:dyDescent="0.25">
      <c r="C2766" s="199"/>
      <c r="D2766" s="112"/>
      <c r="E2766" s="33"/>
      <c r="F2766" s="105"/>
      <c r="H2766" s="116"/>
      <c r="I2766" s="26"/>
      <c r="J2766" s="98"/>
      <c r="K2766" s="36"/>
      <c r="L2766" s="26"/>
      <c r="M2766" s="26"/>
      <c r="N2766" s="26"/>
      <c r="O2766" s="93"/>
      <c r="P2766" s="95"/>
      <c r="Q2766" s="197"/>
    </row>
    <row r="2767" spans="3:17" x14ac:dyDescent="0.25">
      <c r="C2767" s="199"/>
      <c r="D2767" s="112"/>
      <c r="E2767" s="33"/>
      <c r="F2767" s="105"/>
      <c r="H2767" s="116"/>
      <c r="I2767" s="26"/>
      <c r="J2767" s="98"/>
      <c r="K2767" s="36"/>
      <c r="L2767" s="26"/>
      <c r="M2767" s="26"/>
      <c r="N2767" s="26"/>
      <c r="O2767" s="93"/>
      <c r="P2767" s="95"/>
      <c r="Q2767" s="197"/>
    </row>
    <row r="2768" spans="3:17" x14ac:dyDescent="0.25">
      <c r="C2768" s="199"/>
      <c r="D2768" s="112"/>
      <c r="E2768" s="33"/>
      <c r="F2768" s="105"/>
      <c r="H2768" s="116"/>
      <c r="I2768" s="26"/>
      <c r="J2768" s="98"/>
      <c r="K2768" s="36"/>
      <c r="L2768" s="26"/>
      <c r="M2768" s="26"/>
      <c r="N2768" s="26"/>
      <c r="O2768" s="93"/>
      <c r="P2768" s="95"/>
      <c r="Q2768" s="197"/>
    </row>
    <row r="2769" spans="3:17" x14ac:dyDescent="0.25">
      <c r="C2769" s="199"/>
      <c r="D2769" s="112"/>
      <c r="E2769" s="33"/>
      <c r="F2769" s="105"/>
      <c r="H2769" s="116"/>
      <c r="I2769" s="26"/>
      <c r="J2769" s="98"/>
      <c r="K2769" s="36"/>
      <c r="L2769" s="26"/>
      <c r="M2769" s="26"/>
      <c r="N2769" s="26"/>
      <c r="O2769" s="93"/>
      <c r="P2769" s="95"/>
      <c r="Q2769" s="197"/>
    </row>
    <row r="2770" spans="3:17" x14ac:dyDescent="0.25">
      <c r="C2770" s="199"/>
      <c r="D2770" s="112"/>
      <c r="E2770" s="33"/>
      <c r="F2770" s="105"/>
      <c r="H2770" s="116"/>
      <c r="I2770" s="26"/>
      <c r="J2770" s="98"/>
      <c r="K2770" s="36"/>
      <c r="L2770" s="26"/>
      <c r="M2770" s="26"/>
      <c r="N2770" s="26"/>
      <c r="O2770" s="93"/>
      <c r="P2770" s="95"/>
      <c r="Q2770" s="197"/>
    </row>
    <row r="2771" spans="3:17" x14ac:dyDescent="0.25">
      <c r="C2771" s="199"/>
      <c r="D2771" s="112"/>
      <c r="E2771" s="33"/>
      <c r="F2771" s="105"/>
      <c r="H2771" s="116"/>
      <c r="I2771" s="26"/>
      <c r="J2771" s="98"/>
      <c r="K2771" s="36"/>
      <c r="L2771" s="26"/>
      <c r="M2771" s="26"/>
      <c r="N2771" s="26"/>
      <c r="O2771" s="93"/>
      <c r="P2771" s="95"/>
      <c r="Q2771" s="197"/>
    </row>
    <row r="2772" spans="3:17" x14ac:dyDescent="0.25">
      <c r="C2772" s="199"/>
      <c r="D2772" s="112"/>
      <c r="E2772" s="33"/>
      <c r="F2772" s="105"/>
      <c r="H2772" s="116"/>
      <c r="I2772" s="26"/>
      <c r="J2772" s="98"/>
      <c r="K2772" s="36"/>
      <c r="L2772" s="26"/>
      <c r="M2772" s="26"/>
      <c r="N2772" s="26"/>
      <c r="O2772" s="93"/>
      <c r="P2772" s="95"/>
      <c r="Q2772" s="197"/>
    </row>
    <row r="2773" spans="3:17" x14ac:dyDescent="0.25">
      <c r="C2773" s="199"/>
      <c r="D2773" s="112"/>
      <c r="E2773" s="33"/>
      <c r="F2773" s="105"/>
      <c r="H2773" s="116"/>
      <c r="I2773" s="26"/>
      <c r="J2773" s="98"/>
      <c r="K2773" s="36"/>
      <c r="L2773" s="26"/>
      <c r="M2773" s="26"/>
      <c r="N2773" s="26"/>
      <c r="O2773" s="93"/>
      <c r="P2773" s="95"/>
      <c r="Q2773" s="197"/>
    </row>
    <row r="2774" spans="3:17" x14ac:dyDescent="0.25">
      <c r="C2774" s="199"/>
      <c r="D2774" s="112"/>
      <c r="E2774" s="33"/>
      <c r="F2774" s="105"/>
      <c r="H2774" s="116"/>
      <c r="I2774" s="26"/>
      <c r="J2774" s="98"/>
      <c r="K2774" s="36"/>
      <c r="L2774" s="26"/>
      <c r="M2774" s="26"/>
      <c r="N2774" s="26"/>
      <c r="O2774" s="93"/>
      <c r="P2774" s="95"/>
      <c r="Q2774" s="197"/>
    </row>
    <row r="2775" spans="3:17" x14ac:dyDescent="0.25">
      <c r="C2775" s="199"/>
      <c r="D2775" s="112"/>
      <c r="E2775" s="33"/>
      <c r="F2775" s="105"/>
      <c r="H2775" s="116"/>
      <c r="I2775" s="26"/>
      <c r="J2775" s="98"/>
      <c r="K2775" s="36"/>
      <c r="L2775" s="26"/>
      <c r="M2775" s="26"/>
      <c r="N2775" s="26"/>
      <c r="O2775" s="93"/>
      <c r="P2775" s="95"/>
      <c r="Q2775" s="197"/>
    </row>
    <row r="2776" spans="3:17" x14ac:dyDescent="0.25">
      <c r="C2776" s="199"/>
      <c r="D2776" s="112"/>
      <c r="E2776" s="33"/>
      <c r="F2776" s="105"/>
      <c r="H2776" s="116"/>
      <c r="I2776" s="26"/>
      <c r="J2776" s="98"/>
      <c r="K2776" s="36"/>
      <c r="L2776" s="26"/>
      <c r="M2776" s="26"/>
      <c r="N2776" s="26"/>
      <c r="O2776" s="93"/>
      <c r="P2776" s="95"/>
      <c r="Q2776" s="197"/>
    </row>
    <row r="2777" spans="3:17" x14ac:dyDescent="0.25">
      <c r="C2777" s="199"/>
      <c r="D2777" s="112"/>
      <c r="E2777" s="33"/>
      <c r="F2777" s="105"/>
      <c r="H2777" s="116"/>
      <c r="I2777" s="26"/>
      <c r="J2777" s="98"/>
      <c r="K2777" s="36"/>
      <c r="L2777" s="26"/>
      <c r="M2777" s="26"/>
      <c r="N2777" s="26"/>
      <c r="O2777" s="93"/>
      <c r="P2777" s="95"/>
      <c r="Q2777" s="197"/>
    </row>
    <row r="2778" spans="3:17" x14ac:dyDescent="0.25">
      <c r="C2778" s="199"/>
      <c r="D2778" s="112"/>
      <c r="E2778" s="33"/>
      <c r="F2778" s="105"/>
      <c r="H2778" s="116"/>
      <c r="I2778" s="26"/>
      <c r="J2778" s="98"/>
      <c r="K2778" s="36"/>
      <c r="L2778" s="26"/>
      <c r="M2778" s="26"/>
      <c r="N2778" s="26"/>
      <c r="O2778" s="93"/>
      <c r="P2778" s="95"/>
      <c r="Q2778" s="197"/>
    </row>
    <row r="2779" spans="3:17" x14ac:dyDescent="0.25">
      <c r="C2779" s="199"/>
      <c r="D2779" s="112"/>
      <c r="E2779" s="33"/>
      <c r="F2779" s="105"/>
      <c r="H2779" s="116"/>
      <c r="I2779" s="26"/>
      <c r="J2779" s="98"/>
      <c r="K2779" s="36"/>
      <c r="L2779" s="26"/>
      <c r="M2779" s="26"/>
      <c r="N2779" s="26"/>
      <c r="O2779" s="93"/>
      <c r="P2779" s="95"/>
      <c r="Q2779" s="197"/>
    </row>
    <row r="2780" spans="3:17" x14ac:dyDescent="0.25">
      <c r="C2780" s="199"/>
      <c r="D2780" s="112"/>
      <c r="E2780" s="33"/>
      <c r="F2780" s="105"/>
      <c r="H2780" s="116"/>
      <c r="I2780" s="26"/>
      <c r="J2780" s="98"/>
      <c r="K2780" s="36"/>
      <c r="L2780" s="26"/>
      <c r="M2780" s="26"/>
      <c r="N2780" s="26"/>
      <c r="O2780" s="93"/>
      <c r="P2780" s="95"/>
      <c r="Q2780" s="197"/>
    </row>
    <row r="2781" spans="3:17" x14ac:dyDescent="0.25">
      <c r="C2781" s="199"/>
      <c r="D2781" s="112"/>
      <c r="E2781" s="33"/>
      <c r="F2781" s="105"/>
      <c r="H2781" s="116"/>
      <c r="I2781" s="26"/>
      <c r="J2781" s="98"/>
      <c r="K2781" s="36"/>
      <c r="L2781" s="26"/>
      <c r="M2781" s="26"/>
      <c r="N2781" s="26"/>
      <c r="O2781" s="93"/>
      <c r="P2781" s="95"/>
      <c r="Q2781" s="197"/>
    </row>
    <row r="2782" spans="3:17" x14ac:dyDescent="0.25">
      <c r="C2782" s="199"/>
      <c r="D2782" s="112"/>
      <c r="E2782" s="33"/>
      <c r="F2782" s="105"/>
      <c r="H2782" s="116"/>
      <c r="I2782" s="26"/>
      <c r="J2782" s="98"/>
      <c r="K2782" s="36"/>
      <c r="L2782" s="26"/>
      <c r="M2782" s="26"/>
      <c r="N2782" s="26"/>
      <c r="O2782" s="93"/>
      <c r="P2782" s="95"/>
      <c r="Q2782" s="197"/>
    </row>
    <row r="2783" spans="3:17" x14ac:dyDescent="0.25">
      <c r="C2783" s="199"/>
      <c r="D2783" s="112"/>
      <c r="E2783" s="33"/>
      <c r="F2783" s="105"/>
      <c r="H2783" s="116"/>
      <c r="I2783" s="26"/>
      <c r="J2783" s="98"/>
      <c r="K2783" s="36"/>
      <c r="L2783" s="26"/>
      <c r="M2783" s="26"/>
      <c r="N2783" s="26"/>
      <c r="O2783" s="93"/>
      <c r="P2783" s="95"/>
      <c r="Q2783" s="197"/>
    </row>
    <row r="2784" spans="3:17" x14ac:dyDescent="0.25">
      <c r="C2784" s="199"/>
      <c r="D2784" s="112"/>
      <c r="E2784" s="33"/>
      <c r="F2784" s="105"/>
      <c r="H2784" s="116"/>
      <c r="I2784" s="26"/>
      <c r="J2784" s="98"/>
      <c r="K2784" s="36"/>
      <c r="L2784" s="26"/>
      <c r="M2784" s="26"/>
      <c r="N2784" s="26"/>
      <c r="O2784" s="93"/>
      <c r="P2784" s="95"/>
      <c r="Q2784" s="197"/>
    </row>
    <row r="2785" spans="3:17" x14ac:dyDescent="0.25">
      <c r="C2785" s="199"/>
      <c r="D2785" s="112"/>
      <c r="E2785" s="33"/>
      <c r="F2785" s="105"/>
      <c r="H2785" s="116"/>
      <c r="I2785" s="26"/>
      <c r="J2785" s="98"/>
      <c r="K2785" s="36"/>
      <c r="L2785" s="26"/>
      <c r="M2785" s="26"/>
      <c r="N2785" s="26"/>
      <c r="O2785" s="93"/>
      <c r="P2785" s="95"/>
      <c r="Q2785" s="197"/>
    </row>
    <row r="2786" spans="3:17" x14ac:dyDescent="0.25">
      <c r="C2786" s="199"/>
      <c r="D2786" s="112"/>
      <c r="E2786" s="33"/>
      <c r="F2786" s="105"/>
      <c r="H2786" s="116"/>
      <c r="I2786" s="26"/>
      <c r="J2786" s="98"/>
      <c r="K2786" s="36"/>
      <c r="L2786" s="26"/>
      <c r="M2786" s="26"/>
      <c r="N2786" s="26"/>
      <c r="O2786" s="93"/>
      <c r="P2786" s="95"/>
      <c r="Q2786" s="197"/>
    </row>
    <row r="2787" spans="3:17" x14ac:dyDescent="0.25">
      <c r="C2787" s="199"/>
      <c r="D2787" s="112"/>
      <c r="E2787" s="33"/>
      <c r="F2787" s="105"/>
      <c r="H2787" s="116"/>
      <c r="I2787" s="26"/>
      <c r="J2787" s="98"/>
      <c r="K2787" s="36"/>
      <c r="L2787" s="26"/>
      <c r="M2787" s="26"/>
      <c r="N2787" s="26"/>
      <c r="O2787" s="93"/>
      <c r="P2787" s="95"/>
      <c r="Q2787" s="197"/>
    </row>
    <row r="2788" spans="3:17" x14ac:dyDescent="0.25">
      <c r="C2788" s="199"/>
      <c r="D2788" s="112"/>
      <c r="E2788" s="33"/>
      <c r="F2788" s="105"/>
      <c r="H2788" s="116"/>
      <c r="I2788" s="26"/>
      <c r="J2788" s="98"/>
      <c r="K2788" s="36"/>
      <c r="L2788" s="26"/>
      <c r="M2788" s="26"/>
      <c r="N2788" s="26"/>
      <c r="O2788" s="93"/>
      <c r="P2788" s="95"/>
      <c r="Q2788" s="197"/>
    </row>
    <row r="2789" spans="3:17" x14ac:dyDescent="0.25">
      <c r="C2789" s="199"/>
      <c r="D2789" s="112"/>
      <c r="E2789" s="33"/>
      <c r="F2789" s="105"/>
      <c r="H2789" s="116"/>
      <c r="I2789" s="26"/>
      <c r="J2789" s="98"/>
      <c r="K2789" s="36"/>
      <c r="L2789" s="26"/>
      <c r="M2789" s="26"/>
      <c r="N2789" s="26"/>
      <c r="O2789" s="93"/>
      <c r="P2789" s="95"/>
      <c r="Q2789" s="197"/>
    </row>
    <row r="2790" spans="3:17" x14ac:dyDescent="0.25">
      <c r="C2790" s="199"/>
      <c r="D2790" s="112"/>
      <c r="E2790" s="33"/>
      <c r="F2790" s="105"/>
      <c r="H2790" s="116"/>
      <c r="I2790" s="26"/>
      <c r="J2790" s="98"/>
      <c r="K2790" s="36"/>
      <c r="L2790" s="26"/>
      <c r="M2790" s="26"/>
      <c r="N2790" s="26"/>
      <c r="O2790" s="93"/>
      <c r="P2790" s="95"/>
      <c r="Q2790" s="197"/>
    </row>
    <row r="2791" spans="3:17" x14ac:dyDescent="0.25">
      <c r="C2791" s="199"/>
      <c r="D2791" s="112"/>
      <c r="E2791" s="33"/>
      <c r="F2791" s="105"/>
      <c r="H2791" s="116"/>
      <c r="I2791" s="26"/>
      <c r="J2791" s="98"/>
      <c r="K2791" s="36"/>
      <c r="L2791" s="26"/>
      <c r="M2791" s="26"/>
      <c r="N2791" s="26"/>
      <c r="O2791" s="93"/>
      <c r="P2791" s="95"/>
      <c r="Q2791" s="197"/>
    </row>
    <row r="2792" spans="3:17" x14ac:dyDescent="0.25">
      <c r="C2792" s="199"/>
      <c r="D2792" s="112"/>
      <c r="E2792" s="33"/>
      <c r="F2792" s="105"/>
      <c r="H2792" s="116"/>
      <c r="I2792" s="26"/>
      <c r="J2792" s="98"/>
      <c r="K2792" s="36"/>
      <c r="L2792" s="26"/>
      <c r="M2792" s="26"/>
      <c r="N2792" s="26"/>
      <c r="O2792" s="93"/>
      <c r="P2792" s="95"/>
      <c r="Q2792" s="197"/>
    </row>
    <row r="2793" spans="3:17" x14ac:dyDescent="0.25">
      <c r="C2793" s="199"/>
      <c r="D2793" s="112"/>
      <c r="E2793" s="33"/>
      <c r="F2793" s="105"/>
      <c r="H2793" s="116"/>
      <c r="I2793" s="26"/>
      <c r="J2793" s="98"/>
      <c r="K2793" s="36"/>
      <c r="L2793" s="26"/>
      <c r="M2793" s="26"/>
      <c r="N2793" s="26"/>
      <c r="O2793" s="93"/>
      <c r="P2793" s="95"/>
      <c r="Q2793" s="197"/>
    </row>
    <row r="2794" spans="3:17" x14ac:dyDescent="0.25">
      <c r="C2794" s="199"/>
      <c r="D2794" s="112"/>
      <c r="E2794" s="33"/>
      <c r="F2794" s="105"/>
      <c r="H2794" s="116"/>
      <c r="I2794" s="26"/>
      <c r="J2794" s="98"/>
      <c r="K2794" s="36"/>
      <c r="L2794" s="26"/>
      <c r="M2794" s="26"/>
      <c r="N2794" s="26"/>
      <c r="O2794" s="93"/>
      <c r="P2794" s="95"/>
      <c r="Q2794" s="197"/>
    </row>
    <row r="2795" spans="3:17" x14ac:dyDescent="0.25">
      <c r="C2795" s="199"/>
      <c r="D2795" s="112"/>
      <c r="E2795" s="33"/>
      <c r="F2795" s="105"/>
      <c r="H2795" s="116"/>
      <c r="I2795" s="26"/>
      <c r="J2795" s="98"/>
      <c r="K2795" s="36"/>
      <c r="L2795" s="26"/>
      <c r="M2795" s="26"/>
      <c r="N2795" s="26"/>
      <c r="O2795" s="93"/>
      <c r="P2795" s="95"/>
      <c r="Q2795" s="197"/>
    </row>
    <row r="2796" spans="3:17" x14ac:dyDescent="0.25">
      <c r="C2796" s="199"/>
      <c r="D2796" s="112"/>
      <c r="E2796" s="33"/>
      <c r="F2796" s="105"/>
      <c r="H2796" s="116"/>
      <c r="I2796" s="26"/>
      <c r="J2796" s="98"/>
      <c r="K2796" s="36"/>
      <c r="L2796" s="26"/>
      <c r="M2796" s="26"/>
      <c r="N2796" s="26"/>
      <c r="O2796" s="93"/>
      <c r="P2796" s="95"/>
      <c r="Q2796" s="197"/>
    </row>
    <row r="2797" spans="3:17" x14ac:dyDescent="0.25">
      <c r="C2797" s="199"/>
      <c r="D2797" s="112"/>
      <c r="E2797" s="33"/>
      <c r="F2797" s="105"/>
      <c r="H2797" s="116"/>
      <c r="I2797" s="26"/>
      <c r="J2797" s="98"/>
      <c r="K2797" s="36"/>
      <c r="L2797" s="26"/>
      <c r="M2797" s="26"/>
      <c r="N2797" s="26"/>
      <c r="O2797" s="93"/>
      <c r="P2797" s="95"/>
      <c r="Q2797" s="197"/>
    </row>
    <row r="2798" spans="3:17" x14ac:dyDescent="0.25">
      <c r="C2798" s="199"/>
      <c r="D2798" s="112"/>
      <c r="E2798" s="33"/>
      <c r="F2798" s="105"/>
      <c r="H2798" s="116"/>
      <c r="I2798" s="26"/>
      <c r="J2798" s="98"/>
      <c r="K2798" s="36"/>
      <c r="L2798" s="26"/>
      <c r="M2798" s="26"/>
      <c r="N2798" s="26"/>
      <c r="O2798" s="93"/>
      <c r="P2798" s="95"/>
      <c r="Q2798" s="197"/>
    </row>
    <row r="2799" spans="3:17" x14ac:dyDescent="0.25">
      <c r="C2799" s="199"/>
      <c r="D2799" s="112"/>
      <c r="E2799" s="33"/>
      <c r="F2799" s="105"/>
      <c r="H2799" s="116"/>
      <c r="I2799" s="26"/>
      <c r="J2799" s="98"/>
      <c r="K2799" s="36"/>
      <c r="L2799" s="26"/>
      <c r="M2799" s="26"/>
      <c r="N2799" s="26"/>
      <c r="O2799" s="93"/>
      <c r="P2799" s="95"/>
      <c r="Q2799" s="197"/>
    </row>
    <row r="2800" spans="3:17" x14ac:dyDescent="0.25">
      <c r="C2800" s="199"/>
      <c r="D2800" s="112"/>
      <c r="E2800" s="33"/>
      <c r="F2800" s="105"/>
      <c r="H2800" s="116"/>
      <c r="I2800" s="26"/>
      <c r="J2800" s="98"/>
      <c r="K2800" s="36"/>
      <c r="L2800" s="26"/>
      <c r="M2800" s="26"/>
      <c r="N2800" s="26"/>
      <c r="O2800" s="93"/>
      <c r="P2800" s="95"/>
      <c r="Q2800" s="197"/>
    </row>
    <row r="2801" spans="3:17" x14ac:dyDescent="0.25">
      <c r="C2801" s="199"/>
      <c r="D2801" s="112"/>
      <c r="E2801" s="33"/>
      <c r="F2801" s="105"/>
      <c r="H2801" s="116"/>
      <c r="I2801" s="26"/>
      <c r="J2801" s="98"/>
      <c r="K2801" s="36"/>
      <c r="L2801" s="26"/>
      <c r="M2801" s="26"/>
      <c r="N2801" s="26"/>
      <c r="O2801" s="93"/>
      <c r="P2801" s="95"/>
      <c r="Q2801" s="197"/>
    </row>
    <row r="2802" spans="3:17" x14ac:dyDescent="0.25">
      <c r="C2802" s="199"/>
      <c r="D2802" s="112"/>
      <c r="E2802" s="33"/>
      <c r="F2802" s="105"/>
      <c r="H2802" s="116"/>
      <c r="I2802" s="26"/>
      <c r="J2802" s="98"/>
      <c r="K2802" s="36"/>
      <c r="L2802" s="26"/>
      <c r="M2802" s="26"/>
      <c r="N2802" s="26"/>
      <c r="O2802" s="93"/>
      <c r="P2802" s="95"/>
      <c r="Q2802" s="197"/>
    </row>
    <row r="2803" spans="3:17" x14ac:dyDescent="0.25">
      <c r="C2803" s="199"/>
      <c r="D2803" s="112"/>
      <c r="E2803" s="33"/>
      <c r="F2803" s="105"/>
      <c r="H2803" s="116"/>
      <c r="I2803" s="26"/>
      <c r="J2803" s="98"/>
      <c r="K2803" s="36"/>
      <c r="L2803" s="26"/>
      <c r="M2803" s="26"/>
      <c r="N2803" s="26"/>
      <c r="O2803" s="93"/>
      <c r="P2803" s="95"/>
      <c r="Q2803" s="197"/>
    </row>
    <row r="2804" spans="3:17" x14ac:dyDescent="0.25">
      <c r="C2804" s="199"/>
      <c r="D2804" s="112"/>
      <c r="E2804" s="33"/>
      <c r="F2804" s="105"/>
      <c r="H2804" s="116"/>
      <c r="I2804" s="26"/>
      <c r="J2804" s="98"/>
      <c r="K2804" s="36"/>
      <c r="L2804" s="26"/>
      <c r="M2804" s="26"/>
      <c r="N2804" s="26"/>
      <c r="O2804" s="93"/>
      <c r="P2804" s="95"/>
      <c r="Q2804" s="197"/>
    </row>
    <row r="2805" spans="3:17" x14ac:dyDescent="0.25">
      <c r="C2805" s="199"/>
      <c r="D2805" s="112"/>
      <c r="E2805" s="33"/>
      <c r="F2805" s="105"/>
      <c r="H2805" s="116"/>
      <c r="I2805" s="26"/>
      <c r="J2805" s="98"/>
      <c r="K2805" s="36"/>
      <c r="L2805" s="26"/>
      <c r="M2805" s="26"/>
      <c r="N2805" s="26"/>
      <c r="O2805" s="93"/>
      <c r="P2805" s="95"/>
      <c r="Q2805" s="197"/>
    </row>
    <row r="2806" spans="3:17" x14ac:dyDescent="0.25">
      <c r="C2806" s="199"/>
      <c r="D2806" s="112"/>
      <c r="E2806" s="33"/>
      <c r="F2806" s="105"/>
      <c r="H2806" s="116"/>
      <c r="I2806" s="26"/>
      <c r="J2806" s="98"/>
      <c r="K2806" s="36"/>
      <c r="L2806" s="26"/>
      <c r="M2806" s="26"/>
      <c r="N2806" s="26"/>
      <c r="O2806" s="93"/>
      <c r="P2806" s="95"/>
      <c r="Q2806" s="197"/>
    </row>
    <row r="2807" spans="3:17" x14ac:dyDescent="0.25">
      <c r="C2807" s="199"/>
      <c r="D2807" s="112"/>
      <c r="E2807" s="33"/>
      <c r="F2807" s="105"/>
      <c r="H2807" s="116"/>
      <c r="I2807" s="26"/>
      <c r="J2807" s="98"/>
      <c r="K2807" s="36"/>
      <c r="L2807" s="26"/>
      <c r="M2807" s="26"/>
      <c r="N2807" s="26"/>
      <c r="O2807" s="93"/>
      <c r="P2807" s="95"/>
      <c r="Q2807" s="197"/>
    </row>
    <row r="2808" spans="3:17" x14ac:dyDescent="0.25">
      <c r="C2808" s="199"/>
      <c r="D2808" s="112"/>
      <c r="E2808" s="33"/>
      <c r="F2808" s="105"/>
      <c r="H2808" s="116"/>
      <c r="I2808" s="26"/>
      <c r="J2808" s="98"/>
      <c r="K2808" s="36"/>
      <c r="L2808" s="26"/>
      <c r="M2808" s="26"/>
      <c r="N2808" s="26"/>
      <c r="O2808" s="93"/>
      <c r="P2808" s="95"/>
      <c r="Q2808" s="197"/>
    </row>
    <row r="2809" spans="3:17" x14ac:dyDescent="0.25">
      <c r="C2809" s="199"/>
      <c r="D2809" s="112"/>
      <c r="E2809" s="33"/>
      <c r="F2809" s="105"/>
      <c r="H2809" s="116"/>
      <c r="I2809" s="26"/>
      <c r="J2809" s="98"/>
      <c r="K2809" s="36"/>
      <c r="L2809" s="26"/>
      <c r="M2809" s="26"/>
      <c r="N2809" s="26"/>
      <c r="O2809" s="93"/>
      <c r="P2809" s="95"/>
      <c r="Q2809" s="197"/>
    </row>
    <row r="2810" spans="3:17" x14ac:dyDescent="0.25">
      <c r="C2810" s="199"/>
      <c r="D2810" s="112"/>
      <c r="E2810" s="33"/>
      <c r="F2810" s="105"/>
      <c r="H2810" s="116"/>
      <c r="I2810" s="26"/>
      <c r="J2810" s="98"/>
      <c r="K2810" s="36"/>
      <c r="L2810" s="26"/>
      <c r="M2810" s="26"/>
      <c r="N2810" s="26"/>
      <c r="O2810" s="93"/>
      <c r="P2810" s="95"/>
      <c r="Q2810" s="197"/>
    </row>
    <row r="2811" spans="3:17" x14ac:dyDescent="0.25">
      <c r="C2811" s="199"/>
      <c r="D2811" s="112"/>
      <c r="E2811" s="33"/>
      <c r="F2811" s="105"/>
      <c r="H2811" s="116"/>
      <c r="I2811" s="26"/>
      <c r="J2811" s="98"/>
      <c r="K2811" s="36"/>
      <c r="L2811" s="26"/>
      <c r="M2811" s="26"/>
      <c r="N2811" s="26"/>
      <c r="O2811" s="93"/>
      <c r="P2811" s="95"/>
      <c r="Q2811" s="197"/>
    </row>
    <row r="2812" spans="3:17" x14ac:dyDescent="0.25">
      <c r="C2812" s="199"/>
      <c r="D2812" s="112"/>
      <c r="E2812" s="33"/>
      <c r="F2812" s="105"/>
      <c r="H2812" s="116"/>
      <c r="I2812" s="26"/>
      <c r="J2812" s="98"/>
      <c r="K2812" s="36"/>
      <c r="L2812" s="26"/>
      <c r="M2812" s="26"/>
      <c r="N2812" s="26"/>
      <c r="O2812" s="93"/>
      <c r="P2812" s="95"/>
      <c r="Q2812" s="197"/>
    </row>
    <row r="2813" spans="3:17" x14ac:dyDescent="0.25">
      <c r="C2813" s="199"/>
      <c r="D2813" s="112"/>
      <c r="E2813" s="33"/>
      <c r="F2813" s="105"/>
      <c r="H2813" s="116"/>
      <c r="I2813" s="26"/>
      <c r="J2813" s="98"/>
      <c r="K2813" s="36"/>
      <c r="L2813" s="26"/>
      <c r="M2813" s="26"/>
      <c r="N2813" s="26"/>
      <c r="O2813" s="93"/>
      <c r="P2813" s="95"/>
      <c r="Q2813" s="197"/>
    </row>
    <row r="2814" spans="3:17" x14ac:dyDescent="0.25">
      <c r="C2814" s="199"/>
      <c r="D2814" s="112"/>
      <c r="E2814" s="33"/>
      <c r="F2814" s="105"/>
      <c r="H2814" s="116"/>
      <c r="I2814" s="26"/>
      <c r="J2814" s="98"/>
      <c r="K2814" s="36"/>
      <c r="L2814" s="26"/>
      <c r="M2814" s="26"/>
      <c r="N2814" s="26"/>
      <c r="O2814" s="93"/>
      <c r="P2814" s="95"/>
      <c r="Q2814" s="197"/>
    </row>
    <row r="2815" spans="3:17" x14ac:dyDescent="0.25">
      <c r="C2815" s="199"/>
      <c r="D2815" s="112"/>
      <c r="E2815" s="33"/>
      <c r="F2815" s="105"/>
      <c r="H2815" s="116"/>
      <c r="I2815" s="26"/>
      <c r="J2815" s="98"/>
      <c r="K2815" s="36"/>
      <c r="L2815" s="26"/>
      <c r="M2815" s="26"/>
      <c r="N2815" s="26"/>
      <c r="O2815" s="93"/>
      <c r="P2815" s="95"/>
      <c r="Q2815" s="197"/>
    </row>
    <row r="2816" spans="3:17" x14ac:dyDescent="0.25">
      <c r="C2816" s="199"/>
      <c r="D2816" s="112"/>
      <c r="E2816" s="33"/>
      <c r="F2816" s="105"/>
      <c r="H2816" s="116"/>
      <c r="I2816" s="26"/>
      <c r="J2816" s="98"/>
      <c r="K2816" s="36"/>
      <c r="L2816" s="26"/>
      <c r="M2816" s="26"/>
      <c r="N2816" s="26"/>
      <c r="O2816" s="93"/>
      <c r="P2816" s="95"/>
      <c r="Q2816" s="197"/>
    </row>
    <row r="2817" spans="3:17" x14ac:dyDescent="0.25">
      <c r="C2817" s="199"/>
      <c r="D2817" s="112"/>
      <c r="E2817" s="33"/>
      <c r="F2817" s="105"/>
      <c r="H2817" s="116"/>
      <c r="I2817" s="26"/>
      <c r="J2817" s="98"/>
      <c r="K2817" s="36"/>
      <c r="L2817" s="26"/>
      <c r="M2817" s="26"/>
      <c r="N2817" s="26"/>
      <c r="O2817" s="93"/>
      <c r="P2817" s="95"/>
      <c r="Q2817" s="197"/>
    </row>
    <row r="2818" spans="3:17" x14ac:dyDescent="0.25">
      <c r="C2818" s="199"/>
      <c r="D2818" s="112"/>
      <c r="E2818" s="33"/>
      <c r="F2818" s="105"/>
      <c r="H2818" s="116"/>
      <c r="I2818" s="26"/>
      <c r="J2818" s="98"/>
      <c r="K2818" s="36"/>
      <c r="L2818" s="26"/>
      <c r="M2818" s="26"/>
      <c r="N2818" s="26"/>
      <c r="O2818" s="93"/>
      <c r="P2818" s="95"/>
      <c r="Q2818" s="197"/>
    </row>
    <row r="2819" spans="3:17" x14ac:dyDescent="0.25">
      <c r="C2819" s="199"/>
      <c r="D2819" s="112"/>
      <c r="E2819" s="33"/>
      <c r="F2819" s="105"/>
      <c r="H2819" s="116"/>
      <c r="I2819" s="26"/>
      <c r="J2819" s="98"/>
      <c r="K2819" s="36"/>
      <c r="L2819" s="26"/>
      <c r="M2819" s="26"/>
      <c r="N2819" s="26"/>
      <c r="O2819" s="93"/>
      <c r="P2819" s="95"/>
      <c r="Q2819" s="197"/>
    </row>
    <row r="2820" spans="3:17" x14ac:dyDescent="0.25">
      <c r="C2820" s="199"/>
      <c r="D2820" s="112"/>
      <c r="E2820" s="33"/>
      <c r="F2820" s="105"/>
      <c r="H2820" s="116"/>
      <c r="I2820" s="26"/>
      <c r="J2820" s="98"/>
      <c r="K2820" s="36"/>
      <c r="L2820" s="26"/>
      <c r="M2820" s="26"/>
      <c r="N2820" s="26"/>
      <c r="O2820" s="93"/>
      <c r="P2820" s="95"/>
      <c r="Q2820" s="197"/>
    </row>
    <row r="2821" spans="3:17" x14ac:dyDescent="0.25">
      <c r="C2821" s="199"/>
      <c r="D2821" s="112"/>
      <c r="E2821" s="33"/>
      <c r="F2821" s="105"/>
      <c r="H2821" s="116"/>
      <c r="I2821" s="26"/>
      <c r="J2821" s="98"/>
      <c r="K2821" s="36"/>
      <c r="L2821" s="26"/>
      <c r="M2821" s="26"/>
      <c r="N2821" s="26"/>
      <c r="O2821" s="93"/>
      <c r="P2821" s="95"/>
      <c r="Q2821" s="197"/>
    </row>
    <row r="2822" spans="3:17" x14ac:dyDescent="0.25">
      <c r="C2822" s="199"/>
      <c r="D2822" s="112"/>
      <c r="E2822" s="33"/>
      <c r="F2822" s="105"/>
      <c r="H2822" s="116"/>
      <c r="I2822" s="26"/>
      <c r="J2822" s="98"/>
      <c r="K2822" s="36"/>
      <c r="L2822" s="26"/>
      <c r="M2822" s="26"/>
      <c r="N2822" s="26"/>
      <c r="O2822" s="93"/>
      <c r="P2822" s="95"/>
      <c r="Q2822" s="197"/>
    </row>
    <row r="2823" spans="3:17" x14ac:dyDescent="0.25">
      <c r="C2823" s="199"/>
      <c r="D2823" s="112"/>
      <c r="E2823" s="33"/>
      <c r="F2823" s="105"/>
      <c r="H2823" s="116"/>
      <c r="I2823" s="26"/>
      <c r="J2823" s="98"/>
      <c r="K2823" s="36"/>
      <c r="L2823" s="26"/>
      <c r="M2823" s="26"/>
      <c r="N2823" s="26"/>
      <c r="O2823" s="93"/>
      <c r="P2823" s="95"/>
      <c r="Q2823" s="197"/>
    </row>
    <row r="2824" spans="3:17" x14ac:dyDescent="0.25">
      <c r="C2824" s="199"/>
      <c r="D2824" s="112"/>
      <c r="E2824" s="33"/>
      <c r="F2824" s="105"/>
      <c r="H2824" s="116"/>
      <c r="I2824" s="26"/>
      <c r="J2824" s="98"/>
      <c r="K2824" s="36"/>
      <c r="L2824" s="26"/>
      <c r="M2824" s="26"/>
      <c r="N2824" s="26"/>
      <c r="O2824" s="93"/>
      <c r="P2824" s="95"/>
      <c r="Q2824" s="197"/>
    </row>
    <row r="2825" spans="3:17" x14ac:dyDescent="0.25">
      <c r="C2825" s="199"/>
      <c r="D2825" s="112"/>
      <c r="E2825" s="33"/>
      <c r="F2825" s="105"/>
      <c r="H2825" s="116"/>
      <c r="I2825" s="26"/>
      <c r="J2825" s="98"/>
      <c r="K2825" s="36"/>
      <c r="L2825" s="26"/>
      <c r="M2825" s="26"/>
      <c r="N2825" s="26"/>
      <c r="O2825" s="93"/>
      <c r="P2825" s="95"/>
      <c r="Q2825" s="197"/>
    </row>
    <row r="2826" spans="3:17" x14ac:dyDescent="0.25">
      <c r="C2826" s="199"/>
      <c r="D2826" s="112"/>
      <c r="E2826" s="33"/>
      <c r="F2826" s="105"/>
      <c r="H2826" s="116"/>
      <c r="I2826" s="26"/>
      <c r="J2826" s="98"/>
      <c r="K2826" s="36"/>
      <c r="L2826" s="26"/>
      <c r="M2826" s="26"/>
      <c r="N2826" s="26"/>
      <c r="O2826" s="93"/>
      <c r="P2826" s="95"/>
      <c r="Q2826" s="197"/>
    </row>
    <row r="2827" spans="3:17" x14ac:dyDescent="0.25">
      <c r="C2827" s="199"/>
      <c r="D2827" s="112"/>
      <c r="E2827" s="33"/>
      <c r="F2827" s="105"/>
      <c r="H2827" s="116"/>
      <c r="I2827" s="26"/>
      <c r="J2827" s="98"/>
      <c r="K2827" s="36"/>
      <c r="L2827" s="26"/>
      <c r="M2827" s="26"/>
      <c r="N2827" s="26"/>
      <c r="O2827" s="93"/>
      <c r="P2827" s="95"/>
      <c r="Q2827" s="197"/>
    </row>
    <row r="2828" spans="3:17" x14ac:dyDescent="0.25">
      <c r="C2828" s="199"/>
      <c r="D2828" s="112"/>
      <c r="E2828" s="33"/>
      <c r="F2828" s="105"/>
      <c r="H2828" s="116"/>
      <c r="I2828" s="26"/>
      <c r="J2828" s="98"/>
      <c r="K2828" s="36"/>
      <c r="L2828" s="26"/>
      <c r="M2828" s="26"/>
      <c r="N2828" s="26"/>
      <c r="O2828" s="93"/>
      <c r="P2828" s="95"/>
      <c r="Q2828" s="197"/>
    </row>
    <row r="2829" spans="3:17" x14ac:dyDescent="0.25">
      <c r="C2829" s="199"/>
      <c r="D2829" s="112"/>
      <c r="E2829" s="33"/>
      <c r="F2829" s="105"/>
      <c r="H2829" s="116"/>
      <c r="I2829" s="26"/>
      <c r="J2829" s="98"/>
      <c r="K2829" s="36"/>
      <c r="L2829" s="26"/>
      <c r="M2829" s="26"/>
      <c r="N2829" s="26"/>
      <c r="O2829" s="93"/>
      <c r="P2829" s="95"/>
      <c r="Q2829" s="197"/>
    </row>
    <row r="2830" spans="3:17" x14ac:dyDescent="0.25">
      <c r="C2830" s="199"/>
      <c r="D2830" s="112"/>
      <c r="E2830" s="33"/>
      <c r="F2830" s="105"/>
      <c r="H2830" s="116"/>
      <c r="I2830" s="26"/>
      <c r="J2830" s="98"/>
      <c r="K2830" s="36"/>
      <c r="L2830" s="26"/>
      <c r="M2830" s="26"/>
      <c r="N2830" s="26"/>
      <c r="O2830" s="93"/>
      <c r="P2830" s="95"/>
      <c r="Q2830" s="197"/>
    </row>
    <row r="2831" spans="3:17" x14ac:dyDescent="0.25">
      <c r="C2831" s="199"/>
      <c r="D2831" s="112"/>
      <c r="E2831" s="33"/>
      <c r="F2831" s="105"/>
      <c r="H2831" s="116"/>
      <c r="I2831" s="26"/>
      <c r="J2831" s="98"/>
      <c r="K2831" s="36"/>
      <c r="L2831" s="26"/>
      <c r="M2831" s="26"/>
      <c r="N2831" s="26"/>
      <c r="O2831" s="93"/>
      <c r="P2831" s="95"/>
      <c r="Q2831" s="197"/>
    </row>
    <row r="2832" spans="3:17" x14ac:dyDescent="0.25">
      <c r="C2832" s="199"/>
      <c r="D2832" s="112"/>
      <c r="E2832" s="33"/>
      <c r="F2832" s="105"/>
      <c r="H2832" s="116"/>
      <c r="I2832" s="26"/>
      <c r="J2832" s="98"/>
      <c r="K2832" s="36"/>
      <c r="L2832" s="26"/>
      <c r="M2832" s="26"/>
      <c r="N2832" s="26"/>
      <c r="O2832" s="93"/>
      <c r="P2832" s="95"/>
      <c r="Q2832" s="197"/>
    </row>
    <row r="2833" spans="3:17" x14ac:dyDescent="0.25">
      <c r="C2833" s="199"/>
      <c r="D2833" s="112"/>
      <c r="E2833" s="33"/>
      <c r="F2833" s="105"/>
      <c r="H2833" s="116"/>
      <c r="I2833" s="26"/>
      <c r="J2833" s="98"/>
      <c r="K2833" s="36"/>
      <c r="L2833" s="26"/>
      <c r="M2833" s="26"/>
      <c r="N2833" s="26"/>
      <c r="O2833" s="93"/>
      <c r="P2833" s="95"/>
      <c r="Q2833" s="197"/>
    </row>
    <row r="2834" spans="3:17" x14ac:dyDescent="0.25">
      <c r="C2834" s="199"/>
      <c r="D2834" s="112"/>
      <c r="E2834" s="33"/>
      <c r="F2834" s="105"/>
      <c r="H2834" s="116"/>
      <c r="I2834" s="26"/>
      <c r="J2834" s="98"/>
      <c r="K2834" s="36"/>
      <c r="L2834" s="26"/>
      <c r="M2834" s="26"/>
      <c r="N2834" s="26"/>
      <c r="O2834" s="93"/>
      <c r="P2834" s="95"/>
      <c r="Q2834" s="197"/>
    </row>
    <row r="2835" spans="3:17" x14ac:dyDescent="0.25">
      <c r="C2835" s="199"/>
      <c r="D2835" s="112"/>
      <c r="E2835" s="33"/>
      <c r="F2835" s="105"/>
      <c r="H2835" s="116"/>
      <c r="I2835" s="26"/>
      <c r="J2835" s="98"/>
      <c r="K2835" s="36"/>
      <c r="L2835" s="26"/>
      <c r="M2835" s="26"/>
      <c r="N2835" s="26"/>
      <c r="O2835" s="93"/>
      <c r="P2835" s="95"/>
      <c r="Q2835" s="197"/>
    </row>
    <row r="2836" spans="3:17" x14ac:dyDescent="0.25">
      <c r="C2836" s="199"/>
      <c r="D2836" s="112"/>
      <c r="E2836" s="33"/>
      <c r="F2836" s="105"/>
      <c r="H2836" s="116"/>
      <c r="I2836" s="26"/>
      <c r="J2836" s="98"/>
      <c r="K2836" s="36"/>
      <c r="L2836" s="26"/>
      <c r="M2836" s="26"/>
      <c r="N2836" s="26"/>
      <c r="O2836" s="93"/>
      <c r="P2836" s="95"/>
      <c r="Q2836" s="197"/>
    </row>
    <row r="2837" spans="3:17" x14ac:dyDescent="0.25">
      <c r="C2837" s="199"/>
      <c r="D2837" s="112"/>
      <c r="E2837" s="33"/>
      <c r="F2837" s="105"/>
      <c r="H2837" s="116"/>
      <c r="I2837" s="26"/>
      <c r="J2837" s="98"/>
      <c r="K2837" s="36"/>
      <c r="L2837" s="26"/>
      <c r="M2837" s="26"/>
      <c r="N2837" s="26"/>
      <c r="O2837" s="93"/>
      <c r="P2837" s="95"/>
      <c r="Q2837" s="197"/>
    </row>
    <row r="2838" spans="3:17" x14ac:dyDescent="0.25">
      <c r="C2838" s="199"/>
      <c r="D2838" s="112"/>
      <c r="E2838" s="33"/>
      <c r="F2838" s="105"/>
      <c r="H2838" s="116"/>
      <c r="I2838" s="26"/>
      <c r="J2838" s="98"/>
      <c r="K2838" s="36"/>
      <c r="L2838" s="26"/>
      <c r="M2838" s="26"/>
      <c r="N2838" s="26"/>
      <c r="O2838" s="93"/>
      <c r="P2838" s="95"/>
      <c r="Q2838" s="197"/>
    </row>
    <row r="2839" spans="3:17" x14ac:dyDescent="0.25">
      <c r="C2839" s="199"/>
      <c r="D2839" s="112"/>
      <c r="E2839" s="33"/>
      <c r="F2839" s="105"/>
      <c r="H2839" s="116"/>
      <c r="I2839" s="26"/>
      <c r="J2839" s="98"/>
      <c r="K2839" s="36"/>
      <c r="L2839" s="26"/>
      <c r="M2839" s="26"/>
      <c r="N2839" s="26"/>
      <c r="O2839" s="93"/>
      <c r="P2839" s="95"/>
      <c r="Q2839" s="197"/>
    </row>
    <row r="2840" spans="3:17" x14ac:dyDescent="0.25">
      <c r="C2840" s="199"/>
      <c r="D2840" s="112"/>
      <c r="E2840" s="33"/>
      <c r="F2840" s="105"/>
      <c r="H2840" s="116"/>
      <c r="I2840" s="26"/>
      <c r="J2840" s="98"/>
      <c r="K2840" s="36"/>
      <c r="L2840" s="26"/>
      <c r="M2840" s="26"/>
      <c r="N2840" s="26"/>
      <c r="O2840" s="93"/>
      <c r="P2840" s="95"/>
      <c r="Q2840" s="197"/>
    </row>
    <row r="2841" spans="3:17" x14ac:dyDescent="0.25">
      <c r="C2841" s="199"/>
      <c r="D2841" s="112"/>
      <c r="E2841" s="33"/>
      <c r="F2841" s="105"/>
      <c r="H2841" s="116"/>
      <c r="I2841" s="26"/>
      <c r="J2841" s="98"/>
      <c r="K2841" s="36"/>
      <c r="L2841" s="26"/>
      <c r="M2841" s="26"/>
      <c r="N2841" s="26"/>
      <c r="O2841" s="93"/>
      <c r="P2841" s="95"/>
      <c r="Q2841" s="197"/>
    </row>
    <row r="2842" spans="3:17" x14ac:dyDescent="0.25">
      <c r="C2842" s="199"/>
      <c r="D2842" s="112"/>
      <c r="E2842" s="33"/>
      <c r="F2842" s="105"/>
      <c r="H2842" s="116"/>
      <c r="I2842" s="26"/>
      <c r="J2842" s="98"/>
      <c r="K2842" s="36"/>
      <c r="L2842" s="26"/>
      <c r="M2842" s="26"/>
      <c r="N2842" s="26"/>
      <c r="O2842" s="93"/>
      <c r="P2842" s="95"/>
      <c r="Q2842" s="197"/>
    </row>
    <row r="2843" spans="3:17" x14ac:dyDescent="0.25">
      <c r="C2843" s="199"/>
      <c r="D2843" s="112"/>
      <c r="E2843" s="33"/>
      <c r="F2843" s="105"/>
      <c r="H2843" s="116"/>
      <c r="I2843" s="26"/>
      <c r="J2843" s="98"/>
      <c r="K2843" s="36"/>
      <c r="L2843" s="26"/>
      <c r="M2843" s="26"/>
      <c r="N2843" s="26"/>
      <c r="O2843" s="93"/>
      <c r="P2843" s="95"/>
      <c r="Q2843" s="197"/>
    </row>
    <row r="2844" spans="3:17" x14ac:dyDescent="0.25">
      <c r="C2844" s="199"/>
      <c r="D2844" s="112"/>
      <c r="E2844" s="33"/>
      <c r="F2844" s="105"/>
      <c r="H2844" s="116"/>
      <c r="I2844" s="26"/>
      <c r="J2844" s="98"/>
      <c r="K2844" s="36"/>
      <c r="L2844" s="26"/>
      <c r="M2844" s="26"/>
      <c r="N2844" s="26"/>
      <c r="O2844" s="93"/>
      <c r="P2844" s="95"/>
      <c r="Q2844" s="197"/>
    </row>
    <row r="2845" spans="3:17" x14ac:dyDescent="0.25">
      <c r="C2845" s="199"/>
      <c r="D2845" s="112"/>
      <c r="E2845" s="33"/>
      <c r="F2845" s="105"/>
      <c r="H2845" s="116"/>
      <c r="I2845" s="26"/>
      <c r="J2845" s="98"/>
      <c r="K2845" s="36"/>
      <c r="L2845" s="26"/>
      <c r="M2845" s="26"/>
      <c r="N2845" s="26"/>
      <c r="O2845" s="93"/>
      <c r="P2845" s="95"/>
      <c r="Q2845" s="197"/>
    </row>
    <row r="2846" spans="3:17" x14ac:dyDescent="0.25">
      <c r="C2846" s="199"/>
      <c r="D2846" s="112"/>
      <c r="E2846" s="33"/>
      <c r="F2846" s="105"/>
      <c r="H2846" s="116"/>
      <c r="I2846" s="26"/>
      <c r="J2846" s="98"/>
      <c r="K2846" s="36"/>
      <c r="L2846" s="26"/>
      <c r="M2846" s="26"/>
      <c r="N2846" s="26"/>
      <c r="O2846" s="93"/>
      <c r="P2846" s="95"/>
      <c r="Q2846" s="197"/>
    </row>
    <row r="2847" spans="3:17" x14ac:dyDescent="0.25">
      <c r="C2847" s="199"/>
      <c r="D2847" s="112"/>
      <c r="E2847" s="33"/>
      <c r="F2847" s="105"/>
      <c r="H2847" s="116"/>
      <c r="I2847" s="26"/>
      <c r="J2847" s="98"/>
      <c r="K2847" s="36"/>
      <c r="L2847" s="26"/>
      <c r="M2847" s="26"/>
      <c r="N2847" s="26"/>
      <c r="O2847" s="93"/>
      <c r="P2847" s="95"/>
      <c r="Q2847" s="197"/>
    </row>
    <row r="2848" spans="3:17" x14ac:dyDescent="0.25">
      <c r="C2848" s="199"/>
      <c r="D2848" s="112"/>
      <c r="E2848" s="33"/>
      <c r="F2848" s="105"/>
      <c r="H2848" s="116"/>
      <c r="I2848" s="26"/>
      <c r="J2848" s="98"/>
      <c r="K2848" s="36"/>
      <c r="L2848" s="26"/>
      <c r="M2848" s="26"/>
      <c r="N2848" s="26"/>
      <c r="O2848" s="93"/>
      <c r="P2848" s="95"/>
      <c r="Q2848" s="197"/>
    </row>
    <row r="2849" spans="3:17" x14ac:dyDescent="0.25">
      <c r="C2849" s="199"/>
      <c r="D2849" s="112"/>
      <c r="E2849" s="33"/>
      <c r="F2849" s="105"/>
      <c r="H2849" s="116"/>
      <c r="I2849" s="26"/>
      <c r="J2849" s="98"/>
      <c r="K2849" s="36"/>
      <c r="L2849" s="26"/>
      <c r="M2849" s="26"/>
      <c r="N2849" s="26"/>
      <c r="O2849" s="93"/>
      <c r="P2849" s="95"/>
      <c r="Q2849" s="197"/>
    </row>
    <row r="2850" spans="3:17" x14ac:dyDescent="0.25">
      <c r="C2850" s="199"/>
      <c r="D2850" s="112"/>
      <c r="E2850" s="33"/>
      <c r="F2850" s="105"/>
      <c r="H2850" s="116"/>
      <c r="I2850" s="26"/>
      <c r="J2850" s="98"/>
      <c r="K2850" s="36"/>
      <c r="L2850" s="26"/>
      <c r="M2850" s="26"/>
      <c r="N2850" s="26"/>
      <c r="O2850" s="93"/>
      <c r="P2850" s="95"/>
      <c r="Q2850" s="197"/>
    </row>
    <row r="2851" spans="3:17" x14ac:dyDescent="0.25">
      <c r="C2851" s="199"/>
      <c r="D2851" s="112"/>
      <c r="E2851" s="33"/>
      <c r="F2851" s="105"/>
      <c r="H2851" s="116"/>
      <c r="I2851" s="26"/>
      <c r="J2851" s="98"/>
      <c r="K2851" s="36"/>
      <c r="L2851" s="26"/>
      <c r="M2851" s="26"/>
      <c r="N2851" s="26"/>
      <c r="O2851" s="93"/>
      <c r="P2851" s="95"/>
      <c r="Q2851" s="197"/>
    </row>
    <row r="2852" spans="3:17" x14ac:dyDescent="0.25">
      <c r="C2852" s="199"/>
      <c r="D2852" s="112"/>
      <c r="E2852" s="33"/>
      <c r="F2852" s="105"/>
      <c r="H2852" s="116"/>
      <c r="I2852" s="26"/>
      <c r="J2852" s="98"/>
      <c r="K2852" s="36"/>
      <c r="L2852" s="26"/>
      <c r="M2852" s="26"/>
      <c r="N2852" s="26"/>
      <c r="O2852" s="93"/>
      <c r="P2852" s="95"/>
      <c r="Q2852" s="197"/>
    </row>
    <row r="2853" spans="3:17" x14ac:dyDescent="0.25">
      <c r="C2853" s="199"/>
      <c r="D2853" s="112"/>
      <c r="E2853" s="33"/>
      <c r="F2853" s="105"/>
      <c r="H2853" s="116"/>
      <c r="I2853" s="26"/>
      <c r="J2853" s="98"/>
      <c r="K2853" s="36"/>
      <c r="L2853" s="26"/>
      <c r="M2853" s="26"/>
      <c r="N2853" s="26"/>
      <c r="O2853" s="93"/>
      <c r="P2853" s="95"/>
      <c r="Q2853" s="197"/>
    </row>
    <row r="2854" spans="3:17" x14ac:dyDescent="0.25">
      <c r="C2854" s="199"/>
      <c r="D2854" s="112"/>
      <c r="E2854" s="33"/>
      <c r="F2854" s="105"/>
      <c r="H2854" s="116"/>
      <c r="I2854" s="26"/>
      <c r="J2854" s="98"/>
      <c r="K2854" s="36"/>
      <c r="L2854" s="26"/>
      <c r="M2854" s="26"/>
      <c r="N2854" s="26"/>
      <c r="O2854" s="93"/>
      <c r="P2854" s="95"/>
      <c r="Q2854" s="197"/>
    </row>
    <row r="2855" spans="3:17" x14ac:dyDescent="0.25">
      <c r="C2855" s="199"/>
      <c r="D2855" s="112"/>
      <c r="E2855" s="33"/>
      <c r="F2855" s="105"/>
      <c r="H2855" s="116"/>
      <c r="I2855" s="26"/>
      <c r="J2855" s="98"/>
      <c r="K2855" s="36"/>
      <c r="L2855" s="26"/>
      <c r="M2855" s="26"/>
      <c r="N2855" s="26"/>
      <c r="O2855" s="93"/>
      <c r="P2855" s="95"/>
      <c r="Q2855" s="197"/>
    </row>
    <row r="2856" spans="3:17" x14ac:dyDescent="0.25">
      <c r="C2856" s="199"/>
      <c r="D2856" s="112"/>
      <c r="E2856" s="33"/>
      <c r="F2856" s="105"/>
      <c r="H2856" s="116"/>
      <c r="I2856" s="26"/>
      <c r="J2856" s="98"/>
      <c r="K2856" s="36"/>
      <c r="L2856" s="26"/>
      <c r="M2856" s="26"/>
      <c r="N2856" s="26"/>
      <c r="O2856" s="93"/>
      <c r="P2856" s="95"/>
      <c r="Q2856" s="197"/>
    </row>
    <row r="2857" spans="3:17" x14ac:dyDescent="0.25">
      <c r="C2857" s="199"/>
      <c r="D2857" s="112"/>
      <c r="E2857" s="33"/>
      <c r="F2857" s="105"/>
      <c r="H2857" s="116"/>
      <c r="I2857" s="26"/>
      <c r="J2857" s="98"/>
      <c r="K2857" s="36"/>
      <c r="L2857" s="26"/>
      <c r="M2857" s="26"/>
      <c r="N2857" s="26"/>
      <c r="O2857" s="93"/>
      <c r="P2857" s="95"/>
      <c r="Q2857" s="197"/>
    </row>
    <row r="2858" spans="3:17" x14ac:dyDescent="0.25">
      <c r="C2858" s="199"/>
      <c r="D2858" s="112"/>
      <c r="E2858" s="33"/>
      <c r="F2858" s="105"/>
      <c r="H2858" s="116"/>
      <c r="I2858" s="26"/>
      <c r="J2858" s="98"/>
      <c r="K2858" s="36"/>
      <c r="L2858" s="26"/>
      <c r="M2858" s="26"/>
      <c r="N2858" s="26"/>
      <c r="O2858" s="93"/>
      <c r="P2858" s="95"/>
      <c r="Q2858" s="197"/>
    </row>
    <row r="2859" spans="3:17" x14ac:dyDescent="0.25">
      <c r="C2859" s="199"/>
      <c r="D2859" s="112"/>
      <c r="E2859" s="33"/>
      <c r="F2859" s="105"/>
      <c r="H2859" s="116"/>
      <c r="I2859" s="26"/>
      <c r="J2859" s="98"/>
      <c r="K2859" s="36"/>
      <c r="L2859" s="26"/>
      <c r="M2859" s="26"/>
      <c r="N2859" s="26"/>
      <c r="O2859" s="93"/>
      <c r="P2859" s="95"/>
      <c r="Q2859" s="197"/>
    </row>
    <row r="2860" spans="3:17" x14ac:dyDescent="0.25">
      <c r="C2860" s="199"/>
      <c r="D2860" s="112"/>
      <c r="E2860" s="33"/>
      <c r="F2860" s="105"/>
      <c r="H2860" s="116"/>
      <c r="I2860" s="26"/>
      <c r="J2860" s="98"/>
      <c r="K2860" s="36"/>
      <c r="L2860" s="26"/>
      <c r="M2860" s="26"/>
      <c r="N2860" s="26"/>
      <c r="O2860" s="93"/>
      <c r="P2860" s="95"/>
      <c r="Q2860" s="197"/>
    </row>
    <row r="2861" spans="3:17" x14ac:dyDescent="0.25">
      <c r="C2861" s="199"/>
      <c r="D2861" s="112"/>
      <c r="E2861" s="33"/>
      <c r="F2861" s="105"/>
      <c r="H2861" s="116"/>
      <c r="I2861" s="26"/>
      <c r="J2861" s="98"/>
      <c r="K2861" s="36"/>
      <c r="L2861" s="26"/>
      <c r="M2861" s="26"/>
      <c r="N2861" s="26"/>
      <c r="O2861" s="93"/>
      <c r="P2861" s="95"/>
      <c r="Q2861" s="197"/>
    </row>
    <row r="2862" spans="3:17" x14ac:dyDescent="0.25">
      <c r="C2862" s="199"/>
      <c r="D2862" s="112"/>
      <c r="E2862" s="33"/>
      <c r="F2862" s="105"/>
      <c r="H2862" s="116"/>
      <c r="I2862" s="26"/>
      <c r="J2862" s="98"/>
      <c r="K2862" s="36"/>
      <c r="L2862" s="26"/>
      <c r="M2862" s="26"/>
      <c r="N2862" s="26"/>
      <c r="O2862" s="93"/>
      <c r="P2862" s="95"/>
      <c r="Q2862" s="197"/>
    </row>
    <row r="2863" spans="3:17" x14ac:dyDescent="0.25">
      <c r="C2863" s="199"/>
      <c r="D2863" s="112"/>
      <c r="E2863" s="33"/>
      <c r="F2863" s="105"/>
      <c r="H2863" s="116"/>
      <c r="I2863" s="26"/>
      <c r="J2863" s="98"/>
      <c r="K2863" s="36"/>
      <c r="L2863" s="26"/>
      <c r="M2863" s="26"/>
      <c r="N2863" s="26"/>
      <c r="O2863" s="93"/>
      <c r="P2863" s="95"/>
      <c r="Q2863" s="197"/>
    </row>
    <row r="2864" spans="3:17" x14ac:dyDescent="0.25">
      <c r="C2864" s="199"/>
      <c r="D2864" s="112"/>
      <c r="E2864" s="33"/>
      <c r="F2864" s="105"/>
      <c r="H2864" s="116"/>
      <c r="I2864" s="26"/>
      <c r="J2864" s="98"/>
      <c r="K2864" s="36"/>
      <c r="L2864" s="26"/>
      <c r="M2864" s="26"/>
      <c r="N2864" s="26"/>
      <c r="O2864" s="93"/>
      <c r="P2864" s="95"/>
      <c r="Q2864" s="197"/>
    </row>
    <row r="2865" spans="3:17" x14ac:dyDescent="0.25">
      <c r="C2865" s="199"/>
      <c r="D2865" s="112"/>
      <c r="E2865" s="33"/>
      <c r="F2865" s="105"/>
      <c r="H2865" s="116"/>
      <c r="I2865" s="26"/>
      <c r="J2865" s="98"/>
      <c r="K2865" s="36"/>
      <c r="L2865" s="26"/>
      <c r="M2865" s="26"/>
      <c r="N2865" s="26"/>
      <c r="O2865" s="93"/>
      <c r="P2865" s="95"/>
      <c r="Q2865" s="197"/>
    </row>
    <row r="2866" spans="3:17" x14ac:dyDescent="0.25">
      <c r="C2866" s="199"/>
      <c r="D2866" s="112"/>
      <c r="E2866" s="33"/>
      <c r="F2866" s="105"/>
      <c r="H2866" s="116"/>
      <c r="I2866" s="26"/>
      <c r="J2866" s="98"/>
      <c r="K2866" s="36"/>
      <c r="L2866" s="26"/>
      <c r="M2866" s="26"/>
      <c r="N2866" s="26"/>
      <c r="O2866" s="93"/>
      <c r="P2866" s="95"/>
      <c r="Q2866" s="197"/>
    </row>
    <row r="2867" spans="3:17" x14ac:dyDescent="0.25">
      <c r="C2867" s="199"/>
      <c r="D2867" s="112"/>
      <c r="E2867" s="33"/>
      <c r="F2867" s="105"/>
      <c r="H2867" s="116"/>
      <c r="I2867" s="26"/>
      <c r="J2867" s="98"/>
      <c r="K2867" s="36"/>
      <c r="L2867" s="26"/>
      <c r="M2867" s="26"/>
      <c r="N2867" s="26"/>
      <c r="O2867" s="93"/>
      <c r="P2867" s="95"/>
      <c r="Q2867" s="197"/>
    </row>
    <row r="2868" spans="3:17" x14ac:dyDescent="0.25">
      <c r="C2868" s="199"/>
      <c r="D2868" s="112"/>
      <c r="E2868" s="33"/>
      <c r="F2868" s="105"/>
      <c r="H2868" s="116"/>
      <c r="I2868" s="26"/>
      <c r="J2868" s="98"/>
      <c r="K2868" s="36"/>
      <c r="L2868" s="26"/>
      <c r="M2868" s="26"/>
      <c r="N2868" s="26"/>
      <c r="O2868" s="93"/>
      <c r="P2868" s="95"/>
      <c r="Q2868" s="197"/>
    </row>
    <row r="2869" spans="3:17" x14ac:dyDescent="0.25">
      <c r="C2869" s="199"/>
      <c r="D2869" s="112"/>
      <c r="E2869" s="33"/>
      <c r="F2869" s="105"/>
      <c r="H2869" s="116"/>
      <c r="I2869" s="26"/>
      <c r="J2869" s="98"/>
      <c r="K2869" s="36"/>
      <c r="L2869" s="26"/>
      <c r="M2869" s="26"/>
      <c r="N2869" s="26"/>
      <c r="O2869" s="93"/>
      <c r="P2869" s="95"/>
      <c r="Q2869" s="197"/>
    </row>
    <row r="2870" spans="3:17" x14ac:dyDescent="0.25">
      <c r="C2870" s="199"/>
      <c r="D2870" s="112"/>
      <c r="E2870" s="33"/>
      <c r="F2870" s="105"/>
      <c r="H2870" s="116"/>
      <c r="I2870" s="26"/>
      <c r="J2870" s="98"/>
      <c r="K2870" s="36"/>
      <c r="L2870" s="26"/>
      <c r="M2870" s="26"/>
      <c r="N2870" s="26"/>
      <c r="O2870" s="93"/>
      <c r="P2870" s="95"/>
      <c r="Q2870" s="197"/>
    </row>
    <row r="2871" spans="3:17" x14ac:dyDescent="0.25">
      <c r="C2871" s="199"/>
      <c r="D2871" s="112"/>
      <c r="E2871" s="33"/>
      <c r="F2871" s="105"/>
      <c r="H2871" s="116"/>
      <c r="I2871" s="26"/>
      <c r="J2871" s="98"/>
      <c r="K2871" s="36"/>
      <c r="L2871" s="26"/>
      <c r="M2871" s="26"/>
      <c r="N2871" s="26"/>
      <c r="O2871" s="93"/>
      <c r="P2871" s="95"/>
      <c r="Q2871" s="197"/>
    </row>
    <row r="2872" spans="3:17" x14ac:dyDescent="0.25">
      <c r="C2872" s="199"/>
      <c r="D2872" s="112"/>
      <c r="E2872" s="33"/>
      <c r="F2872" s="105"/>
      <c r="H2872" s="116"/>
      <c r="I2872" s="26"/>
      <c r="J2872" s="98"/>
      <c r="K2872" s="36"/>
      <c r="L2872" s="26"/>
      <c r="M2872" s="26"/>
      <c r="N2872" s="26"/>
      <c r="O2872" s="93"/>
      <c r="P2872" s="95"/>
      <c r="Q2872" s="197"/>
    </row>
    <row r="2873" spans="3:17" x14ac:dyDescent="0.25">
      <c r="C2873" s="199"/>
      <c r="D2873" s="112"/>
      <c r="E2873" s="33"/>
      <c r="F2873" s="105"/>
      <c r="H2873" s="116"/>
      <c r="I2873" s="26"/>
      <c r="J2873" s="98"/>
      <c r="K2873" s="36"/>
      <c r="L2873" s="26"/>
      <c r="M2873" s="26"/>
      <c r="N2873" s="26"/>
      <c r="O2873" s="93"/>
      <c r="P2873" s="95"/>
      <c r="Q2873" s="197"/>
    </row>
    <row r="2874" spans="3:17" x14ac:dyDescent="0.25">
      <c r="C2874" s="199"/>
      <c r="D2874" s="112"/>
      <c r="E2874" s="33"/>
      <c r="F2874" s="105"/>
      <c r="H2874" s="116"/>
      <c r="I2874" s="26"/>
      <c r="J2874" s="98"/>
      <c r="K2874" s="36"/>
      <c r="L2874" s="26"/>
      <c r="M2874" s="26"/>
      <c r="N2874" s="26"/>
      <c r="O2874" s="93"/>
      <c r="P2874" s="95"/>
      <c r="Q2874" s="197"/>
    </row>
    <row r="2875" spans="3:17" x14ac:dyDescent="0.25">
      <c r="C2875" s="199"/>
      <c r="D2875" s="112"/>
      <c r="E2875" s="33"/>
      <c r="F2875" s="105"/>
      <c r="H2875" s="116"/>
      <c r="I2875" s="26"/>
      <c r="J2875" s="98"/>
      <c r="K2875" s="36"/>
      <c r="L2875" s="26"/>
      <c r="M2875" s="26"/>
      <c r="N2875" s="26"/>
      <c r="O2875" s="93"/>
      <c r="P2875" s="95"/>
      <c r="Q2875" s="197"/>
    </row>
    <row r="2876" spans="3:17" x14ac:dyDescent="0.25">
      <c r="C2876" s="199"/>
      <c r="D2876" s="112"/>
      <c r="E2876" s="33"/>
      <c r="F2876" s="105"/>
      <c r="H2876" s="116"/>
      <c r="I2876" s="26"/>
      <c r="J2876" s="98"/>
      <c r="K2876" s="36"/>
      <c r="L2876" s="26"/>
      <c r="M2876" s="26"/>
      <c r="N2876" s="26"/>
      <c r="O2876" s="93"/>
      <c r="P2876" s="95"/>
      <c r="Q2876" s="197"/>
    </row>
    <row r="2877" spans="3:17" x14ac:dyDescent="0.25">
      <c r="C2877" s="199"/>
      <c r="D2877" s="112"/>
      <c r="E2877" s="33"/>
      <c r="F2877" s="105"/>
      <c r="H2877" s="116"/>
      <c r="I2877" s="26"/>
      <c r="J2877" s="98"/>
      <c r="K2877" s="36"/>
      <c r="L2877" s="26"/>
      <c r="M2877" s="26"/>
      <c r="N2877" s="26"/>
      <c r="O2877" s="93"/>
      <c r="P2877" s="95"/>
      <c r="Q2877" s="197"/>
    </row>
    <row r="2878" spans="3:17" x14ac:dyDescent="0.25">
      <c r="C2878" s="199"/>
      <c r="D2878" s="112"/>
      <c r="E2878" s="33"/>
      <c r="F2878" s="105"/>
      <c r="H2878" s="116"/>
      <c r="I2878" s="26"/>
      <c r="J2878" s="98"/>
      <c r="K2878" s="36"/>
      <c r="L2878" s="26"/>
      <c r="M2878" s="26"/>
      <c r="N2878" s="26"/>
      <c r="O2878" s="93"/>
      <c r="P2878" s="95"/>
      <c r="Q2878" s="197"/>
    </row>
    <row r="2879" spans="3:17" x14ac:dyDescent="0.25">
      <c r="C2879" s="199"/>
      <c r="D2879" s="112"/>
      <c r="E2879" s="33"/>
      <c r="F2879" s="105"/>
      <c r="H2879" s="116"/>
      <c r="I2879" s="26"/>
      <c r="J2879" s="98"/>
      <c r="K2879" s="36"/>
      <c r="L2879" s="26"/>
      <c r="M2879" s="26"/>
      <c r="N2879" s="26"/>
      <c r="O2879" s="93"/>
      <c r="P2879" s="95"/>
      <c r="Q2879" s="197"/>
    </row>
    <row r="2880" spans="3:17" x14ac:dyDescent="0.25">
      <c r="C2880" s="199"/>
      <c r="D2880" s="112"/>
      <c r="E2880" s="33"/>
      <c r="F2880" s="105"/>
      <c r="H2880" s="116"/>
      <c r="I2880" s="26"/>
      <c r="J2880" s="98"/>
      <c r="K2880" s="36"/>
      <c r="L2880" s="26"/>
      <c r="M2880" s="26"/>
      <c r="N2880" s="26"/>
      <c r="O2880" s="93"/>
      <c r="P2880" s="95"/>
      <c r="Q2880" s="197"/>
    </row>
    <row r="2881" spans="3:17" x14ac:dyDescent="0.25">
      <c r="C2881" s="199"/>
      <c r="D2881" s="112"/>
      <c r="E2881" s="33"/>
      <c r="F2881" s="105"/>
      <c r="H2881" s="116"/>
      <c r="I2881" s="26"/>
      <c r="J2881" s="98"/>
      <c r="K2881" s="36"/>
      <c r="L2881" s="26"/>
      <c r="M2881" s="26"/>
      <c r="N2881" s="26"/>
      <c r="O2881" s="93"/>
      <c r="P2881" s="95"/>
      <c r="Q2881" s="197"/>
    </row>
    <row r="2882" spans="3:17" x14ac:dyDescent="0.25">
      <c r="C2882" s="199"/>
      <c r="D2882" s="112"/>
      <c r="E2882" s="33"/>
      <c r="F2882" s="105"/>
      <c r="H2882" s="116"/>
      <c r="I2882" s="26"/>
      <c r="J2882" s="98"/>
      <c r="K2882" s="36"/>
      <c r="L2882" s="26"/>
      <c r="M2882" s="26"/>
      <c r="N2882" s="26"/>
      <c r="O2882" s="93"/>
      <c r="P2882" s="95"/>
      <c r="Q2882" s="197"/>
    </row>
    <row r="2883" spans="3:17" x14ac:dyDescent="0.25">
      <c r="C2883" s="199"/>
      <c r="D2883" s="112"/>
      <c r="E2883" s="33"/>
      <c r="F2883" s="105"/>
      <c r="H2883" s="116"/>
      <c r="I2883" s="26"/>
      <c r="J2883" s="98"/>
      <c r="K2883" s="36"/>
      <c r="L2883" s="26"/>
      <c r="M2883" s="26"/>
      <c r="N2883" s="26"/>
      <c r="O2883" s="93"/>
      <c r="P2883" s="95"/>
      <c r="Q2883" s="197"/>
    </row>
    <row r="2884" spans="3:17" x14ac:dyDescent="0.25">
      <c r="C2884" s="199"/>
      <c r="D2884" s="112"/>
      <c r="E2884" s="33"/>
      <c r="F2884" s="105"/>
      <c r="H2884" s="116"/>
      <c r="I2884" s="26"/>
      <c r="J2884" s="98"/>
      <c r="K2884" s="36"/>
      <c r="L2884" s="26"/>
      <c r="M2884" s="26"/>
      <c r="N2884" s="26"/>
      <c r="O2884" s="93"/>
      <c r="P2884" s="95"/>
      <c r="Q2884" s="197"/>
    </row>
    <row r="2885" spans="3:17" x14ac:dyDescent="0.25">
      <c r="C2885" s="199"/>
      <c r="D2885" s="112"/>
      <c r="E2885" s="33"/>
      <c r="F2885" s="105"/>
      <c r="H2885" s="116"/>
      <c r="I2885" s="26"/>
      <c r="J2885" s="98"/>
      <c r="K2885" s="36"/>
      <c r="L2885" s="26"/>
      <c r="M2885" s="26"/>
      <c r="N2885" s="26"/>
      <c r="O2885" s="93"/>
      <c r="P2885" s="95"/>
      <c r="Q2885" s="197"/>
    </row>
    <row r="2886" spans="3:17" x14ac:dyDescent="0.25">
      <c r="C2886" s="199"/>
      <c r="D2886" s="112"/>
      <c r="E2886" s="33"/>
      <c r="F2886" s="105"/>
      <c r="H2886" s="116"/>
      <c r="I2886" s="26"/>
      <c r="J2886" s="98"/>
      <c r="K2886" s="36"/>
      <c r="L2886" s="26"/>
      <c r="M2886" s="26"/>
      <c r="N2886" s="26"/>
      <c r="O2886" s="93"/>
      <c r="P2886" s="95"/>
      <c r="Q2886" s="197"/>
    </row>
    <row r="2887" spans="3:17" x14ac:dyDescent="0.25">
      <c r="C2887" s="199"/>
      <c r="D2887" s="112"/>
      <c r="E2887" s="33"/>
      <c r="F2887" s="105"/>
      <c r="H2887" s="116"/>
      <c r="I2887" s="26"/>
      <c r="J2887" s="98"/>
      <c r="K2887" s="36"/>
      <c r="L2887" s="26"/>
      <c r="M2887" s="26"/>
      <c r="N2887" s="26"/>
      <c r="O2887" s="93"/>
      <c r="P2887" s="95"/>
      <c r="Q2887" s="197"/>
    </row>
    <row r="2888" spans="3:17" x14ac:dyDescent="0.25">
      <c r="C2888" s="199"/>
      <c r="D2888" s="112"/>
      <c r="E2888" s="33"/>
      <c r="F2888" s="105"/>
      <c r="H2888" s="116"/>
      <c r="I2888" s="26"/>
      <c r="J2888" s="98"/>
      <c r="K2888" s="36"/>
      <c r="L2888" s="26"/>
      <c r="M2888" s="26"/>
      <c r="N2888" s="26"/>
      <c r="O2888" s="93"/>
      <c r="P2888" s="95"/>
      <c r="Q2888" s="197"/>
    </row>
    <row r="2889" spans="3:17" x14ac:dyDescent="0.25">
      <c r="C2889" s="199"/>
      <c r="D2889" s="112"/>
      <c r="E2889" s="33"/>
      <c r="F2889" s="105"/>
      <c r="H2889" s="116"/>
      <c r="I2889" s="26"/>
      <c r="J2889" s="98"/>
      <c r="K2889" s="36"/>
      <c r="L2889" s="26"/>
      <c r="M2889" s="26"/>
      <c r="N2889" s="26"/>
      <c r="O2889" s="93"/>
      <c r="P2889" s="95"/>
      <c r="Q2889" s="197"/>
    </row>
    <row r="2890" spans="3:17" x14ac:dyDescent="0.25">
      <c r="C2890" s="199"/>
      <c r="D2890" s="112"/>
      <c r="E2890" s="33"/>
      <c r="F2890" s="105"/>
      <c r="H2890" s="116"/>
      <c r="I2890" s="26"/>
      <c r="J2890" s="98"/>
      <c r="K2890" s="36"/>
      <c r="L2890" s="26"/>
      <c r="M2890" s="26"/>
      <c r="N2890" s="26"/>
      <c r="O2890" s="93"/>
      <c r="P2890" s="95"/>
      <c r="Q2890" s="197"/>
    </row>
    <row r="2891" spans="3:17" x14ac:dyDescent="0.25">
      <c r="C2891" s="199"/>
      <c r="D2891" s="112"/>
      <c r="E2891" s="33"/>
      <c r="F2891" s="105"/>
      <c r="H2891" s="116"/>
      <c r="I2891" s="26"/>
      <c r="J2891" s="98"/>
      <c r="K2891" s="36"/>
      <c r="L2891" s="26"/>
      <c r="M2891" s="26"/>
      <c r="N2891" s="26"/>
      <c r="O2891" s="93"/>
      <c r="P2891" s="95"/>
      <c r="Q2891" s="197"/>
    </row>
    <row r="2892" spans="3:17" x14ac:dyDescent="0.25">
      <c r="C2892" s="199"/>
      <c r="D2892" s="112"/>
      <c r="E2892" s="33"/>
      <c r="F2892" s="105"/>
      <c r="H2892" s="116"/>
      <c r="I2892" s="26"/>
      <c r="J2892" s="98"/>
      <c r="K2892" s="36"/>
      <c r="L2892" s="26"/>
      <c r="M2892" s="26"/>
      <c r="N2892" s="26"/>
      <c r="O2892" s="93"/>
      <c r="P2892" s="95"/>
      <c r="Q2892" s="197"/>
    </row>
    <row r="2893" spans="3:17" x14ac:dyDescent="0.25">
      <c r="C2893" s="199"/>
      <c r="D2893" s="112"/>
      <c r="E2893" s="33"/>
      <c r="F2893" s="105"/>
      <c r="H2893" s="116"/>
      <c r="I2893" s="26"/>
      <c r="J2893" s="98"/>
      <c r="K2893" s="36"/>
      <c r="L2893" s="26"/>
      <c r="M2893" s="26"/>
      <c r="N2893" s="26"/>
      <c r="O2893" s="93"/>
      <c r="P2893" s="95"/>
      <c r="Q2893" s="197"/>
    </row>
    <row r="2894" spans="3:17" x14ac:dyDescent="0.25">
      <c r="C2894" s="199"/>
      <c r="D2894" s="112"/>
      <c r="E2894" s="33"/>
      <c r="F2894" s="105"/>
      <c r="H2894" s="116"/>
      <c r="I2894" s="26"/>
      <c r="J2894" s="98"/>
      <c r="K2894" s="36"/>
      <c r="L2894" s="26"/>
      <c r="M2894" s="26"/>
      <c r="N2894" s="26"/>
      <c r="O2894" s="93"/>
      <c r="P2894" s="95"/>
      <c r="Q2894" s="197"/>
    </row>
    <row r="2895" spans="3:17" x14ac:dyDescent="0.25">
      <c r="C2895" s="199"/>
      <c r="D2895" s="112"/>
      <c r="E2895" s="33"/>
      <c r="F2895" s="105"/>
      <c r="H2895" s="116"/>
      <c r="I2895" s="26"/>
      <c r="J2895" s="98"/>
      <c r="K2895" s="36"/>
      <c r="L2895" s="26"/>
      <c r="M2895" s="26"/>
      <c r="N2895" s="26"/>
      <c r="O2895" s="93"/>
      <c r="P2895" s="95"/>
      <c r="Q2895" s="197"/>
    </row>
    <row r="2896" spans="3:17" x14ac:dyDescent="0.25">
      <c r="C2896" s="199"/>
      <c r="D2896" s="112"/>
      <c r="E2896" s="33"/>
      <c r="F2896" s="105"/>
      <c r="H2896" s="116"/>
      <c r="I2896" s="26"/>
      <c r="J2896" s="98"/>
      <c r="K2896" s="36"/>
      <c r="L2896" s="26"/>
      <c r="M2896" s="26"/>
      <c r="N2896" s="26"/>
      <c r="O2896" s="93"/>
      <c r="P2896" s="95"/>
      <c r="Q2896" s="197"/>
    </row>
    <row r="2897" spans="3:17" x14ac:dyDescent="0.25">
      <c r="C2897" s="199"/>
      <c r="D2897" s="112"/>
      <c r="E2897" s="33"/>
      <c r="F2897" s="105"/>
      <c r="H2897" s="116"/>
      <c r="I2897" s="26"/>
      <c r="J2897" s="98"/>
      <c r="K2897" s="36"/>
      <c r="L2897" s="26"/>
      <c r="M2897" s="26"/>
      <c r="N2897" s="26"/>
      <c r="O2897" s="93"/>
      <c r="P2897" s="95"/>
      <c r="Q2897" s="197"/>
    </row>
    <row r="2898" spans="3:17" x14ac:dyDescent="0.25">
      <c r="C2898" s="199"/>
      <c r="D2898" s="112"/>
      <c r="E2898" s="33"/>
      <c r="F2898" s="105"/>
      <c r="H2898" s="116"/>
      <c r="I2898" s="26"/>
      <c r="J2898" s="98"/>
      <c r="K2898" s="36"/>
      <c r="L2898" s="26"/>
      <c r="M2898" s="26"/>
      <c r="N2898" s="26"/>
      <c r="O2898" s="93"/>
      <c r="P2898" s="95"/>
      <c r="Q2898" s="197"/>
    </row>
    <row r="2899" spans="3:17" x14ac:dyDescent="0.25">
      <c r="C2899" s="199"/>
      <c r="D2899" s="112"/>
      <c r="E2899" s="33"/>
      <c r="F2899" s="105"/>
      <c r="H2899" s="116"/>
      <c r="I2899" s="26"/>
      <c r="J2899" s="98"/>
      <c r="K2899" s="36"/>
      <c r="L2899" s="26"/>
      <c r="M2899" s="26"/>
      <c r="N2899" s="26"/>
      <c r="O2899" s="93"/>
      <c r="P2899" s="95"/>
      <c r="Q2899" s="197"/>
    </row>
    <row r="2900" spans="3:17" x14ac:dyDescent="0.25">
      <c r="C2900" s="199"/>
      <c r="D2900" s="112"/>
      <c r="E2900" s="33"/>
      <c r="F2900" s="105"/>
      <c r="H2900" s="116"/>
      <c r="I2900" s="26"/>
      <c r="J2900" s="98"/>
      <c r="K2900" s="36"/>
      <c r="L2900" s="26"/>
      <c r="M2900" s="26"/>
      <c r="N2900" s="26"/>
      <c r="O2900" s="93"/>
      <c r="P2900" s="95"/>
      <c r="Q2900" s="197"/>
    </row>
    <row r="2901" spans="3:17" x14ac:dyDescent="0.25">
      <c r="C2901" s="199"/>
      <c r="D2901" s="112"/>
      <c r="E2901" s="33"/>
      <c r="F2901" s="105"/>
      <c r="H2901" s="116"/>
      <c r="I2901" s="26"/>
      <c r="J2901" s="98"/>
      <c r="K2901" s="36"/>
      <c r="L2901" s="26"/>
      <c r="M2901" s="26"/>
      <c r="N2901" s="26"/>
      <c r="O2901" s="93"/>
      <c r="P2901" s="95"/>
      <c r="Q2901" s="197"/>
    </row>
    <row r="2902" spans="3:17" x14ac:dyDescent="0.25">
      <c r="C2902" s="199"/>
      <c r="D2902" s="112"/>
      <c r="E2902" s="33"/>
      <c r="F2902" s="105"/>
      <c r="H2902" s="116"/>
      <c r="I2902" s="26"/>
      <c r="J2902" s="98"/>
      <c r="K2902" s="36"/>
      <c r="L2902" s="26"/>
      <c r="M2902" s="26"/>
      <c r="N2902" s="26"/>
      <c r="O2902" s="93"/>
      <c r="P2902" s="95"/>
      <c r="Q2902" s="197"/>
    </row>
    <row r="2903" spans="3:17" x14ac:dyDescent="0.25">
      <c r="C2903" s="199"/>
      <c r="D2903" s="112"/>
      <c r="E2903" s="33"/>
      <c r="F2903" s="105"/>
      <c r="H2903" s="116"/>
      <c r="I2903" s="26"/>
      <c r="J2903" s="98"/>
      <c r="K2903" s="36"/>
      <c r="L2903" s="26"/>
      <c r="M2903" s="26"/>
      <c r="N2903" s="26"/>
      <c r="O2903" s="93"/>
      <c r="P2903" s="95"/>
      <c r="Q2903" s="197"/>
    </row>
    <row r="2904" spans="3:17" x14ac:dyDescent="0.25">
      <c r="C2904" s="199"/>
      <c r="D2904" s="112"/>
      <c r="E2904" s="33"/>
      <c r="F2904" s="105"/>
      <c r="H2904" s="116"/>
      <c r="I2904" s="26"/>
      <c r="J2904" s="98"/>
      <c r="K2904" s="36"/>
      <c r="L2904" s="26"/>
      <c r="M2904" s="26"/>
      <c r="N2904" s="26"/>
      <c r="O2904" s="93"/>
      <c r="P2904" s="95"/>
      <c r="Q2904" s="197"/>
    </row>
    <row r="2905" spans="3:17" x14ac:dyDescent="0.25">
      <c r="C2905" s="199"/>
      <c r="D2905" s="112"/>
      <c r="E2905" s="33"/>
      <c r="F2905" s="105"/>
      <c r="H2905" s="116"/>
      <c r="I2905" s="26"/>
      <c r="J2905" s="98"/>
      <c r="K2905" s="36"/>
      <c r="L2905" s="26"/>
      <c r="M2905" s="26"/>
      <c r="N2905" s="26"/>
      <c r="O2905" s="93"/>
      <c r="P2905" s="95"/>
      <c r="Q2905" s="197"/>
    </row>
    <row r="2906" spans="3:17" x14ac:dyDescent="0.25">
      <c r="C2906" s="199"/>
      <c r="D2906" s="112"/>
      <c r="E2906" s="33"/>
      <c r="F2906" s="105"/>
      <c r="H2906" s="116"/>
      <c r="I2906" s="26"/>
      <c r="J2906" s="98"/>
      <c r="K2906" s="36"/>
      <c r="L2906" s="26"/>
      <c r="M2906" s="26"/>
      <c r="N2906" s="26"/>
      <c r="O2906" s="93"/>
      <c r="P2906" s="95"/>
      <c r="Q2906" s="197"/>
    </row>
    <row r="2907" spans="3:17" x14ac:dyDescent="0.25">
      <c r="C2907" s="199"/>
      <c r="D2907" s="112"/>
      <c r="E2907" s="33"/>
      <c r="F2907" s="105"/>
      <c r="H2907" s="116"/>
      <c r="I2907" s="26"/>
      <c r="J2907" s="98"/>
      <c r="K2907" s="36"/>
      <c r="L2907" s="26"/>
      <c r="M2907" s="26"/>
      <c r="N2907" s="26"/>
      <c r="O2907" s="93"/>
      <c r="P2907" s="95"/>
      <c r="Q2907" s="197"/>
    </row>
    <row r="2908" spans="3:17" x14ac:dyDescent="0.25">
      <c r="C2908" s="199"/>
      <c r="D2908" s="112"/>
      <c r="E2908" s="33"/>
      <c r="F2908" s="105"/>
      <c r="H2908" s="116"/>
      <c r="I2908" s="26"/>
      <c r="J2908" s="98"/>
      <c r="K2908" s="36"/>
      <c r="L2908" s="26"/>
      <c r="M2908" s="26"/>
      <c r="N2908" s="26"/>
      <c r="O2908" s="93"/>
      <c r="P2908" s="95"/>
      <c r="Q2908" s="197"/>
    </row>
    <row r="2909" spans="3:17" x14ac:dyDescent="0.25">
      <c r="C2909" s="199"/>
      <c r="D2909" s="112"/>
      <c r="E2909" s="33"/>
      <c r="F2909" s="105"/>
      <c r="H2909" s="116"/>
      <c r="I2909" s="26"/>
      <c r="J2909" s="98"/>
      <c r="K2909" s="36"/>
      <c r="L2909" s="26"/>
      <c r="M2909" s="26"/>
      <c r="N2909" s="26"/>
      <c r="O2909" s="93"/>
      <c r="P2909" s="95"/>
      <c r="Q2909" s="197"/>
    </row>
    <row r="2910" spans="3:17" x14ac:dyDescent="0.25">
      <c r="C2910" s="199"/>
      <c r="D2910" s="112"/>
      <c r="E2910" s="33"/>
      <c r="F2910" s="105"/>
      <c r="H2910" s="116"/>
      <c r="I2910" s="26"/>
      <c r="J2910" s="98"/>
      <c r="K2910" s="36"/>
      <c r="L2910" s="26"/>
      <c r="M2910" s="26"/>
      <c r="N2910" s="26"/>
      <c r="O2910" s="93"/>
      <c r="P2910" s="95"/>
      <c r="Q2910" s="197"/>
    </row>
    <row r="2911" spans="3:17" x14ac:dyDescent="0.25">
      <c r="C2911" s="199"/>
      <c r="D2911" s="112"/>
      <c r="E2911" s="33"/>
      <c r="F2911" s="105"/>
      <c r="H2911" s="116"/>
      <c r="I2911" s="26"/>
      <c r="J2911" s="98"/>
      <c r="K2911" s="36"/>
      <c r="L2911" s="26"/>
      <c r="M2911" s="26"/>
      <c r="N2911" s="26"/>
      <c r="O2911" s="93"/>
      <c r="P2911" s="95"/>
      <c r="Q2911" s="197"/>
    </row>
    <row r="2912" spans="3:17" x14ac:dyDescent="0.25">
      <c r="C2912" s="199"/>
      <c r="D2912" s="112"/>
      <c r="E2912" s="33"/>
      <c r="F2912" s="105"/>
      <c r="H2912" s="116"/>
      <c r="I2912" s="26"/>
      <c r="J2912" s="98"/>
      <c r="K2912" s="36"/>
      <c r="L2912" s="26"/>
      <c r="M2912" s="26"/>
      <c r="N2912" s="26"/>
      <c r="O2912" s="93"/>
      <c r="P2912" s="95"/>
      <c r="Q2912" s="197"/>
    </row>
    <row r="2913" spans="3:17" x14ac:dyDescent="0.25">
      <c r="C2913" s="199"/>
      <c r="D2913" s="112"/>
      <c r="E2913" s="33"/>
      <c r="F2913" s="105"/>
      <c r="H2913" s="116"/>
      <c r="I2913" s="26"/>
      <c r="J2913" s="98"/>
      <c r="K2913" s="36"/>
      <c r="L2913" s="26"/>
      <c r="M2913" s="26"/>
      <c r="N2913" s="26"/>
      <c r="O2913" s="93"/>
      <c r="P2913" s="95"/>
      <c r="Q2913" s="197"/>
    </row>
    <row r="2914" spans="3:17" x14ac:dyDescent="0.25">
      <c r="C2914" s="199"/>
      <c r="D2914" s="112"/>
      <c r="E2914" s="33"/>
      <c r="F2914" s="105"/>
      <c r="H2914" s="116"/>
      <c r="I2914" s="26"/>
      <c r="J2914" s="98"/>
      <c r="K2914" s="36"/>
      <c r="L2914" s="26"/>
      <c r="M2914" s="26"/>
      <c r="N2914" s="26"/>
      <c r="O2914" s="93"/>
      <c r="P2914" s="95"/>
      <c r="Q2914" s="197"/>
    </row>
    <row r="2915" spans="3:17" x14ac:dyDescent="0.25">
      <c r="C2915" s="199"/>
      <c r="D2915" s="112"/>
      <c r="E2915" s="33"/>
      <c r="F2915" s="105"/>
      <c r="H2915" s="116"/>
      <c r="I2915" s="26"/>
      <c r="J2915" s="98"/>
      <c r="K2915" s="36"/>
      <c r="L2915" s="26"/>
      <c r="M2915" s="26"/>
      <c r="N2915" s="26"/>
      <c r="O2915" s="93"/>
      <c r="P2915" s="95"/>
      <c r="Q2915" s="197"/>
    </row>
    <row r="2916" spans="3:17" x14ac:dyDescent="0.25">
      <c r="C2916" s="199"/>
      <c r="D2916" s="112"/>
      <c r="E2916" s="33"/>
      <c r="F2916" s="105"/>
      <c r="H2916" s="116"/>
      <c r="I2916" s="26"/>
      <c r="J2916" s="98"/>
      <c r="K2916" s="36"/>
      <c r="L2916" s="26"/>
      <c r="M2916" s="26"/>
      <c r="N2916" s="26"/>
      <c r="O2916" s="93"/>
      <c r="P2916" s="95"/>
      <c r="Q2916" s="197"/>
    </row>
    <row r="2917" spans="3:17" x14ac:dyDescent="0.25">
      <c r="C2917" s="199"/>
      <c r="D2917" s="112"/>
      <c r="E2917" s="33"/>
      <c r="F2917" s="105"/>
      <c r="H2917" s="116"/>
      <c r="I2917" s="26"/>
      <c r="J2917" s="98"/>
      <c r="K2917" s="36"/>
      <c r="L2917" s="26"/>
      <c r="M2917" s="26"/>
      <c r="N2917" s="26"/>
      <c r="O2917" s="93"/>
      <c r="P2917" s="95"/>
      <c r="Q2917" s="197"/>
    </row>
    <row r="2918" spans="3:17" x14ac:dyDescent="0.25">
      <c r="C2918" s="199"/>
      <c r="D2918" s="112"/>
      <c r="E2918" s="33"/>
      <c r="F2918" s="105"/>
      <c r="H2918" s="116"/>
      <c r="I2918" s="26"/>
      <c r="J2918" s="98"/>
      <c r="K2918" s="36"/>
      <c r="L2918" s="26"/>
      <c r="M2918" s="26"/>
      <c r="N2918" s="26"/>
      <c r="O2918" s="93"/>
      <c r="P2918" s="95"/>
      <c r="Q2918" s="197"/>
    </row>
    <row r="2919" spans="3:17" x14ac:dyDescent="0.25">
      <c r="C2919" s="199"/>
      <c r="D2919" s="112"/>
      <c r="E2919" s="33"/>
      <c r="F2919" s="105"/>
      <c r="H2919" s="116"/>
      <c r="I2919" s="26"/>
      <c r="J2919" s="98"/>
      <c r="K2919" s="36"/>
      <c r="L2919" s="26"/>
      <c r="M2919" s="26"/>
      <c r="N2919" s="26"/>
      <c r="O2919" s="93"/>
      <c r="P2919" s="95"/>
      <c r="Q2919" s="197"/>
    </row>
    <row r="2920" spans="3:17" x14ac:dyDescent="0.25">
      <c r="C2920" s="199"/>
      <c r="D2920" s="112"/>
      <c r="E2920" s="33"/>
      <c r="F2920" s="105"/>
      <c r="H2920" s="116"/>
      <c r="I2920" s="26"/>
      <c r="J2920" s="98"/>
      <c r="K2920" s="36"/>
      <c r="L2920" s="26"/>
      <c r="M2920" s="26"/>
      <c r="N2920" s="26"/>
      <c r="O2920" s="93"/>
      <c r="P2920" s="95"/>
      <c r="Q2920" s="197"/>
    </row>
    <row r="2921" spans="3:17" x14ac:dyDescent="0.25">
      <c r="C2921" s="199"/>
      <c r="D2921" s="112"/>
      <c r="E2921" s="33"/>
      <c r="F2921" s="105"/>
      <c r="H2921" s="116"/>
      <c r="I2921" s="26"/>
      <c r="J2921" s="98"/>
      <c r="K2921" s="36"/>
      <c r="L2921" s="26"/>
      <c r="M2921" s="26"/>
      <c r="N2921" s="26"/>
      <c r="O2921" s="93"/>
      <c r="P2921" s="95"/>
      <c r="Q2921" s="197"/>
    </row>
    <row r="2922" spans="3:17" x14ac:dyDescent="0.25">
      <c r="C2922" s="199"/>
      <c r="D2922" s="112"/>
      <c r="E2922" s="33"/>
      <c r="F2922" s="105"/>
      <c r="H2922" s="116"/>
      <c r="I2922" s="26"/>
      <c r="J2922" s="98"/>
      <c r="K2922" s="36"/>
      <c r="L2922" s="26"/>
      <c r="M2922" s="26"/>
      <c r="N2922" s="26"/>
      <c r="O2922" s="93"/>
      <c r="P2922" s="95"/>
      <c r="Q2922" s="197"/>
    </row>
    <row r="2923" spans="3:17" x14ac:dyDescent="0.25">
      <c r="C2923" s="199"/>
      <c r="D2923" s="112"/>
      <c r="E2923" s="33"/>
      <c r="F2923" s="105"/>
      <c r="H2923" s="116"/>
      <c r="I2923" s="26"/>
      <c r="J2923" s="98"/>
      <c r="K2923" s="36"/>
      <c r="L2923" s="26"/>
      <c r="M2923" s="26"/>
      <c r="N2923" s="26"/>
      <c r="O2923" s="93"/>
      <c r="P2923" s="95"/>
      <c r="Q2923" s="197"/>
    </row>
    <row r="2924" spans="3:17" x14ac:dyDescent="0.25">
      <c r="C2924" s="199"/>
      <c r="D2924" s="112"/>
      <c r="E2924" s="33"/>
      <c r="F2924" s="105"/>
      <c r="H2924" s="116"/>
      <c r="I2924" s="26"/>
      <c r="J2924" s="98"/>
      <c r="K2924" s="36"/>
      <c r="L2924" s="26"/>
      <c r="M2924" s="26"/>
      <c r="N2924" s="26"/>
      <c r="O2924" s="93"/>
      <c r="P2924" s="95"/>
      <c r="Q2924" s="197"/>
    </row>
    <row r="2925" spans="3:17" x14ac:dyDescent="0.25">
      <c r="C2925" s="199"/>
      <c r="D2925" s="112"/>
      <c r="E2925" s="33"/>
      <c r="F2925" s="105"/>
      <c r="H2925" s="116"/>
      <c r="I2925" s="26"/>
      <c r="J2925" s="98"/>
      <c r="K2925" s="36"/>
      <c r="L2925" s="26"/>
      <c r="M2925" s="26"/>
      <c r="N2925" s="26"/>
      <c r="O2925" s="93"/>
      <c r="P2925" s="95"/>
      <c r="Q2925" s="197"/>
    </row>
    <row r="2926" spans="3:17" x14ac:dyDescent="0.25">
      <c r="C2926" s="199"/>
      <c r="D2926" s="112"/>
      <c r="E2926" s="33"/>
      <c r="F2926" s="105"/>
      <c r="H2926" s="116"/>
      <c r="I2926" s="26"/>
      <c r="J2926" s="98"/>
      <c r="K2926" s="36"/>
      <c r="L2926" s="26"/>
      <c r="M2926" s="26"/>
      <c r="N2926" s="26"/>
      <c r="O2926" s="93"/>
      <c r="P2926" s="95"/>
      <c r="Q2926" s="197"/>
    </row>
    <row r="2927" spans="3:17" x14ac:dyDescent="0.25">
      <c r="C2927" s="199"/>
      <c r="D2927" s="112"/>
      <c r="E2927" s="33"/>
      <c r="F2927" s="105"/>
      <c r="H2927" s="116"/>
      <c r="I2927" s="26"/>
      <c r="J2927" s="98"/>
      <c r="K2927" s="36"/>
      <c r="L2927" s="26"/>
      <c r="M2927" s="26"/>
      <c r="N2927" s="26"/>
      <c r="O2927" s="93"/>
      <c r="P2927" s="95"/>
      <c r="Q2927" s="197"/>
    </row>
    <row r="2928" spans="3:17" x14ac:dyDescent="0.25">
      <c r="C2928" s="199"/>
      <c r="D2928" s="112"/>
      <c r="E2928" s="33"/>
      <c r="F2928" s="105"/>
      <c r="H2928" s="116"/>
      <c r="I2928" s="26"/>
      <c r="J2928" s="98"/>
      <c r="K2928" s="36"/>
      <c r="L2928" s="26"/>
      <c r="M2928" s="26"/>
      <c r="N2928" s="26"/>
      <c r="O2928" s="93"/>
      <c r="P2928" s="95"/>
      <c r="Q2928" s="197"/>
    </row>
    <row r="2929" spans="3:17" x14ac:dyDescent="0.25">
      <c r="C2929" s="199"/>
      <c r="D2929" s="112"/>
      <c r="E2929" s="33"/>
      <c r="F2929" s="105"/>
      <c r="H2929" s="116"/>
      <c r="I2929" s="26"/>
      <c r="J2929" s="98"/>
      <c r="K2929" s="36"/>
      <c r="L2929" s="26"/>
      <c r="M2929" s="26"/>
      <c r="N2929" s="26"/>
      <c r="O2929" s="93"/>
      <c r="P2929" s="95"/>
      <c r="Q2929" s="197"/>
    </row>
    <row r="2930" spans="3:17" x14ac:dyDescent="0.25">
      <c r="C2930" s="199"/>
      <c r="D2930" s="112"/>
      <c r="E2930" s="33"/>
      <c r="F2930" s="105"/>
      <c r="H2930" s="116"/>
      <c r="I2930" s="26"/>
      <c r="J2930" s="98"/>
      <c r="K2930" s="36"/>
      <c r="L2930" s="26"/>
      <c r="M2930" s="26"/>
      <c r="N2930" s="26"/>
      <c r="O2930" s="93"/>
      <c r="P2930" s="95"/>
      <c r="Q2930" s="197"/>
    </row>
    <row r="2931" spans="3:17" x14ac:dyDescent="0.25">
      <c r="C2931" s="199"/>
      <c r="D2931" s="112"/>
      <c r="E2931" s="33"/>
      <c r="F2931" s="105"/>
      <c r="H2931" s="116"/>
      <c r="I2931" s="26"/>
      <c r="J2931" s="98"/>
      <c r="K2931" s="36"/>
      <c r="L2931" s="26"/>
      <c r="M2931" s="26"/>
      <c r="N2931" s="26"/>
      <c r="O2931" s="93"/>
      <c r="P2931" s="95"/>
      <c r="Q2931" s="197"/>
    </row>
    <row r="2932" spans="3:17" x14ac:dyDescent="0.25">
      <c r="C2932" s="199"/>
      <c r="D2932" s="112"/>
      <c r="E2932" s="33"/>
      <c r="F2932" s="105"/>
      <c r="H2932" s="116"/>
      <c r="I2932" s="26"/>
      <c r="J2932" s="98"/>
      <c r="K2932" s="36"/>
      <c r="L2932" s="26"/>
      <c r="M2932" s="26"/>
      <c r="N2932" s="26"/>
      <c r="O2932" s="93"/>
      <c r="P2932" s="95"/>
      <c r="Q2932" s="197"/>
    </row>
    <row r="2933" spans="3:17" x14ac:dyDescent="0.25">
      <c r="C2933" s="199"/>
      <c r="D2933" s="112"/>
      <c r="E2933" s="33"/>
      <c r="F2933" s="105"/>
      <c r="H2933" s="116"/>
      <c r="I2933" s="26"/>
      <c r="J2933" s="98"/>
      <c r="K2933" s="36"/>
      <c r="L2933" s="26"/>
      <c r="M2933" s="26"/>
      <c r="N2933" s="26"/>
      <c r="O2933" s="93"/>
      <c r="P2933" s="95"/>
      <c r="Q2933" s="197"/>
    </row>
    <row r="2934" spans="3:17" x14ac:dyDescent="0.25">
      <c r="C2934" s="199"/>
      <c r="D2934" s="112"/>
      <c r="E2934" s="33"/>
      <c r="F2934" s="105"/>
      <c r="H2934" s="116"/>
      <c r="I2934" s="26"/>
      <c r="J2934" s="98"/>
      <c r="K2934" s="36"/>
      <c r="L2934" s="26"/>
      <c r="M2934" s="26"/>
      <c r="N2934" s="26"/>
      <c r="O2934" s="93"/>
      <c r="P2934" s="95"/>
      <c r="Q2934" s="197"/>
    </row>
    <row r="2935" spans="3:17" x14ac:dyDescent="0.25">
      <c r="C2935" s="199"/>
      <c r="D2935" s="112"/>
      <c r="E2935" s="33"/>
      <c r="F2935" s="105"/>
      <c r="H2935" s="116"/>
      <c r="I2935" s="26"/>
      <c r="J2935" s="98"/>
      <c r="K2935" s="36"/>
      <c r="L2935" s="26"/>
      <c r="M2935" s="26"/>
      <c r="N2935" s="26"/>
      <c r="O2935" s="93"/>
      <c r="P2935" s="95"/>
      <c r="Q2935" s="197"/>
    </row>
    <row r="2936" spans="3:17" x14ac:dyDescent="0.25">
      <c r="C2936" s="199"/>
      <c r="D2936" s="112"/>
      <c r="E2936" s="33"/>
      <c r="F2936" s="105"/>
      <c r="H2936" s="116"/>
      <c r="I2936" s="26"/>
      <c r="J2936" s="98"/>
      <c r="K2936" s="36"/>
      <c r="L2936" s="26"/>
      <c r="M2936" s="26"/>
      <c r="N2936" s="26"/>
      <c r="O2936" s="93"/>
      <c r="P2936" s="95"/>
      <c r="Q2936" s="197"/>
    </row>
    <row r="2937" spans="3:17" x14ac:dyDescent="0.25">
      <c r="C2937" s="199"/>
      <c r="D2937" s="112"/>
      <c r="E2937" s="33"/>
      <c r="F2937" s="105"/>
      <c r="H2937" s="116"/>
      <c r="I2937" s="26"/>
      <c r="J2937" s="98"/>
      <c r="K2937" s="36"/>
      <c r="L2937" s="26"/>
      <c r="M2937" s="26"/>
      <c r="N2937" s="26"/>
      <c r="O2937" s="93"/>
      <c r="P2937" s="95"/>
      <c r="Q2937" s="197"/>
    </row>
    <row r="2938" spans="3:17" x14ac:dyDescent="0.25">
      <c r="C2938" s="199"/>
      <c r="D2938" s="112"/>
      <c r="E2938" s="33"/>
      <c r="F2938" s="105"/>
      <c r="H2938" s="116"/>
      <c r="I2938" s="26"/>
      <c r="J2938" s="98"/>
      <c r="K2938" s="36"/>
      <c r="L2938" s="26"/>
      <c r="M2938" s="26"/>
      <c r="N2938" s="26"/>
      <c r="O2938" s="93"/>
      <c r="P2938" s="95"/>
      <c r="Q2938" s="197"/>
    </row>
    <row r="2939" spans="3:17" x14ac:dyDescent="0.25">
      <c r="C2939" s="199"/>
      <c r="D2939" s="112"/>
      <c r="E2939" s="33"/>
      <c r="F2939" s="105"/>
      <c r="H2939" s="116"/>
      <c r="I2939" s="26"/>
      <c r="J2939" s="98"/>
      <c r="K2939" s="36"/>
      <c r="L2939" s="26"/>
      <c r="M2939" s="26"/>
      <c r="N2939" s="26"/>
      <c r="O2939" s="93"/>
      <c r="P2939" s="95"/>
      <c r="Q2939" s="197"/>
    </row>
    <row r="2940" spans="3:17" x14ac:dyDescent="0.25">
      <c r="C2940" s="199"/>
      <c r="D2940" s="112"/>
      <c r="E2940" s="33"/>
      <c r="F2940" s="105"/>
      <c r="H2940" s="116"/>
      <c r="I2940" s="26"/>
      <c r="J2940" s="98"/>
      <c r="K2940" s="36"/>
      <c r="L2940" s="26"/>
      <c r="M2940" s="26"/>
      <c r="N2940" s="26"/>
      <c r="O2940" s="93"/>
      <c r="P2940" s="95"/>
      <c r="Q2940" s="197"/>
    </row>
    <row r="2941" spans="3:17" x14ac:dyDescent="0.25">
      <c r="C2941" s="199"/>
      <c r="D2941" s="112"/>
      <c r="E2941" s="33"/>
      <c r="F2941" s="105"/>
      <c r="H2941" s="116"/>
      <c r="I2941" s="26"/>
      <c r="J2941" s="98"/>
      <c r="K2941" s="36"/>
      <c r="L2941" s="26"/>
      <c r="M2941" s="26"/>
      <c r="N2941" s="26"/>
      <c r="O2941" s="93"/>
      <c r="P2941" s="95"/>
      <c r="Q2941" s="197"/>
    </row>
    <row r="2942" spans="3:17" x14ac:dyDescent="0.25">
      <c r="C2942" s="199"/>
      <c r="D2942" s="112"/>
      <c r="E2942" s="33"/>
      <c r="F2942" s="105"/>
      <c r="H2942" s="116"/>
      <c r="I2942" s="26"/>
      <c r="J2942" s="98"/>
      <c r="K2942" s="36"/>
      <c r="L2942" s="26"/>
      <c r="M2942" s="26"/>
      <c r="N2942" s="26"/>
      <c r="O2942" s="93"/>
      <c r="P2942" s="95"/>
      <c r="Q2942" s="197"/>
    </row>
    <row r="2943" spans="3:17" x14ac:dyDescent="0.25">
      <c r="C2943" s="199"/>
      <c r="D2943" s="112"/>
      <c r="E2943" s="33"/>
      <c r="F2943" s="105"/>
      <c r="H2943" s="116"/>
      <c r="I2943" s="26"/>
      <c r="J2943" s="98"/>
      <c r="K2943" s="36"/>
      <c r="L2943" s="26"/>
      <c r="M2943" s="26"/>
      <c r="N2943" s="26"/>
      <c r="O2943" s="93"/>
      <c r="P2943" s="95"/>
      <c r="Q2943" s="197"/>
    </row>
    <row r="2944" spans="3:17" x14ac:dyDescent="0.25">
      <c r="C2944" s="199"/>
      <c r="D2944" s="112"/>
      <c r="E2944" s="33"/>
      <c r="F2944" s="105"/>
      <c r="H2944" s="116"/>
      <c r="I2944" s="26"/>
      <c r="J2944" s="98"/>
      <c r="K2944" s="36"/>
      <c r="L2944" s="26"/>
      <c r="M2944" s="26"/>
      <c r="N2944" s="26"/>
      <c r="O2944" s="93"/>
      <c r="P2944" s="95"/>
      <c r="Q2944" s="197"/>
    </row>
    <row r="2945" spans="3:17" x14ac:dyDescent="0.25">
      <c r="C2945" s="199"/>
      <c r="D2945" s="112"/>
      <c r="E2945" s="33"/>
      <c r="F2945" s="105"/>
      <c r="H2945" s="116"/>
      <c r="I2945" s="26"/>
      <c r="J2945" s="98"/>
      <c r="K2945" s="36"/>
      <c r="L2945" s="26"/>
      <c r="M2945" s="26"/>
      <c r="N2945" s="26"/>
      <c r="O2945" s="93"/>
      <c r="P2945" s="95"/>
      <c r="Q2945" s="197"/>
    </row>
    <row r="2946" spans="3:17" x14ac:dyDescent="0.25">
      <c r="C2946" s="199"/>
      <c r="D2946" s="112"/>
      <c r="E2946" s="33"/>
      <c r="F2946" s="105"/>
      <c r="H2946" s="116"/>
      <c r="I2946" s="26"/>
      <c r="J2946" s="98"/>
      <c r="K2946" s="36"/>
      <c r="L2946" s="26"/>
      <c r="M2946" s="26"/>
      <c r="N2946" s="26"/>
      <c r="O2946" s="93"/>
      <c r="P2946" s="95"/>
      <c r="Q2946" s="197"/>
    </row>
    <row r="2947" spans="3:17" x14ac:dyDescent="0.25">
      <c r="C2947" s="199"/>
      <c r="D2947" s="112"/>
      <c r="E2947" s="33"/>
      <c r="F2947" s="105"/>
      <c r="H2947" s="116"/>
      <c r="I2947" s="26"/>
      <c r="J2947" s="98"/>
      <c r="K2947" s="36"/>
      <c r="L2947" s="26"/>
      <c r="M2947" s="26"/>
      <c r="N2947" s="26"/>
      <c r="O2947" s="93"/>
      <c r="P2947" s="95"/>
      <c r="Q2947" s="197"/>
    </row>
    <row r="2948" spans="3:17" x14ac:dyDescent="0.25">
      <c r="C2948" s="199"/>
      <c r="D2948" s="112"/>
      <c r="E2948" s="33"/>
      <c r="F2948" s="105"/>
      <c r="H2948" s="116"/>
      <c r="I2948" s="26"/>
      <c r="J2948" s="98"/>
      <c r="K2948" s="36"/>
      <c r="L2948" s="26"/>
      <c r="M2948" s="26"/>
      <c r="N2948" s="26"/>
      <c r="O2948" s="93"/>
      <c r="P2948" s="95"/>
      <c r="Q2948" s="197"/>
    </row>
    <row r="2949" spans="3:17" x14ac:dyDescent="0.25">
      <c r="C2949" s="199"/>
      <c r="D2949" s="112"/>
      <c r="E2949" s="33"/>
      <c r="F2949" s="105"/>
      <c r="H2949" s="116"/>
      <c r="I2949" s="26"/>
      <c r="J2949" s="98"/>
      <c r="K2949" s="36"/>
      <c r="L2949" s="26"/>
      <c r="M2949" s="26"/>
      <c r="N2949" s="26"/>
      <c r="O2949" s="93"/>
      <c r="P2949" s="95"/>
      <c r="Q2949" s="197"/>
    </row>
    <row r="2950" spans="3:17" x14ac:dyDescent="0.25">
      <c r="C2950" s="199"/>
      <c r="D2950" s="112"/>
      <c r="E2950" s="33"/>
      <c r="F2950" s="105"/>
      <c r="H2950" s="116"/>
      <c r="I2950" s="26"/>
      <c r="J2950" s="98"/>
      <c r="K2950" s="36"/>
      <c r="L2950" s="26"/>
      <c r="M2950" s="26"/>
      <c r="N2950" s="26"/>
      <c r="O2950" s="93"/>
      <c r="P2950" s="95"/>
      <c r="Q2950" s="197"/>
    </row>
    <row r="2951" spans="3:17" x14ac:dyDescent="0.25">
      <c r="C2951" s="199"/>
      <c r="D2951" s="112"/>
      <c r="E2951" s="33"/>
      <c r="F2951" s="105"/>
      <c r="H2951" s="116"/>
      <c r="I2951" s="26"/>
      <c r="J2951" s="98"/>
      <c r="K2951" s="36"/>
      <c r="L2951" s="26"/>
      <c r="M2951" s="26"/>
      <c r="N2951" s="26"/>
      <c r="O2951" s="93"/>
      <c r="P2951" s="95"/>
      <c r="Q2951" s="197"/>
    </row>
    <row r="2952" spans="3:17" x14ac:dyDescent="0.25">
      <c r="C2952" s="199"/>
      <c r="D2952" s="112"/>
      <c r="E2952" s="33"/>
      <c r="F2952" s="105"/>
      <c r="H2952" s="116"/>
      <c r="I2952" s="26"/>
      <c r="J2952" s="98"/>
      <c r="K2952" s="36"/>
      <c r="L2952" s="26"/>
      <c r="M2952" s="26"/>
      <c r="N2952" s="26"/>
      <c r="O2952" s="93"/>
      <c r="P2952" s="95"/>
      <c r="Q2952" s="197"/>
    </row>
    <row r="2953" spans="3:17" x14ac:dyDescent="0.25">
      <c r="C2953" s="199"/>
      <c r="D2953" s="112"/>
      <c r="E2953" s="33"/>
      <c r="F2953" s="105"/>
      <c r="H2953" s="116"/>
      <c r="I2953" s="26"/>
      <c r="J2953" s="98"/>
      <c r="K2953" s="36"/>
      <c r="L2953" s="26"/>
      <c r="M2953" s="26"/>
      <c r="N2953" s="26"/>
      <c r="O2953" s="93"/>
      <c r="P2953" s="95"/>
      <c r="Q2953" s="197"/>
    </row>
    <row r="2954" spans="3:17" x14ac:dyDescent="0.25">
      <c r="C2954" s="199"/>
      <c r="D2954" s="112"/>
      <c r="E2954" s="33"/>
      <c r="F2954" s="105"/>
      <c r="H2954" s="116"/>
      <c r="I2954" s="26"/>
      <c r="J2954" s="98"/>
      <c r="K2954" s="36"/>
      <c r="L2954" s="26"/>
      <c r="M2954" s="26"/>
      <c r="N2954" s="26"/>
      <c r="O2954" s="93"/>
      <c r="P2954" s="95"/>
      <c r="Q2954" s="197"/>
    </row>
    <row r="2955" spans="3:17" x14ac:dyDescent="0.25">
      <c r="C2955" s="199"/>
      <c r="D2955" s="112"/>
      <c r="E2955" s="33"/>
      <c r="F2955" s="105"/>
      <c r="H2955" s="116"/>
      <c r="I2955" s="26"/>
      <c r="J2955" s="98"/>
      <c r="K2955" s="36"/>
      <c r="L2955" s="26"/>
      <c r="M2955" s="26"/>
      <c r="N2955" s="26"/>
      <c r="O2955" s="93"/>
      <c r="P2955" s="95"/>
      <c r="Q2955" s="197"/>
    </row>
    <row r="2956" spans="3:17" x14ac:dyDescent="0.25">
      <c r="C2956" s="199"/>
      <c r="D2956" s="112"/>
      <c r="E2956" s="33"/>
      <c r="F2956" s="105"/>
      <c r="H2956" s="116"/>
      <c r="I2956" s="26"/>
      <c r="J2956" s="98"/>
      <c r="K2956" s="36"/>
      <c r="L2956" s="26"/>
      <c r="M2956" s="26"/>
      <c r="N2956" s="26"/>
      <c r="O2956" s="93"/>
      <c r="P2956" s="95"/>
      <c r="Q2956" s="197"/>
    </row>
    <row r="2957" spans="3:17" x14ac:dyDescent="0.25">
      <c r="C2957" s="199"/>
      <c r="D2957" s="112"/>
      <c r="E2957" s="33"/>
      <c r="F2957" s="105"/>
      <c r="H2957" s="116"/>
      <c r="I2957" s="26"/>
      <c r="J2957" s="98"/>
      <c r="K2957" s="36"/>
      <c r="L2957" s="26"/>
      <c r="M2957" s="26"/>
      <c r="N2957" s="26"/>
      <c r="O2957" s="93"/>
      <c r="P2957" s="95"/>
      <c r="Q2957" s="197"/>
    </row>
    <row r="2958" spans="3:17" x14ac:dyDescent="0.25">
      <c r="C2958" s="199"/>
      <c r="D2958" s="112"/>
      <c r="E2958" s="33"/>
      <c r="F2958" s="105"/>
      <c r="H2958" s="116"/>
      <c r="I2958" s="26"/>
      <c r="J2958" s="98"/>
      <c r="K2958" s="36"/>
      <c r="L2958" s="26"/>
      <c r="M2958" s="26"/>
      <c r="N2958" s="26"/>
      <c r="O2958" s="93"/>
      <c r="P2958" s="95"/>
      <c r="Q2958" s="197"/>
    </row>
    <row r="2959" spans="3:17" x14ac:dyDescent="0.25">
      <c r="C2959" s="199"/>
      <c r="D2959" s="112"/>
      <c r="E2959" s="33"/>
      <c r="F2959" s="105"/>
      <c r="H2959" s="116"/>
      <c r="I2959" s="26"/>
      <c r="J2959" s="98"/>
      <c r="K2959" s="36"/>
      <c r="L2959" s="26"/>
      <c r="M2959" s="26"/>
      <c r="N2959" s="26"/>
      <c r="O2959" s="93"/>
      <c r="P2959" s="95"/>
      <c r="Q2959" s="197"/>
    </row>
    <row r="2960" spans="3:17" x14ac:dyDescent="0.25">
      <c r="C2960" s="199"/>
      <c r="D2960" s="112"/>
      <c r="E2960" s="33"/>
      <c r="F2960" s="105"/>
      <c r="H2960" s="116"/>
      <c r="I2960" s="26"/>
      <c r="J2960" s="98"/>
      <c r="K2960" s="36"/>
      <c r="L2960" s="26"/>
      <c r="M2960" s="26"/>
      <c r="N2960" s="26"/>
      <c r="O2960" s="93"/>
      <c r="P2960" s="95"/>
      <c r="Q2960" s="197"/>
    </row>
    <row r="2961" spans="3:17" x14ac:dyDescent="0.25">
      <c r="C2961" s="199"/>
      <c r="D2961" s="112"/>
      <c r="E2961" s="33"/>
      <c r="F2961" s="105"/>
      <c r="H2961" s="116"/>
      <c r="I2961" s="26"/>
      <c r="J2961" s="98"/>
      <c r="K2961" s="36"/>
      <c r="L2961" s="26"/>
      <c r="M2961" s="26"/>
      <c r="N2961" s="26"/>
      <c r="O2961" s="93"/>
      <c r="P2961" s="95"/>
      <c r="Q2961" s="197"/>
    </row>
    <row r="2962" spans="3:17" x14ac:dyDescent="0.25">
      <c r="C2962" s="199"/>
      <c r="D2962" s="112"/>
      <c r="E2962" s="33"/>
      <c r="F2962" s="105"/>
      <c r="H2962" s="116"/>
      <c r="I2962" s="26"/>
      <c r="J2962" s="98"/>
      <c r="K2962" s="36"/>
      <c r="L2962" s="26"/>
      <c r="M2962" s="26"/>
      <c r="N2962" s="26"/>
      <c r="O2962" s="93"/>
      <c r="P2962" s="95"/>
      <c r="Q2962" s="197"/>
    </row>
    <row r="2963" spans="3:17" x14ac:dyDescent="0.25">
      <c r="C2963" s="199"/>
      <c r="D2963" s="112"/>
      <c r="E2963" s="33"/>
      <c r="F2963" s="105"/>
      <c r="H2963" s="116"/>
      <c r="I2963" s="26"/>
      <c r="J2963" s="98"/>
      <c r="K2963" s="36"/>
      <c r="L2963" s="26"/>
      <c r="M2963" s="26"/>
      <c r="N2963" s="26"/>
      <c r="O2963" s="93"/>
      <c r="P2963" s="95"/>
      <c r="Q2963" s="197"/>
    </row>
    <row r="2964" spans="3:17" x14ac:dyDescent="0.25">
      <c r="C2964" s="199"/>
      <c r="D2964" s="112"/>
      <c r="E2964" s="33"/>
      <c r="F2964" s="105"/>
      <c r="H2964" s="116"/>
      <c r="I2964" s="26"/>
      <c r="J2964" s="98"/>
      <c r="K2964" s="36"/>
      <c r="L2964" s="26"/>
      <c r="M2964" s="26"/>
      <c r="N2964" s="26"/>
      <c r="O2964" s="93"/>
      <c r="P2964" s="95"/>
      <c r="Q2964" s="197"/>
    </row>
    <row r="2965" spans="3:17" x14ac:dyDescent="0.25">
      <c r="C2965" s="199"/>
      <c r="D2965" s="112"/>
      <c r="E2965" s="33"/>
      <c r="F2965" s="105"/>
      <c r="H2965" s="116"/>
      <c r="I2965" s="26"/>
      <c r="J2965" s="98"/>
      <c r="K2965" s="36"/>
      <c r="L2965" s="26"/>
      <c r="M2965" s="26"/>
      <c r="N2965" s="26"/>
      <c r="O2965" s="93"/>
      <c r="P2965" s="95"/>
      <c r="Q2965" s="197"/>
    </row>
    <row r="2966" spans="3:17" x14ac:dyDescent="0.25">
      <c r="C2966" s="199"/>
      <c r="D2966" s="112"/>
      <c r="E2966" s="33"/>
      <c r="F2966" s="105"/>
      <c r="H2966" s="116"/>
      <c r="I2966" s="26"/>
      <c r="J2966" s="98"/>
      <c r="K2966" s="36"/>
      <c r="L2966" s="26"/>
      <c r="M2966" s="26"/>
      <c r="N2966" s="26"/>
      <c r="O2966" s="93"/>
      <c r="P2966" s="95"/>
      <c r="Q2966" s="197"/>
    </row>
    <row r="2967" spans="3:17" x14ac:dyDescent="0.25">
      <c r="C2967" s="199"/>
      <c r="D2967" s="112"/>
      <c r="E2967" s="33"/>
      <c r="F2967" s="105"/>
      <c r="H2967" s="116"/>
      <c r="I2967" s="26"/>
      <c r="J2967" s="98"/>
      <c r="K2967" s="36"/>
      <c r="L2967" s="26"/>
      <c r="M2967" s="26"/>
      <c r="N2967" s="26"/>
      <c r="O2967" s="93"/>
      <c r="P2967" s="95"/>
      <c r="Q2967" s="197"/>
    </row>
    <row r="2968" spans="3:17" x14ac:dyDescent="0.25">
      <c r="C2968" s="199"/>
      <c r="D2968" s="112"/>
      <c r="E2968" s="33"/>
      <c r="F2968" s="105"/>
      <c r="H2968" s="116"/>
      <c r="I2968" s="26"/>
      <c r="J2968" s="98"/>
      <c r="K2968" s="36"/>
      <c r="L2968" s="26"/>
      <c r="M2968" s="26"/>
      <c r="N2968" s="26"/>
      <c r="O2968" s="93"/>
      <c r="P2968" s="95"/>
      <c r="Q2968" s="197"/>
    </row>
    <row r="2969" spans="3:17" x14ac:dyDescent="0.25">
      <c r="C2969" s="199"/>
      <c r="D2969" s="112"/>
      <c r="E2969" s="33"/>
      <c r="F2969" s="105"/>
      <c r="H2969" s="116"/>
      <c r="I2969" s="26"/>
      <c r="J2969" s="98"/>
      <c r="K2969" s="36"/>
      <c r="L2969" s="26"/>
      <c r="M2969" s="26"/>
      <c r="N2969" s="26"/>
      <c r="O2969" s="93"/>
      <c r="P2969" s="95"/>
      <c r="Q2969" s="197"/>
    </row>
    <row r="2970" spans="3:17" x14ac:dyDescent="0.25">
      <c r="C2970" s="199"/>
      <c r="D2970" s="112"/>
      <c r="E2970" s="33"/>
      <c r="F2970" s="105"/>
      <c r="H2970" s="116"/>
      <c r="I2970" s="26"/>
      <c r="J2970" s="98"/>
      <c r="K2970" s="36"/>
      <c r="L2970" s="26"/>
      <c r="M2970" s="26"/>
      <c r="N2970" s="26"/>
      <c r="O2970" s="93"/>
      <c r="P2970" s="95"/>
      <c r="Q2970" s="197"/>
    </row>
    <row r="2971" spans="3:17" x14ac:dyDescent="0.25">
      <c r="C2971" s="199"/>
      <c r="D2971" s="112"/>
      <c r="E2971" s="33"/>
      <c r="F2971" s="105"/>
      <c r="H2971" s="116"/>
      <c r="I2971" s="26"/>
      <c r="J2971" s="98"/>
      <c r="K2971" s="36"/>
      <c r="L2971" s="26"/>
      <c r="M2971" s="26"/>
      <c r="N2971" s="26"/>
      <c r="O2971" s="93"/>
      <c r="P2971" s="95"/>
      <c r="Q2971" s="197"/>
    </row>
    <row r="2972" spans="3:17" x14ac:dyDescent="0.25">
      <c r="C2972" s="199"/>
      <c r="D2972" s="112"/>
      <c r="E2972" s="33"/>
      <c r="F2972" s="105"/>
      <c r="H2972" s="116"/>
      <c r="I2972" s="26"/>
      <c r="J2972" s="98"/>
      <c r="K2972" s="36"/>
      <c r="L2972" s="26"/>
      <c r="M2972" s="26"/>
      <c r="N2972" s="26"/>
      <c r="O2972" s="93"/>
      <c r="P2972" s="95"/>
      <c r="Q2972" s="197"/>
    </row>
    <row r="2973" spans="3:17" x14ac:dyDescent="0.25">
      <c r="C2973" s="199"/>
      <c r="D2973" s="112"/>
      <c r="E2973" s="33"/>
      <c r="F2973" s="105"/>
      <c r="H2973" s="116"/>
      <c r="I2973" s="26"/>
      <c r="J2973" s="98"/>
      <c r="K2973" s="36"/>
      <c r="L2973" s="26"/>
      <c r="M2973" s="26"/>
      <c r="N2973" s="26"/>
      <c r="O2973" s="93"/>
      <c r="P2973" s="95"/>
      <c r="Q2973" s="197"/>
    </row>
    <row r="2974" spans="3:17" x14ac:dyDescent="0.25">
      <c r="C2974" s="199"/>
      <c r="D2974" s="112"/>
      <c r="E2974" s="33"/>
      <c r="F2974" s="105"/>
      <c r="H2974" s="116"/>
      <c r="I2974" s="26"/>
      <c r="J2974" s="98"/>
      <c r="K2974" s="36"/>
      <c r="L2974" s="26"/>
      <c r="M2974" s="26"/>
      <c r="N2974" s="26"/>
      <c r="O2974" s="93"/>
      <c r="P2974" s="95"/>
      <c r="Q2974" s="197"/>
    </row>
    <row r="2975" spans="3:17" x14ac:dyDescent="0.25">
      <c r="C2975" s="199"/>
      <c r="D2975" s="112"/>
      <c r="E2975" s="33"/>
      <c r="F2975" s="105"/>
      <c r="H2975" s="116"/>
      <c r="I2975" s="26"/>
      <c r="J2975" s="98"/>
      <c r="K2975" s="36"/>
      <c r="L2975" s="26"/>
      <c r="M2975" s="26"/>
      <c r="N2975" s="26"/>
      <c r="O2975" s="93"/>
      <c r="P2975" s="95"/>
      <c r="Q2975" s="197"/>
    </row>
    <row r="2976" spans="3:17" x14ac:dyDescent="0.25">
      <c r="C2976" s="199"/>
      <c r="D2976" s="112"/>
      <c r="E2976" s="33"/>
      <c r="F2976" s="105"/>
      <c r="H2976" s="116"/>
      <c r="I2976" s="26"/>
      <c r="J2976" s="98"/>
      <c r="K2976" s="36"/>
      <c r="L2976" s="26"/>
      <c r="M2976" s="26"/>
      <c r="N2976" s="26"/>
      <c r="O2976" s="93"/>
      <c r="P2976" s="95"/>
      <c r="Q2976" s="197"/>
    </row>
    <row r="2977" spans="3:17" x14ac:dyDescent="0.25">
      <c r="C2977" s="199"/>
      <c r="D2977" s="112"/>
      <c r="E2977" s="33"/>
      <c r="F2977" s="105"/>
      <c r="H2977" s="116"/>
      <c r="I2977" s="26"/>
      <c r="J2977" s="98"/>
      <c r="K2977" s="36"/>
      <c r="L2977" s="26"/>
      <c r="M2977" s="26"/>
      <c r="N2977" s="26"/>
      <c r="O2977" s="93"/>
      <c r="P2977" s="95"/>
      <c r="Q2977" s="197"/>
    </row>
    <row r="2978" spans="3:17" x14ac:dyDescent="0.25">
      <c r="C2978" s="199"/>
      <c r="D2978" s="112"/>
      <c r="E2978" s="33"/>
      <c r="F2978" s="105"/>
      <c r="H2978" s="116"/>
      <c r="I2978" s="26"/>
      <c r="J2978" s="98"/>
      <c r="K2978" s="36"/>
      <c r="L2978" s="26"/>
      <c r="M2978" s="26"/>
      <c r="N2978" s="26"/>
      <c r="O2978" s="93"/>
      <c r="P2978" s="95"/>
      <c r="Q2978" s="197"/>
    </row>
    <row r="2979" spans="3:17" x14ac:dyDescent="0.25">
      <c r="C2979" s="199"/>
      <c r="D2979" s="112"/>
      <c r="E2979" s="33"/>
      <c r="F2979" s="105"/>
      <c r="H2979" s="116"/>
      <c r="I2979" s="26"/>
      <c r="J2979" s="98"/>
      <c r="K2979" s="36"/>
      <c r="L2979" s="26"/>
      <c r="M2979" s="26"/>
      <c r="N2979" s="26"/>
      <c r="O2979" s="93"/>
      <c r="P2979" s="95"/>
      <c r="Q2979" s="197"/>
    </row>
    <row r="2980" spans="3:17" x14ac:dyDescent="0.25">
      <c r="C2980" s="199"/>
      <c r="D2980" s="112"/>
      <c r="E2980" s="33"/>
      <c r="F2980" s="105"/>
      <c r="H2980" s="116"/>
      <c r="I2980" s="26"/>
      <c r="J2980" s="98"/>
      <c r="K2980" s="36"/>
      <c r="L2980" s="26"/>
      <c r="M2980" s="26"/>
      <c r="N2980" s="26"/>
      <c r="O2980" s="93"/>
      <c r="P2980" s="95"/>
      <c r="Q2980" s="197"/>
    </row>
    <row r="2981" spans="3:17" x14ac:dyDescent="0.25">
      <c r="C2981" s="199"/>
      <c r="D2981" s="112"/>
      <c r="E2981" s="33"/>
      <c r="F2981" s="105"/>
      <c r="H2981" s="116"/>
      <c r="I2981" s="26"/>
      <c r="J2981" s="98"/>
      <c r="K2981" s="36"/>
      <c r="L2981" s="26"/>
      <c r="M2981" s="26"/>
      <c r="N2981" s="26"/>
      <c r="O2981" s="93"/>
      <c r="P2981" s="95"/>
      <c r="Q2981" s="197"/>
    </row>
    <row r="2982" spans="3:17" x14ac:dyDescent="0.25">
      <c r="C2982" s="199"/>
      <c r="D2982" s="112"/>
      <c r="E2982" s="33"/>
      <c r="F2982" s="105"/>
      <c r="H2982" s="116"/>
      <c r="I2982" s="26"/>
      <c r="J2982" s="98"/>
      <c r="K2982" s="36"/>
      <c r="L2982" s="26"/>
      <c r="M2982" s="26"/>
      <c r="N2982" s="26"/>
      <c r="O2982" s="93"/>
      <c r="P2982" s="95"/>
      <c r="Q2982" s="197"/>
    </row>
    <row r="2983" spans="3:17" x14ac:dyDescent="0.25">
      <c r="C2983" s="199"/>
      <c r="D2983" s="112"/>
      <c r="E2983" s="33"/>
      <c r="F2983" s="105"/>
      <c r="H2983" s="116"/>
      <c r="I2983" s="26"/>
      <c r="J2983" s="98"/>
      <c r="K2983" s="36"/>
      <c r="L2983" s="26"/>
      <c r="M2983" s="26"/>
      <c r="N2983" s="26"/>
      <c r="O2983" s="93"/>
      <c r="P2983" s="95"/>
      <c r="Q2983" s="197"/>
    </row>
    <row r="2984" spans="3:17" x14ac:dyDescent="0.25">
      <c r="C2984" s="199"/>
      <c r="D2984" s="112"/>
      <c r="E2984" s="33"/>
      <c r="F2984" s="105"/>
      <c r="H2984" s="116"/>
      <c r="I2984" s="26"/>
      <c r="J2984" s="98"/>
      <c r="K2984" s="36"/>
      <c r="L2984" s="26"/>
      <c r="M2984" s="26"/>
      <c r="N2984" s="26"/>
      <c r="O2984" s="93"/>
      <c r="P2984" s="95"/>
      <c r="Q2984" s="197"/>
    </row>
    <row r="2985" spans="3:17" x14ac:dyDescent="0.25">
      <c r="C2985" s="199"/>
      <c r="D2985" s="112"/>
      <c r="E2985" s="33"/>
      <c r="F2985" s="105"/>
      <c r="H2985" s="116"/>
      <c r="I2985" s="26"/>
      <c r="J2985" s="98"/>
      <c r="K2985" s="36"/>
      <c r="L2985" s="26"/>
      <c r="M2985" s="26"/>
      <c r="N2985" s="26"/>
      <c r="O2985" s="93"/>
      <c r="P2985" s="95"/>
      <c r="Q2985" s="197"/>
    </row>
    <row r="2986" spans="3:17" x14ac:dyDescent="0.25">
      <c r="C2986" s="199"/>
      <c r="D2986" s="112"/>
      <c r="E2986" s="33"/>
      <c r="F2986" s="105"/>
      <c r="H2986" s="116"/>
      <c r="I2986" s="26"/>
      <c r="J2986" s="98"/>
      <c r="K2986" s="36"/>
      <c r="L2986" s="26"/>
      <c r="M2986" s="26"/>
      <c r="N2986" s="26"/>
      <c r="O2986" s="93"/>
      <c r="P2986" s="95"/>
      <c r="Q2986" s="197"/>
    </row>
    <row r="2987" spans="3:17" x14ac:dyDescent="0.25">
      <c r="C2987" s="199"/>
      <c r="D2987" s="112"/>
      <c r="E2987" s="33"/>
      <c r="F2987" s="105"/>
      <c r="H2987" s="116"/>
      <c r="I2987" s="26"/>
      <c r="J2987" s="98"/>
      <c r="K2987" s="36"/>
      <c r="L2987" s="26"/>
      <c r="M2987" s="26"/>
      <c r="N2987" s="26"/>
      <c r="O2987" s="93"/>
      <c r="P2987" s="95"/>
      <c r="Q2987" s="197"/>
    </row>
    <row r="2988" spans="3:17" x14ac:dyDescent="0.25">
      <c r="C2988" s="199"/>
      <c r="D2988" s="112"/>
      <c r="E2988" s="33"/>
      <c r="F2988" s="105"/>
      <c r="H2988" s="116"/>
      <c r="I2988" s="26"/>
      <c r="J2988" s="98"/>
      <c r="K2988" s="36"/>
      <c r="L2988" s="26"/>
      <c r="M2988" s="26"/>
      <c r="N2988" s="26"/>
      <c r="O2988" s="93"/>
      <c r="P2988" s="95"/>
      <c r="Q2988" s="197"/>
    </row>
    <row r="2989" spans="3:17" x14ac:dyDescent="0.25">
      <c r="C2989" s="199"/>
      <c r="D2989" s="112"/>
      <c r="E2989" s="33"/>
      <c r="F2989" s="105"/>
      <c r="H2989" s="116"/>
      <c r="I2989" s="26"/>
      <c r="J2989" s="98"/>
      <c r="K2989" s="36"/>
      <c r="L2989" s="26"/>
      <c r="M2989" s="26"/>
      <c r="N2989" s="26"/>
      <c r="O2989" s="93"/>
      <c r="P2989" s="95"/>
      <c r="Q2989" s="197"/>
    </row>
    <row r="2990" spans="3:17" x14ac:dyDescent="0.25">
      <c r="C2990" s="199"/>
      <c r="D2990" s="112"/>
      <c r="E2990" s="33"/>
      <c r="F2990" s="105"/>
      <c r="H2990" s="116"/>
      <c r="I2990" s="26"/>
      <c r="J2990" s="98"/>
      <c r="K2990" s="36"/>
      <c r="L2990" s="26"/>
      <c r="M2990" s="26"/>
      <c r="N2990" s="26"/>
      <c r="O2990" s="93"/>
      <c r="P2990" s="95"/>
      <c r="Q2990" s="197"/>
    </row>
    <row r="2991" spans="3:17" x14ac:dyDescent="0.25">
      <c r="C2991" s="199"/>
      <c r="D2991" s="112"/>
      <c r="E2991" s="33"/>
      <c r="F2991" s="105"/>
      <c r="H2991" s="116"/>
      <c r="I2991" s="26"/>
      <c r="J2991" s="98"/>
      <c r="K2991" s="36"/>
      <c r="L2991" s="26"/>
      <c r="M2991" s="26"/>
      <c r="N2991" s="26"/>
      <c r="O2991" s="93"/>
      <c r="P2991" s="95"/>
      <c r="Q2991" s="197"/>
    </row>
    <row r="2992" spans="3:17" x14ac:dyDescent="0.25">
      <c r="C2992" s="199"/>
      <c r="D2992" s="112"/>
      <c r="E2992" s="33"/>
      <c r="F2992" s="105"/>
      <c r="H2992" s="116"/>
      <c r="I2992" s="26"/>
      <c r="J2992" s="98"/>
      <c r="K2992" s="36"/>
      <c r="L2992" s="26"/>
      <c r="M2992" s="26"/>
      <c r="N2992" s="26"/>
      <c r="O2992" s="93"/>
      <c r="P2992" s="95"/>
      <c r="Q2992" s="197"/>
    </row>
    <row r="2993" spans="3:17" x14ac:dyDescent="0.25">
      <c r="C2993" s="199"/>
      <c r="D2993" s="112"/>
      <c r="E2993" s="33"/>
      <c r="F2993" s="105"/>
      <c r="H2993" s="116"/>
      <c r="I2993" s="26"/>
      <c r="J2993" s="98"/>
      <c r="K2993" s="36"/>
      <c r="L2993" s="26"/>
      <c r="M2993" s="26"/>
      <c r="N2993" s="26"/>
      <c r="O2993" s="93"/>
      <c r="P2993" s="95"/>
      <c r="Q2993" s="197"/>
    </row>
    <row r="2994" spans="3:17" x14ac:dyDescent="0.25">
      <c r="C2994" s="199"/>
      <c r="D2994" s="112"/>
      <c r="E2994" s="33"/>
      <c r="F2994" s="105"/>
      <c r="H2994" s="116"/>
      <c r="I2994" s="26"/>
      <c r="J2994" s="98"/>
      <c r="K2994" s="36"/>
      <c r="L2994" s="26"/>
      <c r="M2994" s="26"/>
      <c r="N2994" s="26"/>
      <c r="O2994" s="93"/>
      <c r="P2994" s="95"/>
      <c r="Q2994" s="197"/>
    </row>
    <row r="2995" spans="3:17" x14ac:dyDescent="0.25">
      <c r="C2995" s="199"/>
      <c r="D2995" s="112"/>
      <c r="E2995" s="33"/>
      <c r="F2995" s="105"/>
      <c r="H2995" s="116"/>
      <c r="I2995" s="26"/>
      <c r="J2995" s="98"/>
      <c r="K2995" s="36"/>
      <c r="L2995" s="26"/>
      <c r="M2995" s="26"/>
      <c r="N2995" s="26"/>
      <c r="O2995" s="93"/>
      <c r="P2995" s="95"/>
      <c r="Q2995" s="197"/>
    </row>
    <row r="2996" spans="3:17" x14ac:dyDescent="0.25">
      <c r="C2996" s="199"/>
      <c r="D2996" s="112"/>
      <c r="E2996" s="33"/>
      <c r="F2996" s="105"/>
      <c r="H2996" s="116"/>
      <c r="I2996" s="26"/>
      <c r="J2996" s="98"/>
      <c r="K2996" s="36"/>
      <c r="L2996" s="26"/>
      <c r="M2996" s="26"/>
      <c r="N2996" s="26"/>
      <c r="O2996" s="93"/>
      <c r="P2996" s="95"/>
      <c r="Q2996" s="197"/>
    </row>
    <row r="2997" spans="3:17" x14ac:dyDescent="0.25">
      <c r="C2997" s="199"/>
      <c r="D2997" s="112"/>
      <c r="E2997" s="33"/>
      <c r="F2997" s="105"/>
      <c r="H2997" s="116"/>
      <c r="I2997" s="26"/>
      <c r="J2997" s="98"/>
      <c r="K2997" s="36"/>
      <c r="L2997" s="26"/>
      <c r="M2997" s="26"/>
      <c r="N2997" s="26"/>
      <c r="O2997" s="93"/>
      <c r="P2997" s="95"/>
      <c r="Q2997" s="197"/>
    </row>
    <row r="2998" spans="3:17" x14ac:dyDescent="0.25">
      <c r="C2998" s="199"/>
      <c r="D2998" s="112"/>
      <c r="E2998" s="33"/>
      <c r="F2998" s="105"/>
      <c r="H2998" s="116"/>
      <c r="I2998" s="26"/>
      <c r="J2998" s="98"/>
      <c r="K2998" s="36"/>
      <c r="L2998" s="26"/>
      <c r="M2998" s="26"/>
      <c r="N2998" s="26"/>
      <c r="O2998" s="93"/>
      <c r="P2998" s="95"/>
      <c r="Q2998" s="197"/>
    </row>
    <row r="2999" spans="3:17" x14ac:dyDescent="0.25">
      <c r="C2999" s="199"/>
      <c r="D2999" s="112"/>
      <c r="E2999" s="33"/>
      <c r="F2999" s="105"/>
      <c r="H2999" s="116"/>
      <c r="I2999" s="26"/>
      <c r="J2999" s="98"/>
      <c r="K2999" s="36"/>
      <c r="L2999" s="26"/>
      <c r="M2999" s="26"/>
      <c r="N2999" s="26"/>
      <c r="O2999" s="93"/>
      <c r="P2999" s="95"/>
      <c r="Q2999" s="197"/>
    </row>
    <row r="3000" spans="3:17" x14ac:dyDescent="0.25">
      <c r="C3000" s="199"/>
      <c r="D3000" s="112"/>
      <c r="E3000" s="33"/>
      <c r="F3000" s="105"/>
      <c r="H3000" s="116"/>
      <c r="I3000" s="26"/>
      <c r="J3000" s="98"/>
      <c r="K3000" s="36"/>
      <c r="L3000" s="26"/>
      <c r="M3000" s="26"/>
      <c r="N3000" s="26"/>
      <c r="O3000" s="93"/>
      <c r="P3000" s="95"/>
      <c r="Q3000" s="197"/>
    </row>
    <row r="3001" spans="3:17" x14ac:dyDescent="0.25">
      <c r="C3001" s="199"/>
      <c r="D3001" s="112"/>
      <c r="E3001" s="33"/>
      <c r="F3001" s="105"/>
      <c r="H3001" s="116"/>
      <c r="I3001" s="26"/>
      <c r="J3001" s="98"/>
      <c r="K3001" s="36"/>
      <c r="L3001" s="26"/>
      <c r="M3001" s="26"/>
      <c r="N3001" s="26"/>
      <c r="O3001" s="93"/>
      <c r="P3001" s="95"/>
      <c r="Q3001" s="197"/>
    </row>
    <row r="3002" spans="3:17" x14ac:dyDescent="0.25">
      <c r="C3002" s="199"/>
      <c r="D3002" s="112"/>
      <c r="E3002" s="33"/>
      <c r="F3002" s="105"/>
      <c r="H3002" s="116"/>
      <c r="I3002" s="26"/>
      <c r="J3002" s="98"/>
      <c r="K3002" s="36"/>
      <c r="L3002" s="26"/>
      <c r="M3002" s="26"/>
      <c r="N3002" s="26"/>
      <c r="O3002" s="93"/>
      <c r="P3002" s="95"/>
      <c r="Q3002" s="197"/>
    </row>
    <row r="3003" spans="3:17" x14ac:dyDescent="0.25">
      <c r="C3003" s="199"/>
      <c r="D3003" s="112"/>
      <c r="E3003" s="33"/>
      <c r="F3003" s="105"/>
      <c r="H3003" s="116"/>
      <c r="I3003" s="26"/>
      <c r="J3003" s="98"/>
      <c r="K3003" s="36"/>
      <c r="L3003" s="26"/>
      <c r="M3003" s="26"/>
      <c r="N3003" s="26"/>
      <c r="O3003" s="93"/>
      <c r="P3003" s="95"/>
      <c r="Q3003" s="197"/>
    </row>
    <row r="3004" spans="3:17" x14ac:dyDescent="0.25">
      <c r="C3004" s="199"/>
      <c r="D3004" s="112"/>
      <c r="E3004" s="33"/>
      <c r="F3004" s="105"/>
      <c r="H3004" s="116"/>
      <c r="I3004" s="26"/>
      <c r="J3004" s="98"/>
      <c r="K3004" s="36"/>
      <c r="L3004" s="26"/>
      <c r="M3004" s="26"/>
      <c r="N3004" s="26"/>
      <c r="O3004" s="93"/>
      <c r="P3004" s="95"/>
      <c r="Q3004" s="197"/>
    </row>
    <row r="3005" spans="3:17" x14ac:dyDescent="0.25">
      <c r="C3005" s="199"/>
      <c r="D3005" s="112"/>
      <c r="E3005" s="33"/>
      <c r="F3005" s="105"/>
      <c r="H3005" s="116"/>
      <c r="I3005" s="26"/>
      <c r="J3005" s="98"/>
      <c r="K3005" s="36"/>
      <c r="L3005" s="26"/>
      <c r="M3005" s="26"/>
      <c r="N3005" s="26"/>
      <c r="O3005" s="93"/>
      <c r="P3005" s="95"/>
      <c r="Q3005" s="197"/>
    </row>
    <row r="3006" spans="3:17" x14ac:dyDescent="0.25">
      <c r="C3006" s="199"/>
      <c r="D3006" s="112"/>
      <c r="E3006" s="33"/>
      <c r="F3006" s="105"/>
      <c r="H3006" s="116"/>
      <c r="I3006" s="26"/>
      <c r="J3006" s="98"/>
      <c r="K3006" s="36"/>
      <c r="L3006" s="26"/>
      <c r="M3006" s="26"/>
      <c r="N3006" s="26"/>
      <c r="O3006" s="93"/>
      <c r="P3006" s="95"/>
      <c r="Q3006" s="197"/>
    </row>
    <row r="3007" spans="3:17" x14ac:dyDescent="0.25">
      <c r="C3007" s="199"/>
      <c r="D3007" s="112"/>
      <c r="E3007" s="33"/>
      <c r="F3007" s="105"/>
      <c r="H3007" s="116"/>
      <c r="I3007" s="26"/>
      <c r="J3007" s="98"/>
      <c r="K3007" s="36"/>
      <c r="L3007" s="26"/>
      <c r="M3007" s="26"/>
      <c r="N3007" s="26"/>
      <c r="O3007" s="93"/>
      <c r="P3007" s="95"/>
      <c r="Q3007" s="197"/>
    </row>
    <row r="3008" spans="3:17" x14ac:dyDescent="0.25">
      <c r="C3008" s="199"/>
      <c r="D3008" s="112"/>
      <c r="E3008" s="33"/>
      <c r="F3008" s="105"/>
      <c r="H3008" s="116"/>
      <c r="I3008" s="26"/>
      <c r="J3008" s="98"/>
      <c r="K3008" s="36"/>
      <c r="L3008" s="26"/>
      <c r="M3008" s="26"/>
      <c r="N3008" s="26"/>
      <c r="O3008" s="93"/>
      <c r="P3008" s="95"/>
      <c r="Q3008" s="197"/>
    </row>
    <row r="3009" spans="3:17" x14ac:dyDescent="0.25">
      <c r="C3009" s="199"/>
      <c r="D3009" s="112"/>
      <c r="E3009" s="33"/>
      <c r="F3009" s="105"/>
      <c r="H3009" s="116"/>
      <c r="I3009" s="26"/>
      <c r="J3009" s="98"/>
      <c r="K3009" s="36"/>
      <c r="L3009" s="26"/>
      <c r="M3009" s="26"/>
      <c r="N3009" s="26"/>
      <c r="O3009" s="93"/>
      <c r="P3009" s="95"/>
      <c r="Q3009" s="197"/>
    </row>
    <row r="3010" spans="3:17" x14ac:dyDescent="0.25">
      <c r="C3010" s="199"/>
      <c r="D3010" s="112"/>
      <c r="E3010" s="33"/>
      <c r="F3010" s="105"/>
      <c r="H3010" s="116"/>
      <c r="I3010" s="26"/>
      <c r="J3010" s="98"/>
      <c r="K3010" s="36"/>
      <c r="L3010" s="26"/>
      <c r="M3010" s="26"/>
      <c r="N3010" s="26"/>
      <c r="O3010" s="93"/>
      <c r="P3010" s="95"/>
      <c r="Q3010" s="197"/>
    </row>
    <row r="3011" spans="3:17" x14ac:dyDescent="0.25">
      <c r="C3011" s="199"/>
      <c r="D3011" s="112"/>
      <c r="E3011" s="33"/>
      <c r="F3011" s="105"/>
      <c r="H3011" s="116"/>
      <c r="I3011" s="26"/>
      <c r="J3011" s="98"/>
      <c r="K3011" s="36"/>
      <c r="L3011" s="26"/>
      <c r="M3011" s="26"/>
      <c r="N3011" s="26"/>
      <c r="O3011" s="93"/>
      <c r="P3011" s="95"/>
      <c r="Q3011" s="197"/>
    </row>
    <row r="3012" spans="3:17" x14ac:dyDescent="0.25">
      <c r="C3012" s="199"/>
      <c r="D3012" s="112"/>
      <c r="E3012" s="33"/>
      <c r="F3012" s="105"/>
      <c r="H3012" s="116"/>
      <c r="I3012" s="26"/>
      <c r="J3012" s="98"/>
      <c r="K3012" s="36"/>
      <c r="L3012" s="26"/>
      <c r="M3012" s="26"/>
      <c r="N3012" s="26"/>
      <c r="O3012" s="93"/>
      <c r="P3012" s="95"/>
      <c r="Q3012" s="197"/>
    </row>
    <row r="3013" spans="3:17" x14ac:dyDescent="0.25">
      <c r="C3013" s="199"/>
      <c r="D3013" s="112"/>
      <c r="E3013" s="33"/>
      <c r="F3013" s="105"/>
      <c r="H3013" s="116"/>
      <c r="I3013" s="26"/>
      <c r="J3013" s="98"/>
      <c r="K3013" s="36"/>
      <c r="L3013" s="26"/>
      <c r="M3013" s="26"/>
      <c r="N3013" s="26"/>
      <c r="O3013" s="93"/>
      <c r="P3013" s="95"/>
      <c r="Q3013" s="197"/>
    </row>
    <row r="3014" spans="3:17" x14ac:dyDescent="0.25">
      <c r="C3014" s="199"/>
      <c r="D3014" s="112"/>
      <c r="E3014" s="33"/>
      <c r="F3014" s="105"/>
      <c r="H3014" s="116"/>
      <c r="I3014" s="26"/>
      <c r="J3014" s="98"/>
      <c r="K3014" s="36"/>
      <c r="L3014" s="26"/>
      <c r="M3014" s="26"/>
      <c r="N3014" s="26"/>
      <c r="O3014" s="93"/>
      <c r="P3014" s="95"/>
      <c r="Q3014" s="197"/>
    </row>
    <row r="3015" spans="3:17" x14ac:dyDescent="0.25">
      <c r="C3015" s="199"/>
      <c r="D3015" s="112"/>
      <c r="E3015" s="33"/>
      <c r="F3015" s="105"/>
      <c r="H3015" s="116"/>
      <c r="I3015" s="26"/>
      <c r="J3015" s="98"/>
      <c r="K3015" s="36"/>
      <c r="L3015" s="26"/>
      <c r="M3015" s="26"/>
      <c r="N3015" s="26"/>
      <c r="O3015" s="93"/>
      <c r="P3015" s="95"/>
      <c r="Q3015" s="197"/>
    </row>
    <row r="3016" spans="3:17" x14ac:dyDescent="0.25">
      <c r="C3016" s="199"/>
      <c r="D3016" s="112"/>
      <c r="E3016" s="33"/>
      <c r="F3016" s="105"/>
      <c r="H3016" s="116"/>
      <c r="I3016" s="26"/>
      <c r="J3016" s="98"/>
      <c r="K3016" s="36"/>
      <c r="L3016" s="26"/>
      <c r="M3016" s="26"/>
      <c r="N3016" s="26"/>
      <c r="O3016" s="93"/>
      <c r="P3016" s="95"/>
      <c r="Q3016" s="197"/>
    </row>
    <row r="3017" spans="3:17" x14ac:dyDescent="0.25">
      <c r="C3017" s="199"/>
      <c r="D3017" s="112"/>
      <c r="E3017" s="33"/>
      <c r="F3017" s="105"/>
      <c r="H3017" s="116"/>
      <c r="I3017" s="26"/>
      <c r="J3017" s="98"/>
      <c r="K3017" s="36"/>
      <c r="L3017" s="26"/>
      <c r="M3017" s="26"/>
      <c r="N3017" s="26"/>
      <c r="O3017" s="93"/>
      <c r="P3017" s="95"/>
      <c r="Q3017" s="197"/>
    </row>
    <row r="3018" spans="3:17" x14ac:dyDescent="0.25">
      <c r="C3018" s="199"/>
      <c r="D3018" s="112"/>
      <c r="E3018" s="33"/>
      <c r="F3018" s="105"/>
      <c r="H3018" s="116"/>
      <c r="I3018" s="26"/>
      <c r="J3018" s="98"/>
      <c r="K3018" s="36"/>
      <c r="L3018" s="26"/>
      <c r="M3018" s="26"/>
      <c r="N3018" s="26"/>
      <c r="O3018" s="93"/>
      <c r="P3018" s="95"/>
      <c r="Q3018" s="197"/>
    </row>
    <row r="3019" spans="3:17" x14ac:dyDescent="0.25">
      <c r="C3019" s="199"/>
      <c r="D3019" s="112"/>
      <c r="E3019" s="33"/>
      <c r="F3019" s="105"/>
      <c r="H3019" s="116"/>
      <c r="I3019" s="26"/>
      <c r="J3019" s="98"/>
      <c r="K3019" s="36"/>
      <c r="L3019" s="26"/>
      <c r="M3019" s="26"/>
      <c r="N3019" s="26"/>
      <c r="O3019" s="93"/>
      <c r="P3019" s="95"/>
      <c r="Q3019" s="197"/>
    </row>
    <row r="3020" spans="3:17" x14ac:dyDescent="0.25">
      <c r="C3020" s="199"/>
      <c r="D3020" s="112"/>
      <c r="E3020" s="33"/>
      <c r="F3020" s="105"/>
      <c r="H3020" s="116"/>
      <c r="I3020" s="26"/>
      <c r="J3020" s="98"/>
      <c r="K3020" s="36"/>
      <c r="L3020" s="26"/>
      <c r="M3020" s="26"/>
      <c r="N3020" s="26"/>
      <c r="O3020" s="93"/>
      <c r="P3020" s="95"/>
      <c r="Q3020" s="197"/>
    </row>
    <row r="3021" spans="3:17" x14ac:dyDescent="0.25">
      <c r="C3021" s="199"/>
      <c r="D3021" s="112"/>
      <c r="E3021" s="33"/>
      <c r="F3021" s="105"/>
      <c r="H3021" s="116"/>
      <c r="I3021" s="26"/>
      <c r="J3021" s="98"/>
      <c r="K3021" s="36"/>
      <c r="L3021" s="26"/>
      <c r="M3021" s="26"/>
      <c r="N3021" s="26"/>
      <c r="O3021" s="93"/>
      <c r="P3021" s="95"/>
      <c r="Q3021" s="197"/>
    </row>
    <row r="3022" spans="3:17" x14ac:dyDescent="0.25">
      <c r="C3022" s="199"/>
      <c r="D3022" s="112"/>
      <c r="E3022" s="33"/>
      <c r="F3022" s="105"/>
      <c r="H3022" s="116"/>
      <c r="I3022" s="26"/>
      <c r="J3022" s="98"/>
      <c r="K3022" s="36"/>
      <c r="L3022" s="26"/>
      <c r="M3022" s="26"/>
      <c r="N3022" s="26"/>
      <c r="O3022" s="93"/>
      <c r="P3022" s="95"/>
      <c r="Q3022" s="197"/>
    </row>
    <row r="3023" spans="3:17" x14ac:dyDescent="0.25">
      <c r="C3023" s="199"/>
      <c r="D3023" s="112"/>
      <c r="E3023" s="33"/>
      <c r="F3023" s="105"/>
      <c r="H3023" s="116"/>
      <c r="I3023" s="26"/>
      <c r="J3023" s="98"/>
      <c r="K3023" s="36"/>
      <c r="L3023" s="26"/>
      <c r="M3023" s="26"/>
      <c r="N3023" s="26"/>
      <c r="O3023" s="93"/>
      <c r="P3023" s="95"/>
      <c r="Q3023" s="197"/>
    </row>
    <row r="3024" spans="3:17" x14ac:dyDescent="0.25">
      <c r="C3024" s="199"/>
      <c r="D3024" s="112"/>
      <c r="E3024" s="33"/>
      <c r="F3024" s="105"/>
      <c r="H3024" s="116"/>
      <c r="I3024" s="26"/>
      <c r="J3024" s="98"/>
      <c r="K3024" s="36"/>
      <c r="L3024" s="26"/>
      <c r="M3024" s="26"/>
      <c r="N3024" s="26"/>
      <c r="O3024" s="93"/>
      <c r="P3024" s="95"/>
      <c r="Q3024" s="197"/>
    </row>
    <row r="3025" spans="3:17" x14ac:dyDescent="0.25">
      <c r="C3025" s="199"/>
      <c r="D3025" s="112"/>
      <c r="E3025" s="33"/>
      <c r="F3025" s="105"/>
      <c r="H3025" s="116"/>
      <c r="I3025" s="26"/>
      <c r="J3025" s="98"/>
      <c r="K3025" s="36"/>
      <c r="L3025" s="26"/>
      <c r="M3025" s="26"/>
      <c r="N3025" s="26"/>
      <c r="O3025" s="93"/>
      <c r="P3025" s="95"/>
      <c r="Q3025" s="197"/>
    </row>
    <row r="3026" spans="3:17" x14ac:dyDescent="0.25">
      <c r="C3026" s="199"/>
      <c r="D3026" s="112"/>
      <c r="E3026" s="33"/>
      <c r="F3026" s="105"/>
      <c r="H3026" s="116"/>
      <c r="I3026" s="26"/>
      <c r="J3026" s="98"/>
      <c r="K3026" s="36"/>
      <c r="L3026" s="26"/>
      <c r="M3026" s="26"/>
      <c r="N3026" s="26"/>
      <c r="O3026" s="93"/>
      <c r="P3026" s="95"/>
      <c r="Q3026" s="197"/>
    </row>
    <row r="3027" spans="3:17" x14ac:dyDescent="0.25">
      <c r="C3027" s="199"/>
      <c r="D3027" s="112"/>
      <c r="E3027" s="33"/>
      <c r="F3027" s="105"/>
      <c r="H3027" s="116"/>
      <c r="I3027" s="26"/>
      <c r="J3027" s="98"/>
      <c r="K3027" s="36"/>
      <c r="L3027" s="26"/>
      <c r="M3027" s="26"/>
      <c r="N3027" s="26"/>
      <c r="O3027" s="93"/>
      <c r="P3027" s="95"/>
      <c r="Q3027" s="197"/>
    </row>
    <row r="3028" spans="3:17" x14ac:dyDescent="0.25">
      <c r="C3028" s="199"/>
      <c r="D3028" s="112"/>
      <c r="E3028" s="33"/>
      <c r="F3028" s="105"/>
      <c r="H3028" s="116"/>
      <c r="I3028" s="26"/>
      <c r="J3028" s="98"/>
      <c r="K3028" s="36"/>
      <c r="L3028" s="26"/>
      <c r="M3028" s="26"/>
      <c r="N3028" s="26"/>
      <c r="O3028" s="93"/>
      <c r="P3028" s="95"/>
      <c r="Q3028" s="197"/>
    </row>
    <row r="3029" spans="3:17" x14ac:dyDescent="0.25">
      <c r="C3029" s="199"/>
      <c r="D3029" s="112"/>
      <c r="E3029" s="33"/>
      <c r="F3029" s="105"/>
      <c r="H3029" s="116"/>
      <c r="I3029" s="26"/>
      <c r="J3029" s="98"/>
      <c r="K3029" s="36"/>
      <c r="L3029" s="26"/>
      <c r="M3029" s="26"/>
      <c r="N3029" s="26"/>
      <c r="O3029" s="93"/>
      <c r="P3029" s="95"/>
      <c r="Q3029" s="197"/>
    </row>
    <row r="3030" spans="3:17" x14ac:dyDescent="0.25">
      <c r="C3030" s="199"/>
      <c r="D3030" s="112"/>
      <c r="E3030" s="33"/>
      <c r="F3030" s="105"/>
      <c r="H3030" s="116"/>
      <c r="I3030" s="26"/>
      <c r="J3030" s="98"/>
      <c r="K3030" s="36"/>
      <c r="L3030" s="26"/>
      <c r="M3030" s="26"/>
      <c r="N3030" s="26"/>
      <c r="O3030" s="93"/>
      <c r="P3030" s="95"/>
      <c r="Q3030" s="197"/>
    </row>
    <row r="3031" spans="3:17" x14ac:dyDescent="0.25">
      <c r="C3031" s="199"/>
      <c r="D3031" s="112"/>
      <c r="E3031" s="33"/>
      <c r="F3031" s="105"/>
      <c r="H3031" s="116"/>
      <c r="I3031" s="26"/>
      <c r="J3031" s="98"/>
      <c r="K3031" s="36"/>
      <c r="L3031" s="26"/>
      <c r="M3031" s="26"/>
      <c r="N3031" s="26"/>
      <c r="O3031" s="93"/>
      <c r="P3031" s="95"/>
      <c r="Q3031" s="197"/>
    </row>
    <row r="3032" spans="3:17" x14ac:dyDescent="0.25">
      <c r="C3032" s="199"/>
      <c r="D3032" s="112"/>
      <c r="E3032" s="33"/>
      <c r="F3032" s="105"/>
      <c r="H3032" s="116"/>
      <c r="I3032" s="26"/>
      <c r="J3032" s="98"/>
      <c r="K3032" s="36"/>
      <c r="L3032" s="26"/>
      <c r="M3032" s="26"/>
      <c r="N3032" s="26"/>
      <c r="O3032" s="93"/>
      <c r="P3032" s="95"/>
      <c r="Q3032" s="197"/>
    </row>
    <row r="3033" spans="3:17" x14ac:dyDescent="0.25">
      <c r="C3033" s="199"/>
      <c r="D3033" s="112"/>
      <c r="E3033" s="33"/>
      <c r="F3033" s="105"/>
      <c r="H3033" s="116"/>
      <c r="I3033" s="26"/>
      <c r="J3033" s="98"/>
      <c r="K3033" s="36"/>
      <c r="L3033" s="26"/>
      <c r="M3033" s="26"/>
      <c r="N3033" s="26"/>
      <c r="O3033" s="93"/>
      <c r="P3033" s="95"/>
      <c r="Q3033" s="197"/>
    </row>
    <row r="3034" spans="3:17" x14ac:dyDescent="0.25">
      <c r="C3034" s="199"/>
      <c r="D3034" s="112"/>
      <c r="E3034" s="33"/>
      <c r="F3034" s="105"/>
      <c r="H3034" s="116"/>
      <c r="I3034" s="26"/>
      <c r="J3034" s="98"/>
      <c r="K3034" s="36"/>
      <c r="L3034" s="26"/>
      <c r="M3034" s="26"/>
      <c r="N3034" s="26"/>
      <c r="O3034" s="93"/>
      <c r="P3034" s="95"/>
      <c r="Q3034" s="197"/>
    </row>
    <row r="3035" spans="3:17" x14ac:dyDescent="0.25">
      <c r="C3035" s="199"/>
      <c r="D3035" s="112"/>
      <c r="E3035" s="33"/>
      <c r="F3035" s="105"/>
      <c r="H3035" s="116"/>
      <c r="I3035" s="26"/>
      <c r="J3035" s="98"/>
      <c r="K3035" s="36"/>
      <c r="L3035" s="26"/>
      <c r="M3035" s="26"/>
      <c r="N3035" s="26"/>
      <c r="O3035" s="93"/>
      <c r="P3035" s="95"/>
      <c r="Q3035" s="197"/>
    </row>
    <row r="3036" spans="3:17" x14ac:dyDescent="0.25">
      <c r="C3036" s="199"/>
      <c r="D3036" s="112"/>
      <c r="E3036" s="33"/>
      <c r="F3036" s="105"/>
      <c r="H3036" s="116"/>
      <c r="I3036" s="26"/>
      <c r="J3036" s="98"/>
      <c r="K3036" s="36"/>
      <c r="L3036" s="26"/>
      <c r="M3036" s="26"/>
      <c r="N3036" s="26"/>
      <c r="O3036" s="93"/>
      <c r="P3036" s="95"/>
      <c r="Q3036" s="197"/>
    </row>
    <row r="3037" spans="3:17" x14ac:dyDescent="0.25">
      <c r="C3037" s="199"/>
      <c r="D3037" s="112"/>
      <c r="E3037" s="33"/>
      <c r="F3037" s="105"/>
      <c r="H3037" s="116"/>
      <c r="I3037" s="26"/>
      <c r="J3037" s="98"/>
      <c r="K3037" s="36"/>
      <c r="L3037" s="26"/>
      <c r="M3037" s="26"/>
      <c r="N3037" s="26"/>
      <c r="O3037" s="93"/>
      <c r="P3037" s="95"/>
      <c r="Q3037" s="197"/>
    </row>
    <row r="3038" spans="3:17" x14ac:dyDescent="0.25">
      <c r="C3038" s="199"/>
      <c r="D3038" s="112"/>
      <c r="E3038" s="33"/>
      <c r="F3038" s="105"/>
      <c r="H3038" s="116"/>
      <c r="I3038" s="26"/>
      <c r="J3038" s="98"/>
      <c r="K3038" s="36"/>
      <c r="L3038" s="26"/>
      <c r="M3038" s="26"/>
      <c r="N3038" s="26"/>
      <c r="O3038" s="93"/>
      <c r="P3038" s="95"/>
      <c r="Q3038" s="197"/>
    </row>
    <row r="3039" spans="3:17" x14ac:dyDescent="0.25">
      <c r="C3039" s="199"/>
      <c r="D3039" s="112"/>
      <c r="E3039" s="33"/>
      <c r="F3039" s="105"/>
      <c r="H3039" s="116"/>
      <c r="I3039" s="26"/>
      <c r="J3039" s="98"/>
      <c r="K3039" s="36"/>
      <c r="L3039" s="26"/>
      <c r="M3039" s="26"/>
      <c r="N3039" s="26"/>
      <c r="O3039" s="93"/>
      <c r="P3039" s="95"/>
      <c r="Q3039" s="197"/>
    </row>
    <row r="3040" spans="3:17" x14ac:dyDescent="0.25">
      <c r="C3040" s="199"/>
      <c r="D3040" s="112"/>
      <c r="E3040" s="33"/>
      <c r="F3040" s="105"/>
      <c r="H3040" s="116"/>
      <c r="I3040" s="26"/>
      <c r="J3040" s="98"/>
      <c r="K3040" s="36"/>
      <c r="L3040" s="26"/>
      <c r="M3040" s="26"/>
      <c r="N3040" s="26"/>
      <c r="O3040" s="93"/>
      <c r="P3040" s="95"/>
      <c r="Q3040" s="197"/>
    </row>
    <row r="3041" spans="3:17" x14ac:dyDescent="0.25">
      <c r="C3041" s="199"/>
      <c r="D3041" s="112"/>
      <c r="E3041" s="33"/>
      <c r="F3041" s="105"/>
      <c r="H3041" s="116"/>
      <c r="I3041" s="26"/>
      <c r="J3041" s="98"/>
      <c r="K3041" s="36"/>
      <c r="L3041" s="26"/>
      <c r="M3041" s="26"/>
      <c r="N3041" s="26"/>
      <c r="O3041" s="93"/>
      <c r="P3041" s="95"/>
      <c r="Q3041" s="197"/>
    </row>
    <row r="3042" spans="3:17" x14ac:dyDescent="0.25">
      <c r="C3042" s="199"/>
      <c r="D3042" s="112"/>
      <c r="E3042" s="33"/>
      <c r="F3042" s="105"/>
      <c r="H3042" s="116"/>
      <c r="I3042" s="26"/>
      <c r="J3042" s="98"/>
      <c r="K3042" s="36"/>
      <c r="L3042" s="26"/>
      <c r="M3042" s="26"/>
      <c r="N3042" s="26"/>
      <c r="O3042" s="93"/>
      <c r="P3042" s="95"/>
      <c r="Q3042" s="197"/>
    </row>
    <row r="3043" spans="3:17" x14ac:dyDescent="0.25">
      <c r="C3043" s="199"/>
      <c r="D3043" s="112"/>
      <c r="E3043" s="33"/>
      <c r="F3043" s="105"/>
      <c r="H3043" s="116"/>
      <c r="I3043" s="26"/>
      <c r="J3043" s="98"/>
      <c r="K3043" s="36"/>
      <c r="L3043" s="26"/>
      <c r="M3043" s="26"/>
      <c r="N3043" s="26"/>
      <c r="O3043" s="93"/>
      <c r="P3043" s="95"/>
      <c r="Q3043" s="197"/>
    </row>
    <row r="3044" spans="3:17" x14ac:dyDescent="0.25">
      <c r="C3044" s="199"/>
      <c r="D3044" s="112"/>
      <c r="E3044" s="33"/>
      <c r="F3044" s="105"/>
      <c r="H3044" s="116"/>
      <c r="I3044" s="26"/>
      <c r="J3044" s="98"/>
      <c r="K3044" s="36"/>
      <c r="L3044" s="26"/>
      <c r="M3044" s="26"/>
      <c r="N3044" s="26"/>
      <c r="O3044" s="93"/>
      <c r="P3044" s="95"/>
      <c r="Q3044" s="197"/>
    </row>
    <row r="3045" spans="3:17" x14ac:dyDescent="0.25">
      <c r="C3045" s="199"/>
      <c r="D3045" s="112"/>
      <c r="E3045" s="33"/>
      <c r="F3045" s="105"/>
      <c r="H3045" s="116"/>
      <c r="I3045" s="26"/>
      <c r="J3045" s="98"/>
      <c r="K3045" s="36"/>
      <c r="L3045" s="26"/>
      <c r="M3045" s="26"/>
      <c r="N3045" s="26"/>
      <c r="O3045" s="93"/>
      <c r="P3045" s="95"/>
      <c r="Q3045" s="197"/>
    </row>
    <row r="3046" spans="3:17" x14ac:dyDescent="0.25">
      <c r="C3046" s="199"/>
      <c r="D3046" s="112"/>
      <c r="E3046" s="33"/>
      <c r="F3046" s="105"/>
      <c r="H3046" s="116"/>
      <c r="I3046" s="26"/>
      <c r="J3046" s="98"/>
      <c r="K3046" s="36"/>
      <c r="L3046" s="26"/>
      <c r="M3046" s="26"/>
      <c r="N3046" s="26"/>
      <c r="O3046" s="93"/>
      <c r="P3046" s="95"/>
      <c r="Q3046" s="197"/>
    </row>
    <row r="3047" spans="3:17" x14ac:dyDescent="0.25">
      <c r="C3047" s="199"/>
      <c r="D3047" s="112"/>
      <c r="E3047" s="33"/>
      <c r="F3047" s="105"/>
      <c r="H3047" s="116"/>
      <c r="I3047" s="26"/>
      <c r="J3047" s="98"/>
      <c r="K3047" s="36"/>
      <c r="L3047" s="26"/>
      <c r="M3047" s="26"/>
      <c r="N3047" s="26"/>
      <c r="O3047" s="93"/>
      <c r="P3047" s="95"/>
      <c r="Q3047" s="197"/>
    </row>
    <row r="3048" spans="3:17" x14ac:dyDescent="0.25">
      <c r="C3048" s="199"/>
      <c r="D3048" s="112"/>
      <c r="E3048" s="33"/>
      <c r="F3048" s="105"/>
      <c r="H3048" s="116"/>
      <c r="I3048" s="26"/>
      <c r="J3048" s="98"/>
      <c r="K3048" s="36"/>
      <c r="L3048" s="26"/>
      <c r="M3048" s="26"/>
      <c r="N3048" s="26"/>
      <c r="O3048" s="93"/>
      <c r="P3048" s="95"/>
      <c r="Q3048" s="197"/>
    </row>
    <row r="3049" spans="3:17" x14ac:dyDescent="0.25">
      <c r="C3049" s="199"/>
      <c r="D3049" s="112"/>
      <c r="E3049" s="33"/>
      <c r="F3049" s="105"/>
      <c r="H3049" s="116"/>
      <c r="I3049" s="26"/>
      <c r="J3049" s="98"/>
      <c r="K3049" s="36"/>
      <c r="L3049" s="26"/>
      <c r="M3049" s="26"/>
      <c r="N3049" s="26"/>
      <c r="O3049" s="93"/>
      <c r="P3049" s="95"/>
      <c r="Q3049" s="197"/>
    </row>
    <row r="3050" spans="3:17" x14ac:dyDescent="0.25">
      <c r="C3050" s="199"/>
      <c r="D3050" s="112"/>
      <c r="E3050" s="33"/>
      <c r="F3050" s="105"/>
      <c r="H3050" s="116"/>
      <c r="I3050" s="26"/>
      <c r="J3050" s="98"/>
      <c r="K3050" s="36"/>
      <c r="L3050" s="26"/>
      <c r="M3050" s="26"/>
      <c r="N3050" s="26"/>
      <c r="O3050" s="93"/>
      <c r="P3050" s="95"/>
      <c r="Q3050" s="197"/>
    </row>
    <row r="3051" spans="3:17" x14ac:dyDescent="0.25">
      <c r="C3051" s="199"/>
      <c r="D3051" s="112"/>
      <c r="E3051" s="33"/>
      <c r="F3051" s="105"/>
      <c r="H3051" s="116"/>
      <c r="I3051" s="26"/>
      <c r="J3051" s="98"/>
      <c r="K3051" s="36"/>
      <c r="L3051" s="26"/>
      <c r="M3051" s="26"/>
      <c r="N3051" s="26"/>
      <c r="O3051" s="93"/>
      <c r="P3051" s="95"/>
      <c r="Q3051" s="197"/>
    </row>
    <row r="3052" spans="3:17" x14ac:dyDescent="0.25">
      <c r="C3052" s="199"/>
      <c r="D3052" s="112"/>
      <c r="E3052" s="33"/>
      <c r="F3052" s="105"/>
      <c r="H3052" s="116"/>
      <c r="I3052" s="26"/>
      <c r="J3052" s="98"/>
      <c r="K3052" s="36"/>
      <c r="L3052" s="26"/>
      <c r="M3052" s="26"/>
      <c r="N3052" s="26"/>
      <c r="O3052" s="93"/>
      <c r="P3052" s="95"/>
      <c r="Q3052" s="197"/>
    </row>
    <row r="3053" spans="3:17" x14ac:dyDescent="0.25">
      <c r="C3053" s="199"/>
      <c r="D3053" s="112"/>
      <c r="E3053" s="33"/>
      <c r="F3053" s="105"/>
      <c r="H3053" s="116"/>
      <c r="I3053" s="26"/>
      <c r="J3053" s="98"/>
      <c r="K3053" s="36"/>
      <c r="L3053" s="26"/>
      <c r="M3053" s="26"/>
      <c r="N3053" s="26"/>
      <c r="O3053" s="93"/>
      <c r="P3053" s="95"/>
      <c r="Q3053" s="197"/>
    </row>
    <row r="3054" spans="3:17" x14ac:dyDescent="0.25">
      <c r="C3054" s="199"/>
      <c r="D3054" s="112"/>
      <c r="E3054" s="33"/>
      <c r="F3054" s="105"/>
      <c r="H3054" s="116"/>
      <c r="I3054" s="26"/>
      <c r="J3054" s="98"/>
      <c r="K3054" s="36"/>
      <c r="L3054" s="26"/>
      <c r="M3054" s="26"/>
      <c r="N3054" s="26"/>
      <c r="O3054" s="93"/>
      <c r="P3054" s="95"/>
      <c r="Q3054" s="197"/>
    </row>
    <row r="3055" spans="3:17" x14ac:dyDescent="0.25">
      <c r="C3055" s="199"/>
      <c r="D3055" s="112"/>
      <c r="E3055" s="33"/>
      <c r="F3055" s="105"/>
      <c r="H3055" s="116"/>
      <c r="I3055" s="26"/>
      <c r="J3055" s="98"/>
      <c r="K3055" s="36"/>
      <c r="L3055" s="26"/>
      <c r="M3055" s="26"/>
      <c r="N3055" s="26"/>
      <c r="O3055" s="93"/>
      <c r="P3055" s="95"/>
      <c r="Q3055" s="197"/>
    </row>
    <row r="3056" spans="3:17" x14ac:dyDescent="0.25">
      <c r="C3056" s="199"/>
      <c r="D3056" s="112"/>
      <c r="E3056" s="33"/>
      <c r="F3056" s="105"/>
      <c r="H3056" s="116"/>
      <c r="I3056" s="26"/>
      <c r="J3056" s="98"/>
      <c r="K3056" s="36"/>
      <c r="L3056" s="26"/>
      <c r="M3056" s="26"/>
      <c r="N3056" s="26"/>
      <c r="O3056" s="93"/>
      <c r="P3056" s="95"/>
      <c r="Q3056" s="197"/>
    </row>
    <row r="3057" spans="3:17" x14ac:dyDescent="0.25">
      <c r="C3057" s="199"/>
      <c r="D3057" s="112"/>
      <c r="E3057" s="33"/>
      <c r="F3057" s="105"/>
      <c r="H3057" s="116"/>
      <c r="I3057" s="26"/>
      <c r="J3057" s="98"/>
      <c r="K3057" s="36"/>
      <c r="L3057" s="26"/>
      <c r="M3057" s="26"/>
      <c r="N3057" s="26"/>
      <c r="O3057" s="93"/>
      <c r="P3057" s="95"/>
      <c r="Q3057" s="197"/>
    </row>
    <row r="3058" spans="3:17" x14ac:dyDescent="0.25">
      <c r="C3058" s="199"/>
      <c r="D3058" s="112"/>
      <c r="E3058" s="33"/>
      <c r="F3058" s="105"/>
      <c r="H3058" s="116"/>
      <c r="I3058" s="26"/>
      <c r="J3058" s="98"/>
      <c r="K3058" s="36"/>
      <c r="L3058" s="26"/>
      <c r="M3058" s="26"/>
      <c r="N3058" s="26"/>
      <c r="O3058" s="93"/>
      <c r="P3058" s="95"/>
      <c r="Q3058" s="197"/>
    </row>
    <row r="3059" spans="3:17" x14ac:dyDescent="0.25">
      <c r="C3059" s="199"/>
      <c r="D3059" s="112"/>
      <c r="E3059" s="33"/>
      <c r="F3059" s="105"/>
      <c r="H3059" s="116"/>
      <c r="I3059" s="26"/>
      <c r="J3059" s="98"/>
      <c r="K3059" s="36"/>
      <c r="L3059" s="26"/>
      <c r="M3059" s="26"/>
      <c r="N3059" s="26"/>
      <c r="O3059" s="93"/>
      <c r="P3059" s="95"/>
      <c r="Q3059" s="197"/>
    </row>
    <row r="3060" spans="3:17" x14ac:dyDescent="0.25">
      <c r="C3060" s="199"/>
      <c r="D3060" s="112"/>
      <c r="E3060" s="33"/>
      <c r="F3060" s="105"/>
      <c r="H3060" s="116"/>
      <c r="I3060" s="26"/>
      <c r="J3060" s="98"/>
      <c r="K3060" s="36"/>
      <c r="L3060" s="26"/>
      <c r="M3060" s="26"/>
      <c r="N3060" s="26"/>
      <c r="O3060" s="93"/>
      <c r="P3060" s="95"/>
      <c r="Q3060" s="197"/>
    </row>
    <row r="3061" spans="3:17" x14ac:dyDescent="0.25">
      <c r="C3061" s="199"/>
      <c r="D3061" s="112"/>
      <c r="E3061" s="33"/>
      <c r="F3061" s="105"/>
      <c r="H3061" s="116"/>
      <c r="I3061" s="26"/>
      <c r="J3061" s="98"/>
      <c r="K3061" s="36"/>
      <c r="L3061" s="26"/>
      <c r="M3061" s="26"/>
      <c r="N3061" s="26"/>
      <c r="O3061" s="93"/>
      <c r="P3061" s="95"/>
      <c r="Q3061" s="197"/>
    </row>
    <row r="3062" spans="3:17" x14ac:dyDescent="0.25">
      <c r="C3062" s="199"/>
      <c r="D3062" s="112"/>
      <c r="E3062" s="33"/>
      <c r="F3062" s="105"/>
      <c r="H3062" s="116"/>
      <c r="I3062" s="26"/>
      <c r="J3062" s="98"/>
      <c r="K3062" s="36"/>
      <c r="L3062" s="26"/>
      <c r="M3062" s="26"/>
      <c r="N3062" s="26"/>
      <c r="O3062" s="93"/>
      <c r="P3062" s="95"/>
      <c r="Q3062" s="197"/>
    </row>
    <row r="3063" spans="3:17" x14ac:dyDescent="0.25">
      <c r="C3063" s="199"/>
      <c r="D3063" s="112"/>
      <c r="E3063" s="33"/>
      <c r="F3063" s="105"/>
      <c r="H3063" s="116"/>
      <c r="I3063" s="26"/>
      <c r="J3063" s="98"/>
      <c r="K3063" s="36"/>
      <c r="L3063" s="26"/>
      <c r="M3063" s="26"/>
      <c r="N3063" s="26"/>
      <c r="O3063" s="93"/>
      <c r="P3063" s="95"/>
      <c r="Q3063" s="197"/>
    </row>
  </sheetData>
  <phoneticPr fontId="31" type="noConversion"/>
  <conditionalFormatting sqref="E22:E3063">
    <cfRule type="expression" dxfId="6" priority="2">
      <formula>$A22&gt;2004</formula>
    </cfRule>
  </conditionalFormatting>
  <conditionalFormatting sqref="F22:F3063">
    <cfRule type="containsText" dxfId="5" priority="3" operator="containsText" text="ERROR">
      <formula>NOT(ISERROR(SEARCH("ERROR",F22)))</formula>
    </cfRule>
  </conditionalFormatting>
  <conditionalFormatting sqref="J22:J3063">
    <cfRule type="cellIs" dxfId="4" priority="1" operator="equal">
      <formula>1</formula>
    </cfRule>
  </conditionalFormatting>
  <hyperlinks>
    <hyperlink ref="E7" location="'Asset exclusions'!A1" display="'Asset exclusions'!A1" xr:uid="{00000000-0004-0000-0600-000000000000}"/>
  </hyperlinks>
  <pageMargins left="0.7" right="0.7" top="0.75" bottom="0.75" header="0.3" footer="0.3"/>
  <pageSetup paperSize="9" orientation="portrait" horizontalDpi="200" verticalDpi="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79998168889431442"/>
  </sheetPr>
  <dimension ref="A1:R218"/>
  <sheetViews>
    <sheetView showGridLines="0" topLeftCell="E1" workbookViewId="0">
      <pane ySplit="21" topLeftCell="A22" activePane="bottomLeft" state="frozen"/>
      <selection activeCell="I50" sqref="I50"/>
      <selection pane="bottomLeft" activeCell="J22" sqref="J22"/>
    </sheetView>
  </sheetViews>
  <sheetFormatPr defaultRowHeight="11.5" outlineLevelRow="1" x14ac:dyDescent="0.25"/>
  <cols>
    <col min="1" max="1" width="10.09765625" bestFit="1" customWidth="1"/>
    <col min="2" max="2" width="12" bestFit="1" customWidth="1"/>
    <col min="3" max="3" width="15.69921875" customWidth="1"/>
    <col min="4" max="4" width="49.69921875" customWidth="1"/>
    <col min="5" max="5" width="15.69921875" customWidth="1"/>
    <col min="6" max="6" width="25.8984375" bestFit="1" customWidth="1"/>
    <col min="7" max="7" width="2.69921875" customWidth="1"/>
    <col min="8" max="10" width="15.69921875" customWidth="1"/>
    <col min="11" max="11" width="2.69921875" customWidth="1"/>
    <col min="12" max="13" width="15.69921875" customWidth="1"/>
    <col min="14" max="14" width="18" customWidth="1"/>
    <col min="15" max="16" width="15.69921875" customWidth="1"/>
    <col min="18" max="18" width="9.09765625" customWidth="1"/>
  </cols>
  <sheetData>
    <row r="1" spans="3:12" x14ac:dyDescent="0.25">
      <c r="E1" s="31"/>
    </row>
    <row r="2" spans="3:12" x14ac:dyDescent="0.25">
      <c r="E2" s="31"/>
      <c r="F2" s="31"/>
    </row>
    <row r="3" spans="3:12" ht="20" x14ac:dyDescent="0.4">
      <c r="C3" s="57" t="s">
        <v>310</v>
      </c>
    </row>
    <row r="4" spans="3:12" hidden="1" outlineLevel="1" x14ac:dyDescent="0.25"/>
    <row r="5" spans="3:12" hidden="1" outlineLevel="1" x14ac:dyDescent="0.25"/>
    <row r="6" spans="3:12" ht="12" hidden="1" customHeight="1" outlineLevel="1" x14ac:dyDescent="0.25">
      <c r="C6" s="106"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12" hidden="1" outlineLevel="1" x14ac:dyDescent="0.25">
      <c r="C7" s="128" t="str">
        <f ca="1">"Hyperlink to the '"&amp;MID(CELL("filename",'Asset exclusions'!A1),FIND("]",CELL("filename",'Asset exclusions'!A1))+1,255)&amp;"' worksheet:"</f>
        <v>Hyperlink to the 'Asset exclusions' worksheet:</v>
      </c>
      <c r="E7" s="157" t="s">
        <v>174</v>
      </c>
    </row>
    <row r="8" spans="3:12" hidden="1" outlineLevel="1" x14ac:dyDescent="0.25">
      <c r="C8" s="128"/>
      <c r="E8" s="157"/>
    </row>
    <row r="9" spans="3:12" hidden="1" outlineLevel="1" x14ac:dyDescent="0.25">
      <c r="C9" s="128" t="s">
        <v>175</v>
      </c>
      <c r="E9" s="157"/>
    </row>
    <row r="10" spans="3:12" hidden="1" outlineLevel="1" x14ac:dyDescent="0.25">
      <c r="C10" s="128" t="s">
        <v>176</v>
      </c>
      <c r="E10" s="157"/>
    </row>
    <row r="11" spans="3:12" hidden="1" outlineLevel="1" x14ac:dyDescent="0.25">
      <c r="C11" s="128" t="s">
        <v>177</v>
      </c>
      <c r="E11" s="157"/>
    </row>
    <row r="12" spans="3:12" hidden="1" outlineLevel="1" x14ac:dyDescent="0.25">
      <c r="C12" s="128" t="s">
        <v>178</v>
      </c>
      <c r="E12" s="157"/>
    </row>
    <row r="13" spans="3:12" collapsed="1" x14ac:dyDescent="0.25"/>
    <row r="14" spans="3:12" x14ac:dyDescent="0.25">
      <c r="C14" s="6" t="s">
        <v>179</v>
      </c>
    </row>
    <row r="15" spans="3:12" ht="12" x14ac:dyDescent="0.3">
      <c r="C15" s="63" t="s">
        <v>180</v>
      </c>
      <c r="E15" s="100">
        <f>'General inputs'!$H$18+1</f>
        <v>44378</v>
      </c>
      <c r="H15" s="200" t="s">
        <v>181</v>
      </c>
      <c r="J15" s="203" t="s">
        <v>284</v>
      </c>
    </row>
    <row r="16" spans="3:12" ht="12" x14ac:dyDescent="0.3">
      <c r="C16" s="63"/>
      <c r="H16" s="201" t="s">
        <v>311</v>
      </c>
      <c r="I16" s="202">
        <v>0</v>
      </c>
      <c r="J16" s="202">
        <v>0</v>
      </c>
      <c r="L16" s="210">
        <f>I16-J16</f>
        <v>0</v>
      </c>
    </row>
    <row r="17" spans="1:18" ht="12" x14ac:dyDescent="0.3">
      <c r="H17" s="203" t="s">
        <v>312</v>
      </c>
      <c r="I17" s="204">
        <v>0</v>
      </c>
      <c r="J17" s="204">
        <v>0</v>
      </c>
      <c r="L17" s="211">
        <f t="shared" ref="L17:L18" si="0">I17-J17</f>
        <v>0</v>
      </c>
    </row>
    <row r="18" spans="1:18" ht="15.5" x14ac:dyDescent="0.35">
      <c r="C18" s="2" t="s">
        <v>313</v>
      </c>
      <c r="H18" s="205" t="s">
        <v>186</v>
      </c>
      <c r="I18" s="206">
        <v>0</v>
      </c>
      <c r="J18" s="206">
        <v>0</v>
      </c>
      <c r="L18" s="212">
        <f t="shared" si="0"/>
        <v>0</v>
      </c>
    </row>
    <row r="19" spans="1:18" ht="12" x14ac:dyDescent="0.3">
      <c r="H19" s="205" t="s">
        <v>286</v>
      </c>
      <c r="I19" s="206">
        <f>SUMIF($B$22:$B$103,H19,$P$22:$P$103)/J22</f>
        <v>280000000</v>
      </c>
      <c r="J19" s="206">
        <v>280000000</v>
      </c>
      <c r="L19" s="212">
        <f t="shared" ref="L19" si="1">I19-J19</f>
        <v>0</v>
      </c>
    </row>
    <row r="20" spans="1:18" x14ac:dyDescent="0.25">
      <c r="C20" s="6" t="s">
        <v>187</v>
      </c>
      <c r="D20" s="217" t="s">
        <v>314</v>
      </c>
      <c r="E20" s="216"/>
      <c r="F20" s="216"/>
      <c r="H20" s="6" t="s">
        <v>188</v>
      </c>
      <c r="L20" s="6" t="s">
        <v>189</v>
      </c>
      <c r="M20" s="6"/>
    </row>
    <row r="21" spans="1:18" ht="46" x14ac:dyDescent="0.25">
      <c r="C21" s="24" t="s">
        <v>190</v>
      </c>
      <c r="D21" s="24" t="s">
        <v>191</v>
      </c>
      <c r="E21" s="24" t="s">
        <v>192</v>
      </c>
      <c r="F21" s="24" t="s">
        <v>287</v>
      </c>
      <c r="H21" s="24" t="s">
        <v>194</v>
      </c>
      <c r="I21" s="24" t="s">
        <v>195</v>
      </c>
      <c r="J21" s="24" t="s">
        <v>196</v>
      </c>
      <c r="L21" s="24" t="s">
        <v>197</v>
      </c>
      <c r="M21" s="24" t="s">
        <v>198</v>
      </c>
      <c r="N21" s="24" t="s">
        <v>199</v>
      </c>
      <c r="O21" s="24" t="s">
        <v>200</v>
      </c>
      <c r="P21" s="24" t="s">
        <v>201</v>
      </c>
    </row>
    <row r="22" spans="1:18" ht="28.25" customHeight="1" x14ac:dyDescent="0.25">
      <c r="A22">
        <v>2029</v>
      </c>
      <c r="B22" t="s">
        <v>286</v>
      </c>
      <c r="C22" s="199" t="s">
        <v>315</v>
      </c>
      <c r="D22" s="112" t="s">
        <v>316</v>
      </c>
      <c r="E22" s="33">
        <f t="shared" ref="E22" si="2">DATEVALUE("30 Jun "&amp;A22)</f>
        <v>47299</v>
      </c>
      <c r="F22" s="90" t="str">
        <f t="shared" ref="F22" si="3">IF(E22="","-",IF(E22&lt;$E$15,"ERROR - date outside of range",IF(MONTH(E22)&gt;=7,YEAR(E22)&amp;"-"&amp;RIGHT(YEAR(E22),2)+1,YEAR(E22)-1&amp;"-"&amp;RIGHT(YEAR(E22),2))))</f>
        <v>2028-29</v>
      </c>
      <c r="H22" s="115"/>
      <c r="I22" s="25"/>
      <c r="J22" s="98">
        <v>0.8</v>
      </c>
      <c r="K22" s="36"/>
      <c r="L22" s="26">
        <v>1</v>
      </c>
      <c r="M22" s="26" t="s">
        <v>306</v>
      </c>
      <c r="N22" s="26">
        <v>280000000</v>
      </c>
      <c r="O22" s="93">
        <f t="shared" ref="O22" si="4">IF(N22="","-",L22*N22)</f>
        <v>280000000</v>
      </c>
      <c r="P22" s="95">
        <f t="shared" ref="P22" si="5">IF(O22="-","-",IF(E22&lt;$E$15,0,O22*J22))</f>
        <v>224000000</v>
      </c>
    </row>
    <row r="23" spans="1:18" x14ac:dyDescent="0.25">
      <c r="C23" s="199"/>
      <c r="D23" s="112"/>
      <c r="E23" s="33"/>
      <c r="F23" s="90"/>
      <c r="H23" s="116"/>
      <c r="I23" s="26"/>
      <c r="J23" s="98"/>
      <c r="K23" s="36"/>
      <c r="L23" s="26"/>
      <c r="M23" s="26"/>
      <c r="N23" s="26"/>
      <c r="O23" s="93"/>
      <c r="P23" s="95"/>
      <c r="R23" s="99"/>
    </row>
    <row r="24" spans="1:18" x14ac:dyDescent="0.25">
      <c r="C24" s="199"/>
      <c r="D24" s="112"/>
      <c r="E24" s="33"/>
      <c r="F24" s="90"/>
      <c r="H24" s="113"/>
      <c r="I24" s="26"/>
      <c r="J24" s="98"/>
      <c r="K24" s="36"/>
      <c r="L24" s="26"/>
      <c r="M24" s="26"/>
      <c r="N24" s="26"/>
      <c r="O24" s="93"/>
      <c r="P24" s="95"/>
    </row>
    <row r="25" spans="1:18" x14ac:dyDescent="0.25">
      <c r="C25" s="199"/>
      <c r="D25" s="112"/>
      <c r="E25" s="33"/>
      <c r="F25" s="90"/>
      <c r="H25" s="113"/>
      <c r="I25" s="26"/>
      <c r="J25" s="98"/>
      <c r="K25" s="36"/>
      <c r="L25" s="26"/>
      <c r="M25" s="26"/>
      <c r="N25" s="26"/>
      <c r="O25" s="93"/>
      <c r="P25" s="95"/>
    </row>
    <row r="26" spans="1:18" x14ac:dyDescent="0.25">
      <c r="C26" s="199"/>
      <c r="D26" s="112"/>
      <c r="E26" s="33"/>
      <c r="F26" s="90"/>
      <c r="H26" s="113"/>
      <c r="I26" s="26"/>
      <c r="J26" s="98"/>
      <c r="K26" s="36"/>
      <c r="L26" s="26"/>
      <c r="M26" s="26"/>
      <c r="N26" s="26"/>
      <c r="O26" s="93"/>
      <c r="P26" s="95"/>
    </row>
    <row r="27" spans="1:18" x14ac:dyDescent="0.25">
      <c r="C27" s="199"/>
      <c r="D27" s="112"/>
      <c r="E27" s="33"/>
      <c r="F27" s="90"/>
      <c r="H27" s="113"/>
      <c r="I27" s="26"/>
      <c r="J27" s="98"/>
      <c r="K27" s="36"/>
      <c r="L27" s="26"/>
      <c r="M27" s="26"/>
      <c r="N27" s="26"/>
      <c r="O27" s="93"/>
      <c r="P27" s="95"/>
    </row>
    <row r="28" spans="1:18" x14ac:dyDescent="0.25">
      <c r="C28" s="199"/>
      <c r="D28" s="112"/>
      <c r="E28" s="33"/>
      <c r="F28" s="90"/>
      <c r="H28" s="113"/>
      <c r="I28" s="26"/>
      <c r="J28" s="98"/>
      <c r="K28" s="36"/>
      <c r="L28" s="26"/>
      <c r="M28" s="26"/>
      <c r="N28" s="26"/>
      <c r="O28" s="93"/>
      <c r="P28" s="95"/>
    </row>
    <row r="29" spans="1:18" x14ac:dyDescent="0.25">
      <c r="C29" s="199"/>
      <c r="D29" s="112"/>
      <c r="E29" s="33"/>
      <c r="F29" s="90"/>
      <c r="H29" s="113"/>
      <c r="I29" s="26"/>
      <c r="J29" s="98"/>
      <c r="K29" s="36"/>
      <c r="L29" s="26"/>
      <c r="M29" s="26"/>
      <c r="N29" s="26"/>
      <c r="O29" s="93"/>
      <c r="P29" s="95"/>
    </row>
    <row r="30" spans="1:18" x14ac:dyDescent="0.25">
      <c r="C30" s="199"/>
      <c r="D30" s="112"/>
      <c r="E30" s="33"/>
      <c r="F30" s="90"/>
      <c r="H30" s="113"/>
      <c r="I30" s="26"/>
      <c r="J30" s="98"/>
      <c r="K30" s="36"/>
      <c r="L30" s="26"/>
      <c r="M30" s="26"/>
      <c r="N30" s="26"/>
      <c r="O30" s="93"/>
      <c r="P30" s="95"/>
    </row>
    <row r="31" spans="1:18" x14ac:dyDescent="0.25">
      <c r="C31" s="199"/>
      <c r="D31" s="112"/>
      <c r="E31" s="33"/>
      <c r="F31" s="90"/>
      <c r="H31" s="113"/>
      <c r="I31" s="26"/>
      <c r="J31" s="98"/>
      <c r="K31" s="36"/>
      <c r="L31" s="26"/>
      <c r="M31" s="26"/>
      <c r="N31" s="26"/>
      <c r="O31" s="93"/>
      <c r="P31" s="95"/>
    </row>
    <row r="32" spans="1:18" x14ac:dyDescent="0.25">
      <c r="C32" s="199"/>
      <c r="D32" s="112"/>
      <c r="E32" s="33"/>
      <c r="F32" s="90"/>
      <c r="H32" s="113"/>
      <c r="I32" s="26"/>
      <c r="J32" s="98"/>
      <c r="K32" s="36"/>
      <c r="L32" s="26"/>
      <c r="M32" s="26"/>
      <c r="N32" s="26"/>
      <c r="O32" s="93"/>
      <c r="P32" s="95"/>
    </row>
    <row r="33" spans="3:16" x14ac:dyDescent="0.25">
      <c r="C33" s="199"/>
      <c r="D33" s="112"/>
      <c r="E33" s="33"/>
      <c r="F33" s="90"/>
      <c r="H33" s="113"/>
      <c r="I33" s="26"/>
      <c r="J33" s="98"/>
      <c r="K33" s="36"/>
      <c r="L33" s="26"/>
      <c r="M33" s="26"/>
      <c r="N33" s="26"/>
      <c r="O33" s="93"/>
      <c r="P33" s="95"/>
    </row>
    <row r="34" spans="3:16" x14ac:dyDescent="0.25">
      <c r="C34" s="199"/>
      <c r="D34" s="112"/>
      <c r="E34" s="33"/>
      <c r="F34" s="90"/>
      <c r="H34" s="113"/>
      <c r="I34" s="26"/>
      <c r="J34" s="98"/>
      <c r="K34" s="36"/>
      <c r="L34" s="26"/>
      <c r="M34" s="26"/>
      <c r="N34" s="26"/>
      <c r="O34" s="93"/>
      <c r="P34" s="95"/>
    </row>
    <row r="35" spans="3:16" x14ac:dyDescent="0.25">
      <c r="C35" s="199"/>
      <c r="D35" s="112"/>
      <c r="E35" s="33"/>
      <c r="F35" s="90"/>
      <c r="H35" s="113"/>
      <c r="I35" s="26"/>
      <c r="J35" s="98"/>
      <c r="K35" s="36"/>
      <c r="L35" s="26"/>
      <c r="M35" s="26"/>
      <c r="N35" s="26"/>
      <c r="O35" s="93"/>
      <c r="P35" s="95"/>
    </row>
    <row r="36" spans="3:16" x14ac:dyDescent="0.25">
      <c r="C36" s="199"/>
      <c r="D36" s="112"/>
      <c r="E36" s="33"/>
      <c r="F36" s="90"/>
      <c r="H36" s="113"/>
      <c r="I36" s="26"/>
      <c r="J36" s="98"/>
      <c r="K36" s="36"/>
      <c r="L36" s="26"/>
      <c r="M36" s="26"/>
      <c r="N36" s="26"/>
      <c r="O36" s="93"/>
      <c r="P36" s="95"/>
    </row>
    <row r="37" spans="3:16" x14ac:dyDescent="0.25">
      <c r="C37" s="199"/>
      <c r="D37" s="112"/>
      <c r="E37" s="33"/>
      <c r="F37" s="90"/>
      <c r="H37" s="113"/>
      <c r="I37" s="26"/>
      <c r="J37" s="98"/>
      <c r="K37" s="36"/>
      <c r="L37" s="26"/>
      <c r="M37" s="26"/>
      <c r="N37" s="26"/>
      <c r="O37" s="93"/>
      <c r="P37" s="95"/>
    </row>
    <row r="38" spans="3:16" x14ac:dyDescent="0.25">
      <c r="C38" s="199"/>
      <c r="D38" s="112"/>
      <c r="E38" s="33"/>
      <c r="F38" s="90"/>
      <c r="H38" s="113"/>
      <c r="I38" s="26"/>
      <c r="J38" s="98"/>
      <c r="K38" s="36"/>
      <c r="L38" s="26"/>
      <c r="M38" s="26"/>
      <c r="N38" s="26"/>
      <c r="O38" s="93"/>
      <c r="P38" s="95"/>
    </row>
    <row r="39" spans="3:16" x14ac:dyDescent="0.25">
      <c r="C39" s="199"/>
      <c r="D39" s="112"/>
      <c r="E39" s="33"/>
      <c r="F39" s="90"/>
      <c r="H39" s="113"/>
      <c r="I39" s="26"/>
      <c r="J39" s="98"/>
      <c r="K39" s="36"/>
      <c r="L39" s="26"/>
      <c r="M39" s="26"/>
      <c r="N39" s="26"/>
      <c r="O39" s="93"/>
      <c r="P39" s="95"/>
    </row>
    <row r="40" spans="3:16" x14ac:dyDescent="0.25">
      <c r="C40" s="199"/>
      <c r="D40" s="112"/>
      <c r="E40" s="33"/>
      <c r="F40" s="90"/>
      <c r="H40" s="113"/>
      <c r="I40" s="26"/>
      <c r="J40" s="98"/>
      <c r="K40" s="36"/>
      <c r="L40" s="26"/>
      <c r="M40" s="26"/>
      <c r="N40" s="26"/>
      <c r="O40" s="93"/>
      <c r="P40" s="95"/>
    </row>
    <row r="41" spans="3:16" x14ac:dyDescent="0.25">
      <c r="C41" s="199"/>
      <c r="D41" s="112"/>
      <c r="E41" s="33"/>
      <c r="F41" s="90"/>
      <c r="H41" s="113"/>
      <c r="I41" s="26"/>
      <c r="J41" s="98"/>
      <c r="K41" s="36"/>
      <c r="L41" s="26"/>
      <c r="M41" s="26"/>
      <c r="N41" s="26"/>
      <c r="O41" s="93"/>
      <c r="P41" s="95"/>
    </row>
    <row r="42" spans="3:16" x14ac:dyDescent="0.25">
      <c r="C42" s="199"/>
      <c r="D42" s="112"/>
      <c r="E42" s="33"/>
      <c r="F42" s="90"/>
      <c r="H42" s="113"/>
      <c r="I42" s="26"/>
      <c r="J42" s="98"/>
      <c r="K42" s="36"/>
      <c r="L42" s="26"/>
      <c r="M42" s="26"/>
      <c r="N42" s="26"/>
      <c r="O42" s="93"/>
      <c r="P42" s="95"/>
    </row>
    <row r="43" spans="3:16" x14ac:dyDescent="0.25">
      <c r="C43" s="199"/>
      <c r="D43" s="112"/>
      <c r="E43" s="33"/>
      <c r="F43" s="90"/>
      <c r="H43" s="113"/>
      <c r="I43" s="26"/>
      <c r="J43" s="98"/>
      <c r="K43" s="36"/>
      <c r="L43" s="26"/>
      <c r="M43" s="26"/>
      <c r="N43" s="26"/>
      <c r="O43" s="93"/>
      <c r="P43" s="95"/>
    </row>
    <row r="44" spans="3:16" x14ac:dyDescent="0.25">
      <c r="C44" s="199"/>
      <c r="D44" s="112"/>
      <c r="E44" s="33"/>
      <c r="F44" s="90"/>
      <c r="H44" s="113"/>
      <c r="I44" s="26"/>
      <c r="J44" s="98"/>
      <c r="K44" s="36"/>
      <c r="L44" s="26"/>
      <c r="M44" s="26"/>
      <c r="N44" s="26"/>
      <c r="O44" s="93"/>
      <c r="P44" s="95"/>
    </row>
    <row r="45" spans="3:16" x14ac:dyDescent="0.25">
      <c r="C45" s="199"/>
      <c r="D45" s="112"/>
      <c r="E45" s="33"/>
      <c r="F45" s="90"/>
      <c r="H45" s="113"/>
      <c r="I45" s="26"/>
      <c r="J45" s="98"/>
      <c r="K45" s="36"/>
      <c r="L45" s="26"/>
      <c r="M45" s="26"/>
      <c r="N45" s="26"/>
      <c r="O45" s="93"/>
      <c r="P45" s="95"/>
    </row>
    <row r="46" spans="3:16" x14ac:dyDescent="0.25">
      <c r="C46" s="199"/>
      <c r="D46" s="112"/>
      <c r="E46" s="33"/>
      <c r="F46" s="90"/>
      <c r="H46" s="113"/>
      <c r="I46" s="26"/>
      <c r="J46" s="98"/>
      <c r="K46" s="36"/>
      <c r="L46" s="26"/>
      <c r="M46" s="26"/>
      <c r="N46" s="26"/>
      <c r="O46" s="93"/>
      <c r="P46" s="95"/>
    </row>
    <row r="47" spans="3:16" x14ac:dyDescent="0.25">
      <c r="C47" s="199"/>
      <c r="D47" s="112"/>
      <c r="E47" s="33"/>
      <c r="F47" s="90"/>
      <c r="H47" s="113"/>
      <c r="I47" s="26"/>
      <c r="J47" s="98"/>
      <c r="K47" s="36"/>
      <c r="L47" s="26"/>
      <c r="M47" s="26"/>
      <c r="N47" s="26"/>
      <c r="O47" s="93"/>
      <c r="P47" s="95"/>
    </row>
    <row r="48" spans="3:16" x14ac:dyDescent="0.25">
      <c r="C48" s="199"/>
      <c r="D48" s="112"/>
      <c r="E48" s="33"/>
      <c r="F48" s="90"/>
      <c r="H48" s="113"/>
      <c r="I48" s="26"/>
      <c r="J48" s="98"/>
      <c r="K48" s="36"/>
      <c r="L48" s="26"/>
      <c r="M48" s="26"/>
      <c r="N48" s="26"/>
      <c r="O48" s="93"/>
      <c r="P48" s="95"/>
    </row>
    <row r="49" spans="3:16" x14ac:dyDescent="0.25">
      <c r="C49" s="199"/>
      <c r="D49" s="112"/>
      <c r="E49" s="33"/>
      <c r="F49" s="90"/>
      <c r="H49" s="113"/>
      <c r="I49" s="26"/>
      <c r="J49" s="98"/>
      <c r="K49" s="36"/>
      <c r="L49" s="26"/>
      <c r="M49" s="26"/>
      <c r="N49" s="26"/>
      <c r="O49" s="93"/>
      <c r="P49" s="95"/>
    </row>
    <row r="50" spans="3:16" x14ac:dyDescent="0.25">
      <c r="C50" s="199"/>
      <c r="D50" s="112"/>
      <c r="E50" s="33"/>
      <c r="F50" s="90"/>
      <c r="H50" s="113"/>
      <c r="I50" s="26"/>
      <c r="J50" s="98"/>
      <c r="K50" s="36"/>
      <c r="L50" s="26"/>
      <c r="M50" s="26"/>
      <c r="N50" s="26"/>
      <c r="O50" s="93"/>
      <c r="P50" s="95"/>
    </row>
    <row r="51" spans="3:16" x14ac:dyDescent="0.25">
      <c r="C51" s="199"/>
      <c r="D51" s="112"/>
      <c r="E51" s="33"/>
      <c r="F51" s="90"/>
      <c r="H51" s="113"/>
      <c r="I51" s="26"/>
      <c r="J51" s="98"/>
      <c r="K51" s="36"/>
      <c r="L51" s="26"/>
      <c r="M51" s="26"/>
      <c r="N51" s="26"/>
      <c r="O51" s="93"/>
      <c r="P51" s="95"/>
    </row>
    <row r="52" spans="3:16" x14ac:dyDescent="0.25">
      <c r="C52" s="199"/>
      <c r="D52" s="112"/>
      <c r="E52" s="33"/>
      <c r="F52" s="90"/>
      <c r="H52" s="113"/>
      <c r="I52" s="26"/>
      <c r="J52" s="98"/>
      <c r="K52" s="36"/>
      <c r="L52" s="26"/>
      <c r="M52" s="26"/>
      <c r="N52" s="26"/>
      <c r="O52" s="93"/>
      <c r="P52" s="95"/>
    </row>
    <row r="53" spans="3:16" x14ac:dyDescent="0.25">
      <c r="C53" s="199"/>
      <c r="D53" s="112"/>
      <c r="E53" s="33"/>
      <c r="F53" s="90"/>
      <c r="H53" s="113"/>
      <c r="I53" s="26"/>
      <c r="J53" s="98"/>
      <c r="K53" s="36"/>
      <c r="L53" s="26"/>
      <c r="M53" s="26"/>
      <c r="N53" s="26"/>
      <c r="O53" s="93"/>
      <c r="P53" s="95"/>
    </row>
    <row r="54" spans="3:16" x14ac:dyDescent="0.25">
      <c r="C54" s="199"/>
      <c r="D54" s="112"/>
      <c r="E54" s="33"/>
      <c r="F54" s="90"/>
      <c r="H54" s="113"/>
      <c r="I54" s="26"/>
      <c r="J54" s="98"/>
      <c r="K54" s="36"/>
      <c r="L54" s="26"/>
      <c r="M54" s="26"/>
      <c r="N54" s="26"/>
      <c r="O54" s="93"/>
      <c r="P54" s="95"/>
    </row>
    <row r="55" spans="3:16" x14ac:dyDescent="0.25">
      <c r="C55" s="199"/>
      <c r="D55" s="112"/>
      <c r="E55" s="33"/>
      <c r="F55" s="90"/>
      <c r="H55" s="113"/>
      <c r="I55" s="26"/>
      <c r="J55" s="98"/>
      <c r="K55" s="36"/>
      <c r="L55" s="26"/>
      <c r="M55" s="26"/>
      <c r="N55" s="26"/>
      <c r="O55" s="93"/>
      <c r="P55" s="95"/>
    </row>
    <row r="56" spans="3:16" x14ac:dyDescent="0.25">
      <c r="C56" s="199"/>
      <c r="D56" s="112"/>
      <c r="E56" s="33"/>
      <c r="F56" s="90"/>
      <c r="H56" s="113"/>
      <c r="I56" s="26"/>
      <c r="J56" s="98"/>
      <c r="K56" s="36"/>
      <c r="L56" s="26"/>
      <c r="M56" s="26"/>
      <c r="N56" s="26"/>
      <c r="O56" s="93"/>
      <c r="P56" s="95"/>
    </row>
    <row r="57" spans="3:16" x14ac:dyDescent="0.25">
      <c r="C57" s="199"/>
      <c r="D57" s="112"/>
      <c r="E57" s="33"/>
      <c r="F57" s="90"/>
      <c r="H57" s="113"/>
      <c r="I57" s="26"/>
      <c r="J57" s="98"/>
      <c r="K57" s="36"/>
      <c r="L57" s="26"/>
      <c r="M57" s="26"/>
      <c r="N57" s="26"/>
      <c r="O57" s="93"/>
      <c r="P57" s="95"/>
    </row>
    <row r="58" spans="3:16" x14ac:dyDescent="0.25">
      <c r="C58" s="199"/>
      <c r="D58" s="112"/>
      <c r="E58" s="33"/>
      <c r="F58" s="90"/>
      <c r="H58" s="113"/>
      <c r="I58" s="26"/>
      <c r="J58" s="98"/>
      <c r="K58" s="36"/>
      <c r="L58" s="26"/>
      <c r="M58" s="26"/>
      <c r="N58" s="26"/>
      <c r="O58" s="93"/>
      <c r="P58" s="95"/>
    </row>
    <row r="59" spans="3:16" x14ac:dyDescent="0.25">
      <c r="C59" s="199"/>
      <c r="D59" s="112"/>
      <c r="E59" s="33"/>
      <c r="F59" s="90"/>
      <c r="H59" s="113"/>
      <c r="I59" s="26"/>
      <c r="J59" s="98"/>
      <c r="K59" s="36"/>
      <c r="L59" s="26"/>
      <c r="M59" s="26"/>
      <c r="N59" s="26"/>
      <c r="O59" s="93"/>
      <c r="P59" s="95"/>
    </row>
    <row r="60" spans="3:16" x14ac:dyDescent="0.25">
      <c r="C60" s="199"/>
      <c r="D60" s="112"/>
      <c r="E60" s="33"/>
      <c r="F60" s="90"/>
      <c r="H60" s="113"/>
      <c r="I60" s="26"/>
      <c r="J60" s="98"/>
      <c r="K60" s="36"/>
      <c r="L60" s="26"/>
      <c r="M60" s="26"/>
      <c r="N60" s="26"/>
      <c r="O60" s="93"/>
      <c r="P60" s="95"/>
    </row>
    <row r="61" spans="3:16" x14ac:dyDescent="0.25">
      <c r="C61" s="199"/>
      <c r="D61" s="112"/>
      <c r="E61" s="33"/>
      <c r="F61" s="90"/>
      <c r="H61" s="113"/>
      <c r="I61" s="26"/>
      <c r="J61" s="98"/>
      <c r="K61" s="36"/>
      <c r="L61" s="26"/>
      <c r="M61" s="26"/>
      <c r="N61" s="26"/>
      <c r="O61" s="93"/>
      <c r="P61" s="95"/>
    </row>
    <row r="62" spans="3:16" x14ac:dyDescent="0.25">
      <c r="C62" s="199"/>
      <c r="D62" s="112"/>
      <c r="E62" s="33"/>
      <c r="F62" s="90"/>
      <c r="H62" s="113"/>
      <c r="I62" s="26"/>
      <c r="J62" s="98"/>
      <c r="K62" s="36"/>
      <c r="L62" s="26"/>
      <c r="M62" s="26"/>
      <c r="N62" s="26"/>
      <c r="O62" s="93"/>
      <c r="P62" s="95"/>
    </row>
    <row r="63" spans="3:16" x14ac:dyDescent="0.25">
      <c r="C63" s="199"/>
      <c r="D63" s="112"/>
      <c r="E63" s="33"/>
      <c r="F63" s="90"/>
      <c r="H63" s="113"/>
      <c r="I63" s="26"/>
      <c r="J63" s="98"/>
      <c r="K63" s="36"/>
      <c r="L63" s="26"/>
      <c r="M63" s="26"/>
      <c r="N63" s="26"/>
      <c r="O63" s="93"/>
      <c r="P63" s="95"/>
    </row>
    <row r="64" spans="3:16" x14ac:dyDescent="0.25">
      <c r="C64" s="199"/>
      <c r="D64" s="112"/>
      <c r="E64" s="33"/>
      <c r="F64" s="90"/>
      <c r="H64" s="113"/>
      <c r="I64" s="26"/>
      <c r="J64" s="98"/>
      <c r="K64" s="36"/>
      <c r="L64" s="26"/>
      <c r="M64" s="26"/>
      <c r="N64" s="26"/>
      <c r="O64" s="93"/>
      <c r="P64" s="95"/>
    </row>
    <row r="65" spans="3:16" x14ac:dyDescent="0.25">
      <c r="C65" s="199"/>
      <c r="D65" s="112"/>
      <c r="E65" s="33"/>
      <c r="F65" s="90"/>
      <c r="H65" s="113"/>
      <c r="I65" s="26"/>
      <c r="J65" s="98"/>
      <c r="K65" s="36"/>
      <c r="L65" s="26"/>
      <c r="M65" s="26"/>
      <c r="N65" s="26"/>
      <c r="O65" s="93"/>
      <c r="P65" s="95"/>
    </row>
    <row r="66" spans="3:16" x14ac:dyDescent="0.25">
      <c r="C66" s="199"/>
      <c r="D66" s="112"/>
      <c r="E66" s="33"/>
      <c r="F66" s="90"/>
      <c r="H66" s="113"/>
      <c r="I66" s="26"/>
      <c r="J66" s="98"/>
      <c r="K66" s="36"/>
      <c r="L66" s="26"/>
      <c r="M66" s="26"/>
      <c r="N66" s="26"/>
      <c r="O66" s="93"/>
      <c r="P66" s="95"/>
    </row>
    <row r="67" spans="3:16" x14ac:dyDescent="0.25">
      <c r="C67" s="199"/>
      <c r="D67" s="112"/>
      <c r="E67" s="33"/>
      <c r="F67" s="90"/>
      <c r="H67" s="113"/>
      <c r="I67" s="26"/>
      <c r="J67" s="98"/>
      <c r="K67" s="36"/>
      <c r="L67" s="26"/>
      <c r="M67" s="26"/>
      <c r="N67" s="26"/>
      <c r="O67" s="93"/>
      <c r="P67" s="95"/>
    </row>
    <row r="68" spans="3:16" x14ac:dyDescent="0.25">
      <c r="C68" s="199"/>
      <c r="D68" s="112"/>
      <c r="E68" s="33"/>
      <c r="F68" s="90"/>
      <c r="H68" s="113"/>
      <c r="I68" s="26"/>
      <c r="J68" s="98"/>
      <c r="K68" s="36"/>
      <c r="L68" s="26"/>
      <c r="M68" s="26"/>
      <c r="N68" s="26"/>
      <c r="O68" s="93"/>
      <c r="P68" s="95"/>
    </row>
    <row r="69" spans="3:16" x14ac:dyDescent="0.25">
      <c r="C69" s="199"/>
      <c r="D69" s="112"/>
      <c r="E69" s="33"/>
      <c r="F69" s="90"/>
      <c r="H69" s="113"/>
      <c r="I69" s="26"/>
      <c r="J69" s="98"/>
      <c r="K69" s="36"/>
      <c r="L69" s="26"/>
      <c r="M69" s="26"/>
      <c r="N69" s="26"/>
      <c r="O69" s="93"/>
      <c r="P69" s="95"/>
    </row>
    <row r="70" spans="3:16" x14ac:dyDescent="0.25">
      <c r="C70" s="199"/>
      <c r="D70" s="112"/>
      <c r="E70" s="33"/>
      <c r="F70" s="90"/>
      <c r="H70" s="113"/>
      <c r="I70" s="26"/>
      <c r="J70" s="98"/>
      <c r="K70" s="36"/>
      <c r="L70" s="26"/>
      <c r="M70" s="26"/>
      <c r="N70" s="26"/>
      <c r="O70" s="93"/>
      <c r="P70" s="95"/>
    </row>
    <row r="71" spans="3:16" x14ac:dyDescent="0.25">
      <c r="C71" s="199"/>
      <c r="D71" s="112"/>
      <c r="E71" s="33"/>
      <c r="F71" s="90"/>
      <c r="H71" s="113"/>
      <c r="I71" s="26"/>
      <c r="J71" s="98"/>
      <c r="K71" s="36"/>
      <c r="L71" s="26"/>
      <c r="M71" s="26"/>
      <c r="N71" s="26"/>
      <c r="O71" s="93"/>
      <c r="P71" s="95"/>
    </row>
    <row r="72" spans="3:16" x14ac:dyDescent="0.25">
      <c r="C72" s="199"/>
      <c r="D72" s="112"/>
      <c r="E72" s="33"/>
      <c r="F72" s="90"/>
      <c r="H72" s="113"/>
      <c r="I72" s="26"/>
      <c r="J72" s="98"/>
      <c r="K72" s="36"/>
      <c r="L72" s="26"/>
      <c r="M72" s="26"/>
      <c r="N72" s="26"/>
      <c r="O72" s="93"/>
      <c r="P72" s="95"/>
    </row>
    <row r="73" spans="3:16" x14ac:dyDescent="0.25">
      <c r="C73" s="199"/>
      <c r="D73" s="112"/>
      <c r="E73" s="33"/>
      <c r="F73" s="90"/>
      <c r="H73" s="113"/>
      <c r="I73" s="26"/>
      <c r="J73" s="98"/>
      <c r="K73" s="36"/>
      <c r="L73" s="26"/>
      <c r="M73" s="26"/>
      <c r="N73" s="26"/>
      <c r="O73" s="93"/>
      <c r="P73" s="95"/>
    </row>
    <row r="74" spans="3:16" x14ac:dyDescent="0.25">
      <c r="C74" s="199"/>
      <c r="D74" s="112"/>
      <c r="E74" s="33"/>
      <c r="F74" s="90"/>
      <c r="H74" s="113"/>
      <c r="I74" s="26"/>
      <c r="J74" s="98"/>
      <c r="K74" s="36"/>
      <c r="L74" s="26"/>
      <c r="M74" s="26"/>
      <c r="N74" s="26"/>
      <c r="O74" s="93"/>
      <c r="P74" s="95"/>
    </row>
    <row r="75" spans="3:16" x14ac:dyDescent="0.25">
      <c r="C75" s="199"/>
      <c r="D75" s="112"/>
      <c r="E75" s="33"/>
      <c r="F75" s="90"/>
      <c r="H75" s="113"/>
      <c r="I75" s="26"/>
      <c r="J75" s="98"/>
      <c r="K75" s="36"/>
      <c r="L75" s="26"/>
      <c r="M75" s="26"/>
      <c r="N75" s="26"/>
      <c r="O75" s="93"/>
      <c r="P75" s="95"/>
    </row>
    <row r="76" spans="3:16" x14ac:dyDescent="0.25">
      <c r="C76" s="199"/>
      <c r="D76" s="112"/>
      <c r="E76" s="33"/>
      <c r="F76" s="90"/>
      <c r="H76" s="113"/>
      <c r="I76" s="26"/>
      <c r="J76" s="98"/>
      <c r="K76" s="36"/>
      <c r="L76" s="26"/>
      <c r="M76" s="26"/>
      <c r="N76" s="26"/>
      <c r="O76" s="93"/>
      <c r="P76" s="95"/>
    </row>
    <row r="77" spans="3:16" x14ac:dyDescent="0.25">
      <c r="C77" s="199"/>
      <c r="D77" s="112"/>
      <c r="E77" s="33"/>
      <c r="F77" s="90"/>
      <c r="H77" s="113"/>
      <c r="I77" s="26"/>
      <c r="J77" s="98"/>
      <c r="K77" s="36"/>
      <c r="L77" s="26"/>
      <c r="M77" s="26"/>
      <c r="N77" s="26"/>
      <c r="O77" s="93"/>
      <c r="P77" s="95"/>
    </row>
    <row r="78" spans="3:16" x14ac:dyDescent="0.25">
      <c r="C78" s="199"/>
      <c r="D78" s="112"/>
      <c r="E78" s="33"/>
      <c r="F78" s="90"/>
      <c r="H78" s="113"/>
      <c r="I78" s="26"/>
      <c r="J78" s="98"/>
      <c r="K78" s="36"/>
      <c r="L78" s="26"/>
      <c r="M78" s="26"/>
      <c r="N78" s="26"/>
      <c r="O78" s="93"/>
      <c r="P78" s="95"/>
    </row>
    <row r="79" spans="3:16" x14ac:dyDescent="0.25">
      <c r="C79" s="199"/>
      <c r="D79" s="112"/>
      <c r="E79" s="33"/>
      <c r="F79" s="90"/>
      <c r="H79" s="113"/>
      <c r="I79" s="26"/>
      <c r="J79" s="98"/>
      <c r="K79" s="36"/>
      <c r="L79" s="26"/>
      <c r="M79" s="26"/>
      <c r="N79" s="26"/>
      <c r="O79" s="93"/>
      <c r="P79" s="95"/>
    </row>
    <row r="80" spans="3:16" x14ac:dyDescent="0.25">
      <c r="C80" s="199"/>
      <c r="D80" s="112"/>
      <c r="E80" s="33"/>
      <c r="F80" s="90"/>
      <c r="H80" s="113"/>
      <c r="I80" s="26"/>
      <c r="J80" s="98"/>
      <c r="K80" s="36"/>
      <c r="L80" s="26"/>
      <c r="M80" s="26"/>
      <c r="N80" s="26"/>
      <c r="O80" s="93"/>
      <c r="P80" s="95"/>
    </row>
    <row r="81" spans="3:16" x14ac:dyDescent="0.25">
      <c r="C81" s="199"/>
      <c r="D81" s="112"/>
      <c r="E81" s="33"/>
      <c r="F81" s="90"/>
      <c r="H81" s="113"/>
      <c r="I81" s="26"/>
      <c r="J81" s="98"/>
      <c r="K81" s="36"/>
      <c r="L81" s="26"/>
      <c r="M81" s="26"/>
      <c r="N81" s="26"/>
      <c r="O81" s="93"/>
      <c r="P81" s="95"/>
    </row>
    <row r="82" spans="3:16" x14ac:dyDescent="0.25">
      <c r="C82" s="199"/>
      <c r="D82" s="112"/>
      <c r="E82" s="33"/>
      <c r="F82" s="90"/>
      <c r="H82" s="113"/>
      <c r="I82" s="26"/>
      <c r="J82" s="98"/>
      <c r="K82" s="36"/>
      <c r="L82" s="26"/>
      <c r="M82" s="26"/>
      <c r="N82" s="26"/>
      <c r="O82" s="93"/>
      <c r="P82" s="95"/>
    </row>
    <row r="83" spans="3:16" x14ac:dyDescent="0.25">
      <c r="C83" s="199"/>
      <c r="D83" s="112"/>
      <c r="E83" s="33"/>
      <c r="F83" s="90"/>
      <c r="H83" s="113"/>
      <c r="I83" s="26"/>
      <c r="J83" s="98"/>
      <c r="K83" s="36"/>
      <c r="L83" s="26"/>
      <c r="M83" s="26"/>
      <c r="N83" s="26"/>
      <c r="O83" s="93"/>
      <c r="P83" s="95"/>
    </row>
    <row r="84" spans="3:16" x14ac:dyDescent="0.25">
      <c r="C84" s="199"/>
      <c r="D84" s="112"/>
      <c r="E84" s="33"/>
      <c r="F84" s="90"/>
      <c r="H84" s="113"/>
      <c r="I84" s="26"/>
      <c r="J84" s="98"/>
      <c r="K84" s="36"/>
      <c r="L84" s="26"/>
      <c r="M84" s="26"/>
      <c r="N84" s="26"/>
      <c r="O84" s="93"/>
      <c r="P84" s="95"/>
    </row>
    <row r="85" spans="3:16" x14ac:dyDescent="0.25">
      <c r="C85" s="199"/>
      <c r="D85" s="112"/>
      <c r="E85" s="33"/>
      <c r="F85" s="90"/>
      <c r="H85" s="113"/>
      <c r="I85" s="26"/>
      <c r="J85" s="98"/>
      <c r="K85" s="36"/>
      <c r="L85" s="26"/>
      <c r="M85" s="26"/>
      <c r="N85" s="26"/>
      <c r="O85" s="93"/>
      <c r="P85" s="95"/>
    </row>
    <row r="86" spans="3:16" x14ac:dyDescent="0.25">
      <c r="C86" s="199"/>
      <c r="D86" s="112"/>
      <c r="E86" s="33"/>
      <c r="F86" s="90"/>
      <c r="H86" s="113"/>
      <c r="I86" s="26"/>
      <c r="J86" s="98"/>
      <c r="K86" s="36"/>
      <c r="L86" s="26"/>
      <c r="M86" s="26"/>
      <c r="N86" s="26"/>
      <c r="O86" s="93"/>
      <c r="P86" s="95"/>
    </row>
    <row r="87" spans="3:16" x14ac:dyDescent="0.25">
      <c r="C87" s="199"/>
      <c r="D87" s="112"/>
      <c r="E87" s="33"/>
      <c r="F87" s="90"/>
      <c r="H87" s="113"/>
      <c r="I87" s="26"/>
      <c r="J87" s="98"/>
      <c r="K87" s="36"/>
      <c r="L87" s="26"/>
      <c r="M87" s="26"/>
      <c r="N87" s="26"/>
      <c r="O87" s="93"/>
      <c r="P87" s="95"/>
    </row>
    <row r="88" spans="3:16" x14ac:dyDescent="0.25">
      <c r="C88" s="199"/>
      <c r="D88" s="112"/>
      <c r="E88" s="33"/>
      <c r="F88" s="90"/>
      <c r="H88" s="113"/>
      <c r="I88" s="26"/>
      <c r="J88" s="98"/>
      <c r="K88" s="36"/>
      <c r="L88" s="26"/>
      <c r="M88" s="26"/>
      <c r="N88" s="26"/>
      <c r="O88" s="93"/>
      <c r="P88" s="95"/>
    </row>
    <row r="89" spans="3:16" x14ac:dyDescent="0.25">
      <c r="C89" s="199"/>
      <c r="D89" s="112"/>
      <c r="E89" s="33"/>
      <c r="F89" s="90"/>
      <c r="H89" s="113"/>
      <c r="I89" s="26"/>
      <c r="J89" s="98"/>
      <c r="K89" s="36"/>
      <c r="L89" s="26"/>
      <c r="M89" s="26"/>
      <c r="N89" s="26"/>
      <c r="O89" s="93"/>
      <c r="P89" s="95"/>
    </row>
    <row r="90" spans="3:16" x14ac:dyDescent="0.25">
      <c r="C90" s="199"/>
      <c r="D90" s="112"/>
      <c r="E90" s="33"/>
      <c r="F90" s="90"/>
      <c r="H90" s="113"/>
      <c r="I90" s="26"/>
      <c r="J90" s="98"/>
      <c r="K90" s="36"/>
      <c r="L90" s="26"/>
      <c r="M90" s="26"/>
      <c r="N90" s="26"/>
      <c r="O90" s="93"/>
      <c r="P90" s="95"/>
    </row>
    <row r="91" spans="3:16" x14ac:dyDescent="0.25">
      <c r="C91" s="199"/>
      <c r="D91" s="112"/>
      <c r="E91" s="33"/>
      <c r="F91" s="90"/>
      <c r="H91" s="113"/>
      <c r="I91" s="26"/>
      <c r="J91" s="98"/>
      <c r="K91" s="36"/>
      <c r="L91" s="26"/>
      <c r="M91" s="26"/>
      <c r="N91" s="26"/>
      <c r="O91" s="93"/>
      <c r="P91" s="95"/>
    </row>
    <row r="92" spans="3:16" x14ac:dyDescent="0.25">
      <c r="C92" s="199"/>
      <c r="D92" s="112"/>
      <c r="E92" s="33"/>
      <c r="F92" s="90"/>
      <c r="H92" s="113"/>
      <c r="I92" s="26"/>
      <c r="J92" s="98"/>
      <c r="K92" s="36"/>
      <c r="L92" s="26"/>
      <c r="M92" s="26"/>
      <c r="N92" s="26"/>
      <c r="O92" s="93"/>
      <c r="P92" s="95"/>
    </row>
    <row r="93" spans="3:16" x14ac:dyDescent="0.25">
      <c r="C93" s="199"/>
      <c r="D93" s="112"/>
      <c r="E93" s="33"/>
      <c r="F93" s="90"/>
      <c r="H93" s="113"/>
      <c r="I93" s="26"/>
      <c r="J93" s="98"/>
      <c r="K93" s="36"/>
      <c r="L93" s="26"/>
      <c r="M93" s="26"/>
      <c r="N93" s="26"/>
      <c r="O93" s="93"/>
      <c r="P93" s="95"/>
    </row>
    <row r="94" spans="3:16" x14ac:dyDescent="0.25">
      <c r="C94" s="199"/>
      <c r="D94" s="112"/>
      <c r="E94" s="33"/>
      <c r="F94" s="90"/>
      <c r="H94" s="113"/>
      <c r="I94" s="26"/>
      <c r="J94" s="98"/>
      <c r="K94" s="36"/>
      <c r="L94" s="26"/>
      <c r="M94" s="26"/>
      <c r="N94" s="26"/>
      <c r="O94" s="93"/>
      <c r="P94" s="95"/>
    </row>
    <row r="95" spans="3:16" x14ac:dyDescent="0.25">
      <c r="C95" s="199"/>
      <c r="D95" s="112"/>
      <c r="E95" s="33"/>
      <c r="F95" s="90"/>
      <c r="H95" s="113"/>
      <c r="I95" s="26"/>
      <c r="J95" s="98"/>
      <c r="K95" s="36"/>
      <c r="L95" s="26"/>
      <c r="M95" s="26"/>
      <c r="N95" s="26"/>
      <c r="O95" s="93"/>
      <c r="P95" s="95"/>
    </row>
    <row r="96" spans="3:16" x14ac:dyDescent="0.25">
      <c r="C96" s="199"/>
      <c r="D96" s="112"/>
      <c r="E96" s="33"/>
      <c r="F96" s="90"/>
      <c r="H96" s="113"/>
      <c r="I96" s="26"/>
      <c r="J96" s="98"/>
      <c r="K96" s="36"/>
      <c r="L96" s="26"/>
      <c r="M96" s="26"/>
      <c r="N96" s="26"/>
      <c r="O96" s="93"/>
      <c r="P96" s="95"/>
    </row>
    <row r="97" spans="3:16" x14ac:dyDescent="0.25">
      <c r="C97" s="199"/>
      <c r="D97" s="112"/>
      <c r="E97" s="33"/>
      <c r="F97" s="90"/>
      <c r="H97" s="113"/>
      <c r="I97" s="26"/>
      <c r="J97" s="98"/>
      <c r="K97" s="36"/>
      <c r="L97" s="26"/>
      <c r="M97" s="26"/>
      <c r="N97" s="26"/>
      <c r="O97" s="93"/>
      <c r="P97" s="95"/>
    </row>
    <row r="98" spans="3:16" x14ac:dyDescent="0.25">
      <c r="C98" s="199"/>
      <c r="D98" s="112"/>
      <c r="E98" s="33"/>
      <c r="F98" s="90"/>
      <c r="H98" s="113"/>
      <c r="I98" s="26"/>
      <c r="J98" s="98"/>
      <c r="K98" s="36"/>
      <c r="L98" s="26"/>
      <c r="M98" s="26"/>
      <c r="N98" s="26"/>
      <c r="O98" s="93"/>
      <c r="P98" s="95"/>
    </row>
    <row r="99" spans="3:16" x14ac:dyDescent="0.25">
      <c r="C99" s="199"/>
      <c r="D99" s="112"/>
      <c r="E99" s="33"/>
      <c r="F99" s="90"/>
      <c r="H99" s="113"/>
      <c r="I99" s="26"/>
      <c r="J99" s="98"/>
      <c r="K99" s="36"/>
      <c r="L99" s="26"/>
      <c r="M99" s="26"/>
      <c r="N99" s="26"/>
      <c r="O99" s="93"/>
      <c r="P99" s="95"/>
    </row>
    <row r="100" spans="3:16" x14ac:dyDescent="0.25">
      <c r="C100" s="199"/>
      <c r="D100" s="112"/>
      <c r="E100" s="33"/>
      <c r="F100" s="90"/>
      <c r="H100" s="113"/>
      <c r="I100" s="26"/>
      <c r="J100" s="98"/>
      <c r="K100" s="36"/>
      <c r="L100" s="26"/>
      <c r="M100" s="26"/>
      <c r="N100" s="26"/>
      <c r="O100" s="93"/>
      <c r="P100" s="95"/>
    </row>
    <row r="101" spans="3:16" x14ac:dyDescent="0.25">
      <c r="C101" s="199"/>
      <c r="D101" s="112"/>
      <c r="E101" s="33"/>
      <c r="F101" s="90"/>
      <c r="H101" s="113"/>
      <c r="I101" s="26"/>
      <c r="J101" s="98"/>
      <c r="K101" s="36"/>
      <c r="L101" s="26"/>
      <c r="M101" s="26"/>
      <c r="N101" s="26"/>
      <c r="O101" s="93"/>
      <c r="P101" s="95"/>
    </row>
    <row r="102" spans="3:16" x14ac:dyDescent="0.25">
      <c r="C102" s="199"/>
      <c r="D102" s="112"/>
      <c r="E102" s="33"/>
      <c r="F102" s="90"/>
      <c r="H102" s="113"/>
      <c r="I102" s="26"/>
      <c r="J102" s="98"/>
      <c r="K102" s="36"/>
      <c r="L102" s="26"/>
      <c r="M102" s="26"/>
      <c r="N102" s="26"/>
      <c r="O102" s="93"/>
      <c r="P102" s="95"/>
    </row>
    <row r="103" spans="3:16" x14ac:dyDescent="0.25">
      <c r="C103" s="199"/>
      <c r="D103" s="112"/>
      <c r="E103" s="33"/>
      <c r="F103" s="90"/>
      <c r="H103" s="113"/>
      <c r="I103" s="26"/>
      <c r="J103" s="98"/>
      <c r="K103" s="36"/>
      <c r="L103" s="26"/>
      <c r="M103" s="26"/>
      <c r="N103" s="26"/>
      <c r="O103" s="93"/>
      <c r="P103" s="95"/>
    </row>
    <row r="104" spans="3:16" x14ac:dyDescent="0.25">
      <c r="C104" s="199"/>
      <c r="D104" s="112"/>
      <c r="E104" s="33"/>
      <c r="F104" s="90"/>
      <c r="H104" s="113"/>
      <c r="I104" s="26"/>
      <c r="J104" s="98"/>
      <c r="K104" s="36"/>
      <c r="L104" s="26"/>
      <c r="M104" s="26"/>
      <c r="N104" s="26"/>
      <c r="O104" s="93"/>
      <c r="P104" s="95"/>
    </row>
    <row r="105" spans="3:16" x14ac:dyDescent="0.25">
      <c r="C105" s="199"/>
      <c r="D105" s="112"/>
      <c r="E105" s="33"/>
      <c r="F105" s="90"/>
      <c r="H105" s="113"/>
      <c r="I105" s="26"/>
      <c r="J105" s="98"/>
      <c r="K105" s="36"/>
      <c r="L105" s="26"/>
      <c r="M105" s="26"/>
      <c r="N105" s="26"/>
      <c r="O105" s="93"/>
      <c r="P105" s="95"/>
    </row>
    <row r="106" spans="3:16" x14ac:dyDescent="0.25">
      <c r="C106" s="199"/>
      <c r="D106" s="112"/>
      <c r="E106" s="33"/>
      <c r="F106" s="90"/>
      <c r="H106" s="113"/>
      <c r="I106" s="26"/>
      <c r="J106" s="98"/>
      <c r="K106" s="36"/>
      <c r="L106" s="26"/>
      <c r="M106" s="26"/>
      <c r="N106" s="26"/>
      <c r="O106" s="93"/>
      <c r="P106" s="95"/>
    </row>
    <row r="107" spans="3:16" x14ac:dyDescent="0.25">
      <c r="C107" s="199"/>
      <c r="D107" s="112"/>
      <c r="E107" s="33"/>
      <c r="F107" s="90"/>
      <c r="H107" s="113"/>
      <c r="I107" s="26"/>
      <c r="J107" s="98"/>
      <c r="K107" s="36"/>
      <c r="L107" s="26"/>
      <c r="M107" s="26"/>
      <c r="N107" s="26"/>
      <c r="O107" s="93"/>
      <c r="P107" s="95"/>
    </row>
    <row r="108" spans="3:16" x14ac:dyDescent="0.25">
      <c r="C108" s="199"/>
      <c r="D108" s="112"/>
      <c r="E108" s="33"/>
      <c r="F108" s="90"/>
      <c r="H108" s="113"/>
      <c r="I108" s="26"/>
      <c r="J108" s="98"/>
      <c r="K108" s="36"/>
      <c r="L108" s="26"/>
      <c r="M108" s="26"/>
      <c r="N108" s="26"/>
      <c r="O108" s="93"/>
      <c r="P108" s="95"/>
    </row>
    <row r="109" spans="3:16" x14ac:dyDescent="0.25">
      <c r="C109" s="199"/>
      <c r="D109" s="112"/>
      <c r="E109" s="33"/>
      <c r="F109" s="90"/>
      <c r="H109" s="113"/>
      <c r="I109" s="26"/>
      <c r="J109" s="98"/>
      <c r="K109" s="36"/>
      <c r="L109" s="26"/>
      <c r="M109" s="26"/>
      <c r="N109" s="26"/>
      <c r="O109" s="93"/>
      <c r="P109" s="95"/>
    </row>
    <row r="110" spans="3:16" x14ac:dyDescent="0.25">
      <c r="C110" s="199"/>
      <c r="D110" s="112"/>
      <c r="E110" s="33"/>
      <c r="F110" s="90"/>
      <c r="H110" s="113"/>
      <c r="I110" s="26"/>
      <c r="J110" s="98"/>
      <c r="K110" s="36"/>
      <c r="L110" s="26"/>
      <c r="M110" s="26"/>
      <c r="N110" s="26"/>
      <c r="O110" s="93"/>
      <c r="P110" s="95"/>
    </row>
    <row r="111" spans="3:16" x14ac:dyDescent="0.25">
      <c r="C111" s="199"/>
      <c r="D111" s="112"/>
      <c r="E111" s="33"/>
      <c r="F111" s="90"/>
      <c r="H111" s="113"/>
      <c r="I111" s="26"/>
      <c r="J111" s="98"/>
      <c r="K111" s="36"/>
      <c r="L111" s="26"/>
      <c r="M111" s="26"/>
      <c r="N111" s="26"/>
      <c r="O111" s="93"/>
      <c r="P111" s="95"/>
    </row>
    <row r="112" spans="3:16" x14ac:dyDescent="0.25">
      <c r="C112" s="199"/>
      <c r="D112" s="112"/>
      <c r="E112" s="33"/>
      <c r="F112" s="90"/>
      <c r="H112" s="113"/>
      <c r="I112" s="26"/>
      <c r="J112" s="98"/>
      <c r="K112" s="36"/>
      <c r="L112" s="26"/>
      <c r="M112" s="26"/>
      <c r="N112" s="26"/>
      <c r="O112" s="93"/>
      <c r="P112" s="95"/>
    </row>
    <row r="113" spans="3:16" x14ac:dyDescent="0.25">
      <c r="C113" s="199"/>
      <c r="D113" s="112"/>
      <c r="E113" s="33"/>
      <c r="F113" s="90"/>
      <c r="H113" s="113"/>
      <c r="I113" s="26"/>
      <c r="J113" s="98"/>
      <c r="K113" s="36"/>
      <c r="L113" s="26"/>
      <c r="M113" s="26"/>
      <c r="N113" s="26"/>
      <c r="O113" s="93"/>
      <c r="P113" s="95"/>
    </row>
    <row r="114" spans="3:16" x14ac:dyDescent="0.25">
      <c r="C114" s="26"/>
      <c r="D114" s="112"/>
      <c r="E114" s="33"/>
      <c r="F114" s="90"/>
      <c r="H114" s="113"/>
      <c r="I114" s="26"/>
      <c r="J114" s="98"/>
      <c r="K114" s="36"/>
      <c r="L114" s="26"/>
      <c r="M114" s="26"/>
      <c r="N114" s="26"/>
      <c r="O114" s="93"/>
      <c r="P114" s="95"/>
    </row>
    <row r="115" spans="3:16" x14ac:dyDescent="0.25">
      <c r="C115" s="26"/>
      <c r="D115" s="112"/>
      <c r="E115" s="33"/>
      <c r="F115" s="90"/>
      <c r="H115" s="113"/>
      <c r="I115" s="26"/>
      <c r="J115" s="98"/>
      <c r="K115" s="36"/>
      <c r="L115" s="26"/>
      <c r="M115" s="26"/>
      <c r="N115" s="26"/>
      <c r="O115" s="93"/>
      <c r="P115" s="95"/>
    </row>
    <row r="116" spans="3:16" x14ac:dyDescent="0.25">
      <c r="C116" s="26"/>
      <c r="D116" s="112"/>
      <c r="E116" s="33"/>
      <c r="F116" s="90"/>
      <c r="H116" s="113"/>
      <c r="I116" s="26"/>
      <c r="J116" s="98"/>
      <c r="K116" s="36"/>
      <c r="L116" s="26"/>
      <c r="M116" s="26"/>
      <c r="N116" s="26"/>
      <c r="O116" s="93"/>
      <c r="P116" s="95"/>
    </row>
    <row r="117" spans="3:16" x14ac:dyDescent="0.25">
      <c r="C117" s="26"/>
      <c r="D117" s="112"/>
      <c r="E117" s="33"/>
      <c r="F117" s="90"/>
      <c r="H117" s="113"/>
      <c r="I117" s="26"/>
      <c r="J117" s="98"/>
      <c r="K117" s="36"/>
      <c r="L117" s="26"/>
      <c r="M117" s="26"/>
      <c r="N117" s="26"/>
      <c r="O117" s="93"/>
      <c r="P117" s="95"/>
    </row>
    <row r="118" spans="3:16" x14ac:dyDescent="0.25">
      <c r="C118" s="26"/>
      <c r="D118" s="112"/>
      <c r="E118" s="33"/>
      <c r="F118" s="90"/>
      <c r="H118" s="113"/>
      <c r="I118" s="26"/>
      <c r="J118" s="98"/>
      <c r="K118" s="36"/>
      <c r="L118" s="26"/>
      <c r="M118" s="26"/>
      <c r="N118" s="26"/>
      <c r="O118" s="93"/>
      <c r="P118" s="95"/>
    </row>
    <row r="119" spans="3:16" x14ac:dyDescent="0.25">
      <c r="C119" s="26"/>
      <c r="D119" s="112"/>
      <c r="E119" s="33"/>
      <c r="F119" s="90"/>
      <c r="H119" s="113"/>
      <c r="I119" s="26"/>
      <c r="J119" s="98"/>
      <c r="K119" s="36"/>
      <c r="L119" s="26"/>
      <c r="M119" s="26"/>
      <c r="N119" s="26"/>
      <c r="O119" s="93"/>
      <c r="P119" s="95"/>
    </row>
    <row r="120" spans="3:16" x14ac:dyDescent="0.25">
      <c r="C120" s="26"/>
      <c r="D120" s="112"/>
      <c r="E120" s="33"/>
      <c r="F120" s="90"/>
      <c r="H120" s="113"/>
      <c r="I120" s="26"/>
      <c r="J120" s="98"/>
      <c r="K120" s="36"/>
      <c r="L120" s="26"/>
      <c r="M120" s="26"/>
      <c r="N120" s="26"/>
      <c r="O120" s="93"/>
      <c r="P120" s="95"/>
    </row>
    <row r="121" spans="3:16" x14ac:dyDescent="0.25">
      <c r="C121" s="26"/>
      <c r="D121" s="112"/>
      <c r="E121" s="33"/>
      <c r="F121" s="90"/>
      <c r="H121" s="113"/>
      <c r="I121" s="26"/>
      <c r="J121" s="98"/>
      <c r="K121" s="36"/>
      <c r="L121" s="26"/>
      <c r="M121" s="26"/>
      <c r="N121" s="26"/>
      <c r="O121" s="93"/>
      <c r="P121" s="95"/>
    </row>
    <row r="122" spans="3:16" x14ac:dyDescent="0.25">
      <c r="C122" s="26"/>
      <c r="D122" s="112"/>
      <c r="E122" s="33"/>
      <c r="F122" s="90"/>
      <c r="H122" s="113"/>
      <c r="I122" s="26"/>
      <c r="J122" s="98"/>
      <c r="K122" s="36"/>
      <c r="L122" s="26"/>
      <c r="M122" s="26"/>
      <c r="N122" s="26"/>
      <c r="O122" s="93"/>
      <c r="P122" s="95"/>
    </row>
    <row r="123" spans="3:16" x14ac:dyDescent="0.25">
      <c r="C123" s="26"/>
      <c r="D123" s="112"/>
      <c r="E123" s="33"/>
      <c r="F123" s="90"/>
      <c r="H123" s="113"/>
      <c r="I123" s="26"/>
      <c r="J123" s="98"/>
      <c r="K123" s="36"/>
      <c r="L123" s="26"/>
      <c r="M123" s="26"/>
      <c r="N123" s="26"/>
      <c r="O123" s="93"/>
      <c r="P123" s="95"/>
    </row>
    <row r="124" spans="3:16" x14ac:dyDescent="0.25">
      <c r="C124" s="26"/>
      <c r="D124" s="112"/>
      <c r="E124" s="33"/>
      <c r="F124" s="90"/>
      <c r="H124" s="113"/>
      <c r="I124" s="26"/>
      <c r="J124" s="98"/>
      <c r="K124" s="36"/>
      <c r="L124" s="26"/>
      <c r="M124" s="26"/>
      <c r="N124" s="26"/>
      <c r="O124" s="93"/>
      <c r="P124" s="95"/>
    </row>
    <row r="125" spans="3:16" x14ac:dyDescent="0.25">
      <c r="C125" s="26"/>
      <c r="D125" s="112"/>
      <c r="E125" s="33"/>
      <c r="F125" s="90"/>
      <c r="H125" s="113"/>
      <c r="I125" s="26"/>
      <c r="J125" s="98"/>
      <c r="K125" s="36"/>
      <c r="L125" s="26"/>
      <c r="M125" s="26"/>
      <c r="N125" s="26"/>
      <c r="O125" s="93"/>
      <c r="P125" s="95"/>
    </row>
    <row r="126" spans="3:16" x14ac:dyDescent="0.25">
      <c r="C126" s="26"/>
      <c r="D126" s="112"/>
      <c r="E126" s="33"/>
      <c r="F126" s="90"/>
      <c r="H126" s="113"/>
      <c r="I126" s="26"/>
      <c r="J126" s="98"/>
      <c r="K126" s="36"/>
      <c r="L126" s="26"/>
      <c r="M126" s="26"/>
      <c r="N126" s="26"/>
      <c r="O126" s="93"/>
      <c r="P126" s="95"/>
    </row>
    <row r="127" spans="3:16" x14ac:dyDescent="0.25">
      <c r="C127" s="26"/>
      <c r="D127" s="112"/>
      <c r="E127" s="33"/>
      <c r="F127" s="90"/>
      <c r="H127" s="113"/>
      <c r="I127" s="26"/>
      <c r="J127" s="98"/>
      <c r="K127" s="36"/>
      <c r="L127" s="26"/>
      <c r="M127" s="26"/>
      <c r="N127" s="26"/>
      <c r="O127" s="93"/>
      <c r="P127" s="95"/>
    </row>
    <row r="128" spans="3:16" x14ac:dyDescent="0.25">
      <c r="C128" s="26"/>
      <c r="D128" s="112"/>
      <c r="E128" s="33"/>
      <c r="F128" s="90"/>
      <c r="H128" s="113"/>
      <c r="I128" s="26"/>
      <c r="J128" s="98"/>
      <c r="K128" s="36"/>
      <c r="L128" s="26"/>
      <c r="M128" s="26"/>
      <c r="N128" s="26"/>
      <c r="O128" s="93"/>
      <c r="P128" s="95"/>
    </row>
    <row r="129" spans="3:16" x14ac:dyDescent="0.25">
      <c r="C129" s="26"/>
      <c r="D129" s="112"/>
      <c r="E129" s="33"/>
      <c r="F129" s="90"/>
      <c r="H129" s="113"/>
      <c r="I129" s="26"/>
      <c r="J129" s="98"/>
      <c r="K129" s="36"/>
      <c r="L129" s="26"/>
      <c r="M129" s="26"/>
      <c r="N129" s="26"/>
      <c r="O129" s="93"/>
      <c r="P129" s="95"/>
    </row>
    <row r="130" spans="3:16" x14ac:dyDescent="0.25">
      <c r="C130" s="26"/>
      <c r="D130" s="112"/>
      <c r="E130" s="33"/>
      <c r="F130" s="90"/>
      <c r="H130" s="113"/>
      <c r="I130" s="26"/>
      <c r="J130" s="98"/>
      <c r="K130" s="36"/>
      <c r="L130" s="26"/>
      <c r="M130" s="26"/>
      <c r="N130" s="26"/>
      <c r="O130" s="93"/>
      <c r="P130" s="95"/>
    </row>
    <row r="131" spans="3:16" x14ac:dyDescent="0.25">
      <c r="C131" s="26"/>
      <c r="D131" s="112"/>
      <c r="E131" s="33"/>
      <c r="F131" s="90"/>
      <c r="H131" s="113"/>
      <c r="I131" s="26"/>
      <c r="J131" s="98"/>
      <c r="K131" s="36"/>
      <c r="L131" s="26"/>
      <c r="M131" s="26"/>
      <c r="N131" s="26"/>
      <c r="O131" s="93"/>
      <c r="P131" s="95"/>
    </row>
    <row r="132" spans="3:16" x14ac:dyDescent="0.25">
      <c r="C132" s="26"/>
      <c r="D132" s="112"/>
      <c r="E132" s="33"/>
      <c r="F132" s="90"/>
      <c r="H132" s="113"/>
      <c r="I132" s="26"/>
      <c r="J132" s="98"/>
      <c r="K132" s="36"/>
      <c r="L132" s="26"/>
      <c r="M132" s="26"/>
      <c r="N132" s="26"/>
      <c r="O132" s="93"/>
      <c r="P132" s="95"/>
    </row>
    <row r="133" spans="3:16" x14ac:dyDescent="0.25">
      <c r="C133" s="26"/>
      <c r="D133" s="112"/>
      <c r="E133" s="33"/>
      <c r="F133" s="90"/>
      <c r="H133" s="113"/>
      <c r="I133" s="26"/>
      <c r="J133" s="98"/>
      <c r="K133" s="36"/>
      <c r="L133" s="26"/>
      <c r="M133" s="26"/>
      <c r="N133" s="26"/>
      <c r="O133" s="93"/>
      <c r="P133" s="95"/>
    </row>
    <row r="134" spans="3:16" x14ac:dyDescent="0.25">
      <c r="C134" s="26"/>
      <c r="D134" s="112"/>
      <c r="E134" s="33"/>
      <c r="F134" s="90"/>
      <c r="H134" s="113"/>
      <c r="I134" s="26"/>
      <c r="J134" s="98"/>
      <c r="K134" s="36"/>
      <c r="L134" s="26"/>
      <c r="M134" s="26"/>
      <c r="N134" s="26"/>
      <c r="O134" s="93"/>
      <c r="P134" s="95"/>
    </row>
    <row r="135" spans="3:16" x14ac:dyDescent="0.25">
      <c r="C135" s="26"/>
      <c r="D135" s="112"/>
      <c r="E135" s="33"/>
      <c r="F135" s="90"/>
      <c r="H135" s="113"/>
      <c r="I135" s="26"/>
      <c r="J135" s="98"/>
      <c r="K135" s="36"/>
      <c r="L135" s="26"/>
      <c r="M135" s="26"/>
      <c r="N135" s="26"/>
      <c r="O135" s="93"/>
      <c r="P135" s="95"/>
    </row>
    <row r="136" spans="3:16" x14ac:dyDescent="0.25">
      <c r="C136" s="26"/>
      <c r="D136" s="112"/>
      <c r="E136" s="33"/>
      <c r="F136" s="90"/>
      <c r="H136" s="113"/>
      <c r="I136" s="26"/>
      <c r="J136" s="98"/>
      <c r="K136" s="36"/>
      <c r="L136" s="26"/>
      <c r="M136" s="26"/>
      <c r="N136" s="26"/>
      <c r="O136" s="93"/>
      <c r="P136" s="95"/>
    </row>
    <row r="137" spans="3:16" x14ac:dyDescent="0.25">
      <c r="C137" s="26"/>
      <c r="D137" s="112"/>
      <c r="E137" s="33"/>
      <c r="F137" s="90"/>
      <c r="H137" s="113"/>
      <c r="I137" s="26"/>
      <c r="J137" s="98"/>
      <c r="K137" s="36"/>
      <c r="L137" s="26"/>
      <c r="M137" s="26"/>
      <c r="N137" s="26"/>
      <c r="O137" s="93"/>
      <c r="P137" s="95"/>
    </row>
    <row r="138" spans="3:16" x14ac:dyDescent="0.25">
      <c r="C138" s="26"/>
      <c r="D138" s="112"/>
      <c r="E138" s="33"/>
      <c r="F138" s="90"/>
      <c r="H138" s="113"/>
      <c r="I138" s="26"/>
      <c r="J138" s="98"/>
      <c r="K138" s="36"/>
      <c r="L138" s="26"/>
      <c r="M138" s="26"/>
      <c r="N138" s="26"/>
      <c r="O138" s="93"/>
      <c r="P138" s="95"/>
    </row>
    <row r="139" spans="3:16" x14ac:dyDescent="0.25">
      <c r="C139" s="26"/>
      <c r="D139" s="112"/>
      <c r="E139" s="33"/>
      <c r="F139" s="90"/>
      <c r="H139" s="113"/>
      <c r="I139" s="26"/>
      <c r="J139" s="98"/>
      <c r="K139" s="36"/>
      <c r="L139" s="26"/>
      <c r="M139" s="26"/>
      <c r="N139" s="26"/>
      <c r="O139" s="93"/>
      <c r="P139" s="95"/>
    </row>
    <row r="140" spans="3:16" x14ac:dyDescent="0.25">
      <c r="C140" s="26"/>
      <c r="D140" s="112"/>
      <c r="E140" s="33"/>
      <c r="F140" s="90"/>
      <c r="H140" s="113"/>
      <c r="I140" s="26"/>
      <c r="J140" s="98"/>
      <c r="K140" s="36"/>
      <c r="L140" s="26"/>
      <c r="M140" s="26"/>
      <c r="N140" s="26"/>
      <c r="O140" s="93"/>
      <c r="P140" s="95"/>
    </row>
    <row r="141" spans="3:16" x14ac:dyDescent="0.25">
      <c r="C141" s="26"/>
      <c r="D141" s="112"/>
      <c r="E141" s="33"/>
      <c r="F141" s="90"/>
      <c r="H141" s="113"/>
      <c r="I141" s="26"/>
      <c r="J141" s="98"/>
      <c r="K141" s="36"/>
      <c r="L141" s="26"/>
      <c r="M141" s="26"/>
      <c r="N141" s="26"/>
      <c r="O141" s="93"/>
      <c r="P141" s="95"/>
    </row>
    <row r="142" spans="3:16" x14ac:dyDescent="0.25">
      <c r="C142" s="26"/>
      <c r="D142" s="112"/>
      <c r="E142" s="33"/>
      <c r="F142" s="90"/>
      <c r="H142" s="113"/>
      <c r="I142" s="26"/>
      <c r="J142" s="98"/>
      <c r="K142" s="36"/>
      <c r="L142" s="26"/>
      <c r="M142" s="26"/>
      <c r="N142" s="26"/>
      <c r="O142" s="93"/>
      <c r="P142" s="95"/>
    </row>
    <row r="143" spans="3:16" x14ac:dyDescent="0.25">
      <c r="C143" s="26"/>
      <c r="D143" s="112"/>
      <c r="E143" s="33"/>
      <c r="F143" s="90"/>
      <c r="H143" s="113"/>
      <c r="I143" s="26"/>
      <c r="J143" s="98"/>
      <c r="K143" s="36"/>
      <c r="L143" s="26"/>
      <c r="M143" s="26"/>
      <c r="N143" s="26"/>
      <c r="O143" s="93"/>
      <c r="P143" s="95"/>
    </row>
    <row r="144" spans="3:16" x14ac:dyDescent="0.25">
      <c r="C144" s="26"/>
      <c r="D144" s="112"/>
      <c r="E144" s="33"/>
      <c r="F144" s="90"/>
      <c r="H144" s="113"/>
      <c r="I144" s="26"/>
      <c r="J144" s="98"/>
      <c r="K144" s="36"/>
      <c r="L144" s="26"/>
      <c r="M144" s="26"/>
      <c r="N144" s="26"/>
      <c r="O144" s="93"/>
      <c r="P144" s="95"/>
    </row>
    <row r="145" spans="3:16" x14ac:dyDescent="0.25">
      <c r="C145" s="26"/>
      <c r="D145" s="112"/>
      <c r="E145" s="33"/>
      <c r="F145" s="90"/>
      <c r="H145" s="113"/>
      <c r="I145" s="26"/>
      <c r="J145" s="98"/>
      <c r="K145" s="36"/>
      <c r="L145" s="26"/>
      <c r="M145" s="26"/>
      <c r="N145" s="26"/>
      <c r="O145" s="93"/>
      <c r="P145" s="95"/>
    </row>
    <row r="146" spans="3:16" x14ac:dyDescent="0.25">
      <c r="C146" s="26"/>
      <c r="D146" s="112"/>
      <c r="E146" s="33"/>
      <c r="F146" s="90"/>
      <c r="H146" s="113"/>
      <c r="I146" s="26"/>
      <c r="J146" s="98"/>
      <c r="K146" s="36"/>
      <c r="L146" s="26"/>
      <c r="M146" s="26"/>
      <c r="N146" s="26"/>
      <c r="O146" s="93"/>
      <c r="P146" s="95"/>
    </row>
    <row r="147" spans="3:16" x14ac:dyDescent="0.25">
      <c r="C147" s="26"/>
      <c r="D147" s="112"/>
      <c r="E147" s="33"/>
      <c r="F147" s="90"/>
      <c r="H147" s="113"/>
      <c r="I147" s="26"/>
      <c r="J147" s="98"/>
      <c r="K147" s="36"/>
      <c r="L147" s="26"/>
      <c r="M147" s="26"/>
      <c r="N147" s="26"/>
      <c r="O147" s="93"/>
      <c r="P147" s="95"/>
    </row>
    <row r="148" spans="3:16" x14ac:dyDescent="0.25">
      <c r="C148" s="26"/>
      <c r="D148" s="112"/>
      <c r="E148" s="33"/>
      <c r="F148" s="90"/>
      <c r="H148" s="113"/>
      <c r="I148" s="26"/>
      <c r="J148" s="98"/>
      <c r="K148" s="36"/>
      <c r="L148" s="26"/>
      <c r="M148" s="26"/>
      <c r="N148" s="26"/>
      <c r="O148" s="93"/>
      <c r="P148" s="95"/>
    </row>
    <row r="149" spans="3:16" x14ac:dyDescent="0.25">
      <c r="C149" s="26"/>
      <c r="D149" s="112"/>
      <c r="E149" s="33"/>
      <c r="F149" s="90"/>
      <c r="H149" s="113"/>
      <c r="I149" s="26"/>
      <c r="J149" s="98"/>
      <c r="K149" s="36"/>
      <c r="L149" s="26"/>
      <c r="M149" s="26"/>
      <c r="N149" s="26"/>
      <c r="O149" s="93"/>
      <c r="P149" s="95"/>
    </row>
    <row r="150" spans="3:16" x14ac:dyDescent="0.25">
      <c r="C150" s="26"/>
      <c r="D150" s="112"/>
      <c r="E150" s="33"/>
      <c r="F150" s="90"/>
      <c r="H150" s="113"/>
      <c r="I150" s="26"/>
      <c r="J150" s="98"/>
      <c r="K150" s="36"/>
      <c r="L150" s="26"/>
      <c r="M150" s="26"/>
      <c r="N150" s="26"/>
      <c r="O150" s="93"/>
      <c r="P150" s="95"/>
    </row>
    <row r="151" spans="3:16" x14ac:dyDescent="0.25">
      <c r="C151" s="26"/>
      <c r="D151" s="112"/>
      <c r="E151" s="33"/>
      <c r="F151" s="90"/>
      <c r="H151" s="113"/>
      <c r="I151" s="26"/>
      <c r="J151" s="98"/>
      <c r="K151" s="36"/>
      <c r="L151" s="26"/>
      <c r="M151" s="26"/>
      <c r="N151" s="26"/>
      <c r="O151" s="93"/>
      <c r="P151" s="95"/>
    </row>
    <row r="152" spans="3:16" x14ac:dyDescent="0.25">
      <c r="C152" s="26"/>
      <c r="D152" s="112"/>
      <c r="E152" s="33"/>
      <c r="F152" s="90"/>
      <c r="H152" s="113"/>
      <c r="I152" s="26"/>
      <c r="J152" s="98"/>
      <c r="K152" s="36"/>
      <c r="L152" s="26"/>
      <c r="M152" s="26"/>
      <c r="N152" s="26"/>
      <c r="O152" s="93"/>
      <c r="P152" s="95"/>
    </row>
    <row r="153" spans="3:16" x14ac:dyDescent="0.25">
      <c r="C153" s="26"/>
      <c r="D153" s="112"/>
      <c r="E153" s="33"/>
      <c r="F153" s="90"/>
      <c r="H153" s="113"/>
      <c r="I153" s="26"/>
      <c r="J153" s="98"/>
      <c r="K153" s="36"/>
      <c r="L153" s="26"/>
      <c r="M153" s="26"/>
      <c r="N153" s="26"/>
      <c r="O153" s="93"/>
      <c r="P153" s="95"/>
    </row>
    <row r="154" spans="3:16" x14ac:dyDescent="0.25">
      <c r="C154" s="26"/>
      <c r="D154" s="112"/>
      <c r="E154" s="33"/>
      <c r="F154" s="90"/>
      <c r="H154" s="113"/>
      <c r="I154" s="26"/>
      <c r="J154" s="98"/>
      <c r="K154" s="36"/>
      <c r="L154" s="26"/>
      <c r="M154" s="26"/>
      <c r="N154" s="26"/>
      <c r="O154" s="93"/>
      <c r="P154" s="95"/>
    </row>
    <row r="155" spans="3:16" x14ac:dyDescent="0.25">
      <c r="C155" s="26"/>
      <c r="D155" s="112"/>
      <c r="E155" s="33"/>
      <c r="F155" s="90"/>
      <c r="H155" s="113"/>
      <c r="I155" s="26"/>
      <c r="J155" s="98"/>
      <c r="K155" s="36"/>
      <c r="L155" s="26"/>
      <c r="M155" s="26"/>
      <c r="N155" s="26"/>
      <c r="O155" s="93"/>
      <c r="P155" s="95"/>
    </row>
    <row r="156" spans="3:16" x14ac:dyDescent="0.25">
      <c r="C156" s="26"/>
      <c r="D156" s="112"/>
      <c r="E156" s="33"/>
      <c r="F156" s="90"/>
      <c r="H156" s="113"/>
      <c r="I156" s="26"/>
      <c r="J156" s="98"/>
      <c r="K156" s="36"/>
      <c r="L156" s="26"/>
      <c r="M156" s="26"/>
      <c r="N156" s="26"/>
      <c r="O156" s="93"/>
      <c r="P156" s="95"/>
    </row>
    <row r="157" spans="3:16" x14ac:dyDescent="0.25">
      <c r="C157" s="26"/>
      <c r="D157" s="112"/>
      <c r="E157" s="33"/>
      <c r="F157" s="90"/>
      <c r="H157" s="113"/>
      <c r="I157" s="26"/>
      <c r="J157" s="98"/>
      <c r="K157" s="36"/>
      <c r="L157" s="26"/>
      <c r="M157" s="26"/>
      <c r="N157" s="26"/>
      <c r="O157" s="93"/>
      <c r="P157" s="95"/>
    </row>
    <row r="158" spans="3:16" x14ac:dyDescent="0.25">
      <c r="C158" s="26"/>
      <c r="D158" s="112"/>
      <c r="E158" s="33"/>
      <c r="F158" s="90"/>
      <c r="H158" s="113"/>
      <c r="I158" s="26"/>
      <c r="J158" s="98"/>
      <c r="K158" s="36"/>
      <c r="L158" s="26"/>
      <c r="M158" s="26"/>
      <c r="N158" s="26"/>
      <c r="O158" s="93"/>
      <c r="P158" s="95"/>
    </row>
    <row r="159" spans="3:16" x14ac:dyDescent="0.25">
      <c r="C159" s="26"/>
      <c r="D159" s="112"/>
      <c r="E159" s="33"/>
      <c r="F159" s="90"/>
      <c r="H159" s="113"/>
      <c r="I159" s="26"/>
      <c r="J159" s="98"/>
      <c r="K159" s="36"/>
      <c r="L159" s="26"/>
      <c r="M159" s="26"/>
      <c r="N159" s="26"/>
      <c r="O159" s="93"/>
      <c r="P159" s="95"/>
    </row>
    <row r="160" spans="3:16" x14ac:dyDescent="0.25">
      <c r="C160" s="26"/>
      <c r="D160" s="112"/>
      <c r="E160" s="33"/>
      <c r="F160" s="90"/>
      <c r="H160" s="113"/>
      <c r="I160" s="26"/>
      <c r="J160" s="98"/>
      <c r="K160" s="36"/>
      <c r="L160" s="26"/>
      <c r="M160" s="26"/>
      <c r="N160" s="26"/>
      <c r="O160" s="93"/>
      <c r="P160" s="95"/>
    </row>
    <row r="161" spans="3:16" x14ac:dyDescent="0.25">
      <c r="C161" s="26"/>
      <c r="D161" s="112"/>
      <c r="E161" s="33"/>
      <c r="F161" s="90"/>
      <c r="H161" s="113"/>
      <c r="I161" s="26"/>
      <c r="J161" s="98"/>
      <c r="K161" s="36"/>
      <c r="L161" s="26"/>
      <c r="M161" s="26"/>
      <c r="N161" s="26"/>
      <c r="O161" s="93"/>
      <c r="P161" s="95"/>
    </row>
    <row r="162" spans="3:16" x14ac:dyDescent="0.25">
      <c r="C162" s="26"/>
      <c r="D162" s="112"/>
      <c r="E162" s="33"/>
      <c r="F162" s="90"/>
      <c r="H162" s="113"/>
      <c r="I162" s="26"/>
      <c r="J162" s="98"/>
      <c r="K162" s="36"/>
      <c r="L162" s="26"/>
      <c r="M162" s="26"/>
      <c r="N162" s="26"/>
      <c r="O162" s="93"/>
      <c r="P162" s="95"/>
    </row>
    <row r="163" spans="3:16" x14ac:dyDescent="0.25">
      <c r="C163" s="26"/>
      <c r="D163" s="112"/>
      <c r="E163" s="33"/>
      <c r="F163" s="90"/>
      <c r="H163" s="113"/>
      <c r="I163" s="26"/>
      <c r="J163" s="98"/>
      <c r="K163" s="36"/>
      <c r="L163" s="26"/>
      <c r="M163" s="26"/>
      <c r="N163" s="26"/>
      <c r="O163" s="93"/>
      <c r="P163" s="95"/>
    </row>
    <row r="164" spans="3:16" x14ac:dyDescent="0.25">
      <c r="C164" s="26"/>
      <c r="D164" s="112"/>
      <c r="E164" s="33"/>
      <c r="F164" s="90"/>
      <c r="H164" s="113"/>
      <c r="I164" s="26"/>
      <c r="J164" s="98"/>
      <c r="K164" s="36"/>
      <c r="L164" s="26"/>
      <c r="M164" s="26"/>
      <c r="N164" s="26"/>
      <c r="O164" s="93"/>
      <c r="P164" s="95"/>
    </row>
    <row r="165" spans="3:16" x14ac:dyDescent="0.25">
      <c r="C165" s="26"/>
      <c r="D165" s="112"/>
      <c r="E165" s="33"/>
      <c r="F165" s="90"/>
      <c r="H165" s="113"/>
      <c r="I165" s="26"/>
      <c r="J165" s="98"/>
      <c r="K165" s="36"/>
      <c r="L165" s="26"/>
      <c r="M165" s="26"/>
      <c r="N165" s="26"/>
      <c r="O165" s="93"/>
      <c r="P165" s="95"/>
    </row>
    <row r="166" spans="3:16" x14ac:dyDescent="0.25">
      <c r="C166" s="26"/>
      <c r="D166" s="112"/>
      <c r="E166" s="33"/>
      <c r="F166" s="90"/>
      <c r="H166" s="113"/>
      <c r="I166" s="26"/>
      <c r="J166" s="98"/>
      <c r="K166" s="36"/>
      <c r="L166" s="26"/>
      <c r="M166" s="26"/>
      <c r="N166" s="26"/>
      <c r="O166" s="93"/>
      <c r="P166" s="95"/>
    </row>
    <row r="167" spans="3:16" x14ac:dyDescent="0.25">
      <c r="C167" s="26"/>
      <c r="D167" s="112"/>
      <c r="E167" s="33"/>
      <c r="F167" s="90"/>
      <c r="H167" s="113"/>
      <c r="I167" s="26"/>
      <c r="J167" s="98"/>
      <c r="K167" s="36"/>
      <c r="L167" s="26"/>
      <c r="M167" s="26"/>
      <c r="N167" s="26"/>
      <c r="O167" s="93"/>
      <c r="P167" s="95"/>
    </row>
    <row r="168" spans="3:16" x14ac:dyDescent="0.25">
      <c r="C168" s="26"/>
      <c r="D168" s="112"/>
      <c r="E168" s="33"/>
      <c r="F168" s="90"/>
      <c r="H168" s="113"/>
      <c r="I168" s="26"/>
      <c r="J168" s="98"/>
      <c r="K168" s="36"/>
      <c r="L168" s="26"/>
      <c r="M168" s="26"/>
      <c r="N168" s="26"/>
      <c r="O168" s="93"/>
      <c r="P168" s="95"/>
    </row>
    <row r="169" spans="3:16" x14ac:dyDescent="0.25">
      <c r="C169" s="26"/>
      <c r="D169" s="112"/>
      <c r="E169" s="33"/>
      <c r="F169" s="90"/>
      <c r="H169" s="113"/>
      <c r="I169" s="26"/>
      <c r="J169" s="98"/>
      <c r="K169" s="36"/>
      <c r="L169" s="26"/>
      <c r="M169" s="26"/>
      <c r="N169" s="26"/>
      <c r="O169" s="93"/>
      <c r="P169" s="95"/>
    </row>
    <row r="170" spans="3:16" x14ac:dyDescent="0.25">
      <c r="C170" s="26"/>
      <c r="D170" s="112"/>
      <c r="E170" s="33"/>
      <c r="F170" s="90"/>
      <c r="H170" s="113"/>
      <c r="I170" s="26"/>
      <c r="J170" s="98"/>
      <c r="K170" s="36"/>
      <c r="L170" s="26"/>
      <c r="M170" s="26"/>
      <c r="N170" s="26"/>
      <c r="O170" s="93"/>
      <c r="P170" s="95"/>
    </row>
    <row r="171" spans="3:16" x14ac:dyDescent="0.25">
      <c r="C171" s="26"/>
      <c r="D171" s="112"/>
      <c r="E171" s="33"/>
      <c r="F171" s="90"/>
      <c r="H171" s="113"/>
      <c r="I171" s="26"/>
      <c r="J171" s="98"/>
      <c r="K171" s="36"/>
      <c r="L171" s="26"/>
      <c r="M171" s="26"/>
      <c r="N171" s="26"/>
      <c r="O171" s="93"/>
      <c r="P171" s="95"/>
    </row>
    <row r="172" spans="3:16" x14ac:dyDescent="0.25">
      <c r="C172" s="26"/>
      <c r="D172" s="112"/>
      <c r="E172" s="33"/>
      <c r="F172" s="90"/>
      <c r="H172" s="113"/>
      <c r="I172" s="26"/>
      <c r="J172" s="98"/>
      <c r="K172" s="36"/>
      <c r="L172" s="26"/>
      <c r="M172" s="26"/>
      <c r="N172" s="26"/>
      <c r="O172" s="93"/>
      <c r="P172" s="95"/>
    </row>
    <row r="173" spans="3:16" x14ac:dyDescent="0.25">
      <c r="C173" s="26"/>
      <c r="D173" s="112"/>
      <c r="E173" s="33"/>
      <c r="F173" s="90"/>
      <c r="H173" s="113"/>
      <c r="I173" s="26"/>
      <c r="J173" s="98"/>
      <c r="K173" s="36"/>
      <c r="L173" s="26"/>
      <c r="M173" s="26"/>
      <c r="N173" s="26"/>
      <c r="O173" s="93"/>
      <c r="P173" s="95"/>
    </row>
    <row r="174" spans="3:16" x14ac:dyDescent="0.25">
      <c r="C174" s="26"/>
      <c r="D174" s="112"/>
      <c r="E174" s="33"/>
      <c r="F174" s="90"/>
      <c r="H174" s="113"/>
      <c r="I174" s="26"/>
      <c r="J174" s="98"/>
      <c r="K174" s="36"/>
      <c r="L174" s="26"/>
      <c r="M174" s="26"/>
      <c r="N174" s="26"/>
      <c r="O174" s="93"/>
      <c r="P174" s="95"/>
    </row>
    <row r="175" spans="3:16" x14ac:dyDescent="0.25">
      <c r="C175" s="26"/>
      <c r="D175" s="112"/>
      <c r="E175" s="33"/>
      <c r="F175" s="90"/>
      <c r="H175" s="113"/>
      <c r="I175" s="26"/>
      <c r="J175" s="98"/>
      <c r="K175" s="36"/>
      <c r="L175" s="26"/>
      <c r="M175" s="26"/>
      <c r="N175" s="26"/>
      <c r="O175" s="93"/>
      <c r="P175" s="95"/>
    </row>
    <row r="176" spans="3:16" x14ac:dyDescent="0.25">
      <c r="C176" s="26"/>
      <c r="D176" s="112"/>
      <c r="E176" s="33"/>
      <c r="F176" s="90"/>
      <c r="H176" s="113"/>
      <c r="I176" s="26"/>
      <c r="J176" s="98"/>
      <c r="K176" s="36"/>
      <c r="L176" s="26"/>
      <c r="M176" s="26"/>
      <c r="N176" s="26"/>
      <c r="O176" s="93"/>
      <c r="P176" s="95"/>
    </row>
    <row r="177" spans="3:16" x14ac:dyDescent="0.25">
      <c r="C177" s="26"/>
      <c r="D177" s="112"/>
      <c r="E177" s="33"/>
      <c r="F177" s="90"/>
      <c r="H177" s="113"/>
      <c r="I177" s="26"/>
      <c r="J177" s="98"/>
      <c r="K177" s="36"/>
      <c r="L177" s="26"/>
      <c r="M177" s="26"/>
      <c r="N177" s="26"/>
      <c r="O177" s="93"/>
      <c r="P177" s="95"/>
    </row>
    <row r="178" spans="3:16" x14ac:dyDescent="0.25">
      <c r="C178" s="26"/>
      <c r="D178" s="112"/>
      <c r="E178" s="33"/>
      <c r="F178" s="90"/>
      <c r="H178" s="113"/>
      <c r="I178" s="26"/>
      <c r="J178" s="98"/>
      <c r="K178" s="36"/>
      <c r="L178" s="26"/>
      <c r="M178" s="26"/>
      <c r="N178" s="26"/>
      <c r="O178" s="93"/>
      <c r="P178" s="95"/>
    </row>
    <row r="179" spans="3:16" x14ac:dyDescent="0.25">
      <c r="C179" s="26"/>
      <c r="D179" s="112"/>
      <c r="E179" s="33"/>
      <c r="F179" s="90"/>
      <c r="H179" s="113"/>
      <c r="I179" s="26"/>
      <c r="J179" s="98"/>
      <c r="K179" s="36"/>
      <c r="L179" s="26"/>
      <c r="M179" s="26"/>
      <c r="N179" s="26"/>
      <c r="O179" s="93"/>
      <c r="P179" s="95"/>
    </row>
    <row r="180" spans="3:16" x14ac:dyDescent="0.25">
      <c r="C180" s="26"/>
      <c r="D180" s="112"/>
      <c r="E180" s="33"/>
      <c r="F180" s="90"/>
      <c r="H180" s="113"/>
      <c r="I180" s="26"/>
      <c r="J180" s="98"/>
      <c r="K180" s="36"/>
      <c r="L180" s="26"/>
      <c r="M180" s="26"/>
      <c r="N180" s="26"/>
      <c r="O180" s="93"/>
      <c r="P180" s="95"/>
    </row>
    <row r="181" spans="3:16" x14ac:dyDescent="0.25">
      <c r="C181" s="26"/>
      <c r="D181" s="112"/>
      <c r="E181" s="33"/>
      <c r="F181" s="90"/>
      <c r="H181" s="113"/>
      <c r="I181" s="26"/>
      <c r="J181" s="98"/>
      <c r="K181" s="36"/>
      <c r="L181" s="26"/>
      <c r="M181" s="26"/>
      <c r="N181" s="26"/>
      <c r="O181" s="93"/>
      <c r="P181" s="95"/>
    </row>
    <row r="182" spans="3:16" x14ac:dyDescent="0.25">
      <c r="C182" s="26"/>
      <c r="D182" s="112"/>
      <c r="E182" s="33"/>
      <c r="F182" s="90"/>
      <c r="H182" s="113"/>
      <c r="I182" s="26"/>
      <c r="J182" s="98"/>
      <c r="K182" s="36"/>
      <c r="L182" s="26"/>
      <c r="M182" s="26"/>
      <c r="N182" s="26"/>
      <c r="O182" s="93"/>
      <c r="P182" s="95"/>
    </row>
    <row r="183" spans="3:16" x14ac:dyDescent="0.25">
      <c r="C183" s="26"/>
      <c r="D183" s="112"/>
      <c r="E183" s="33"/>
      <c r="F183" s="90"/>
      <c r="H183" s="113"/>
      <c r="I183" s="26"/>
      <c r="J183" s="98"/>
      <c r="K183" s="36"/>
      <c r="L183" s="26"/>
      <c r="M183" s="26"/>
      <c r="N183" s="26"/>
      <c r="O183" s="93"/>
      <c r="P183" s="95"/>
    </row>
    <row r="184" spans="3:16" x14ac:dyDescent="0.25">
      <c r="C184" s="26"/>
      <c r="D184" s="112"/>
      <c r="E184" s="33"/>
      <c r="F184" s="90"/>
      <c r="H184" s="113"/>
      <c r="I184" s="26"/>
      <c r="J184" s="98"/>
      <c r="K184" s="36"/>
      <c r="L184" s="26"/>
      <c r="M184" s="26"/>
      <c r="N184" s="26"/>
      <c r="O184" s="93"/>
      <c r="P184" s="95"/>
    </row>
    <row r="185" spans="3:16" x14ac:dyDescent="0.25">
      <c r="C185" s="26"/>
      <c r="D185" s="112"/>
      <c r="E185" s="33"/>
      <c r="F185" s="90"/>
      <c r="H185" s="113"/>
      <c r="I185" s="26"/>
      <c r="J185" s="98"/>
      <c r="K185" s="36"/>
      <c r="L185" s="26"/>
      <c r="M185" s="26"/>
      <c r="N185" s="26"/>
      <c r="O185" s="93"/>
      <c r="P185" s="95"/>
    </row>
    <row r="186" spans="3:16" x14ac:dyDescent="0.25">
      <c r="C186" s="26"/>
      <c r="D186" s="112"/>
      <c r="E186" s="33"/>
      <c r="F186" s="90"/>
      <c r="H186" s="113"/>
      <c r="I186" s="26"/>
      <c r="J186" s="98"/>
      <c r="K186" s="36"/>
      <c r="L186" s="26"/>
      <c r="M186" s="26"/>
      <c r="N186" s="26"/>
      <c r="O186" s="93"/>
      <c r="P186" s="95"/>
    </row>
    <row r="187" spans="3:16" x14ac:dyDescent="0.25">
      <c r="C187" s="26"/>
      <c r="D187" s="112"/>
      <c r="E187" s="33"/>
      <c r="F187" s="90"/>
      <c r="H187" s="113"/>
      <c r="I187" s="26"/>
      <c r="J187" s="98"/>
      <c r="K187" s="36"/>
      <c r="L187" s="26"/>
      <c r="M187" s="26"/>
      <c r="N187" s="26"/>
      <c r="O187" s="93"/>
      <c r="P187" s="95"/>
    </row>
    <row r="188" spans="3:16" x14ac:dyDescent="0.25">
      <c r="C188" s="26"/>
      <c r="D188" s="112"/>
      <c r="E188" s="33"/>
      <c r="F188" s="90"/>
      <c r="H188" s="113"/>
      <c r="I188" s="26"/>
      <c r="J188" s="98"/>
      <c r="K188" s="36"/>
      <c r="L188" s="26"/>
      <c r="M188" s="26"/>
      <c r="N188" s="26"/>
      <c r="O188" s="93"/>
      <c r="P188" s="95"/>
    </row>
    <row r="189" spans="3:16" x14ac:dyDescent="0.25">
      <c r="C189" s="26"/>
      <c r="D189" s="112"/>
      <c r="E189" s="33"/>
      <c r="F189" s="90"/>
      <c r="H189" s="113"/>
      <c r="I189" s="26"/>
      <c r="J189" s="98"/>
      <c r="K189" s="36"/>
      <c r="L189" s="26"/>
      <c r="M189" s="26"/>
      <c r="N189" s="26"/>
      <c r="O189" s="93"/>
      <c r="P189" s="95"/>
    </row>
    <row r="190" spans="3:16" x14ac:dyDescent="0.25">
      <c r="C190" s="26"/>
      <c r="D190" s="112"/>
      <c r="E190" s="33"/>
      <c r="F190" s="90"/>
      <c r="H190" s="113"/>
      <c r="I190" s="26"/>
      <c r="J190" s="98"/>
      <c r="K190" s="36"/>
      <c r="L190" s="26"/>
      <c r="M190" s="26"/>
      <c r="N190" s="26"/>
      <c r="O190" s="93"/>
      <c r="P190" s="95"/>
    </row>
    <row r="191" spans="3:16" x14ac:dyDescent="0.25">
      <c r="C191" s="26"/>
      <c r="D191" s="112"/>
      <c r="E191" s="33"/>
      <c r="F191" s="90"/>
      <c r="H191" s="113"/>
      <c r="I191" s="26"/>
      <c r="J191" s="98"/>
      <c r="K191" s="36"/>
      <c r="L191" s="26"/>
      <c r="M191" s="26"/>
      <c r="N191" s="26"/>
      <c r="O191" s="93"/>
      <c r="P191" s="95"/>
    </row>
    <row r="192" spans="3:16" x14ac:dyDescent="0.25">
      <c r="C192" s="26"/>
      <c r="D192" s="112"/>
      <c r="E192" s="33"/>
      <c r="F192" s="90"/>
      <c r="H192" s="113"/>
      <c r="I192" s="26"/>
      <c r="J192" s="98"/>
      <c r="K192" s="36"/>
      <c r="L192" s="26"/>
      <c r="M192" s="26"/>
      <c r="N192" s="26"/>
      <c r="O192" s="93"/>
      <c r="P192" s="95"/>
    </row>
    <row r="193" spans="3:16" x14ac:dyDescent="0.25">
      <c r="C193" s="26"/>
      <c r="D193" s="112"/>
      <c r="E193" s="33"/>
      <c r="F193" s="90"/>
      <c r="H193" s="113"/>
      <c r="I193" s="26"/>
      <c r="J193" s="98"/>
      <c r="K193" s="36"/>
      <c r="L193" s="26"/>
      <c r="M193" s="26"/>
      <c r="N193" s="26"/>
      <c r="O193" s="93"/>
      <c r="P193" s="95"/>
    </row>
    <row r="194" spans="3:16" x14ac:dyDescent="0.25">
      <c r="C194" s="26"/>
      <c r="D194" s="112"/>
      <c r="E194" s="33"/>
      <c r="F194" s="90"/>
      <c r="H194" s="113"/>
      <c r="I194" s="26"/>
      <c r="J194" s="98"/>
      <c r="K194" s="36"/>
      <c r="L194" s="26"/>
      <c r="M194" s="26"/>
      <c r="N194" s="26"/>
      <c r="O194" s="93"/>
      <c r="P194" s="95"/>
    </row>
    <row r="195" spans="3:16" x14ac:dyDescent="0.25">
      <c r="C195" s="26"/>
      <c r="D195" s="112"/>
      <c r="E195" s="33"/>
      <c r="F195" s="90"/>
      <c r="H195" s="113"/>
      <c r="I195" s="26"/>
      <c r="J195" s="98"/>
      <c r="K195" s="36"/>
      <c r="L195" s="26"/>
      <c r="M195" s="26"/>
      <c r="N195" s="26"/>
      <c r="O195" s="93"/>
      <c r="P195" s="95"/>
    </row>
    <row r="196" spans="3:16" x14ac:dyDescent="0.25">
      <c r="C196" s="26"/>
      <c r="D196" s="112"/>
      <c r="E196" s="33"/>
      <c r="F196" s="90"/>
      <c r="H196" s="113"/>
      <c r="I196" s="26"/>
      <c r="J196" s="98"/>
      <c r="K196" s="36"/>
      <c r="L196" s="26"/>
      <c r="M196" s="26"/>
      <c r="N196" s="26"/>
      <c r="O196" s="93"/>
      <c r="P196" s="95"/>
    </row>
    <row r="197" spans="3:16" x14ac:dyDescent="0.25">
      <c r="C197" s="26"/>
      <c r="D197" s="112"/>
      <c r="E197" s="33"/>
      <c r="F197" s="90"/>
      <c r="H197" s="113"/>
      <c r="I197" s="26"/>
      <c r="J197" s="98"/>
      <c r="K197" s="36"/>
      <c r="L197" s="26"/>
      <c r="M197" s="26"/>
      <c r="N197" s="26"/>
      <c r="O197" s="93"/>
      <c r="P197" s="95"/>
    </row>
    <row r="198" spans="3:16" x14ac:dyDescent="0.25">
      <c r="C198" s="26"/>
      <c r="D198" s="112"/>
      <c r="E198" s="33"/>
      <c r="F198" s="90"/>
      <c r="H198" s="113"/>
      <c r="I198" s="26"/>
      <c r="J198" s="98"/>
      <c r="K198" s="36"/>
      <c r="L198" s="26"/>
      <c r="M198" s="26"/>
      <c r="N198" s="26"/>
      <c r="O198" s="93"/>
      <c r="P198" s="95"/>
    </row>
    <row r="199" spans="3:16" x14ac:dyDescent="0.25">
      <c r="C199" s="26"/>
      <c r="D199" s="112"/>
      <c r="E199" s="33"/>
      <c r="F199" s="90"/>
      <c r="H199" s="113"/>
      <c r="I199" s="26"/>
      <c r="J199" s="98"/>
      <c r="K199" s="36"/>
      <c r="L199" s="26"/>
      <c r="M199" s="26"/>
      <c r="N199" s="26"/>
      <c r="O199" s="93"/>
      <c r="P199" s="95"/>
    </row>
    <row r="200" spans="3:16" x14ac:dyDescent="0.25">
      <c r="C200" s="26"/>
      <c r="D200" s="112"/>
      <c r="E200" s="33"/>
      <c r="F200" s="90"/>
      <c r="H200" s="113"/>
      <c r="I200" s="26"/>
      <c r="J200" s="98"/>
      <c r="K200" s="36"/>
      <c r="L200" s="26"/>
      <c r="M200" s="26"/>
      <c r="N200" s="26"/>
      <c r="O200" s="93"/>
      <c r="P200" s="95"/>
    </row>
    <row r="201" spans="3:16" x14ac:dyDescent="0.25">
      <c r="C201" s="26"/>
      <c r="D201" s="112"/>
      <c r="E201" s="33"/>
      <c r="F201" s="90"/>
      <c r="H201" s="113"/>
      <c r="I201" s="26"/>
      <c r="J201" s="98"/>
      <c r="K201" s="36"/>
      <c r="L201" s="26"/>
      <c r="M201" s="26"/>
      <c r="N201" s="26"/>
      <c r="O201" s="93"/>
      <c r="P201" s="95"/>
    </row>
    <row r="202" spans="3:16" x14ac:dyDescent="0.25">
      <c r="C202" s="26"/>
      <c r="D202" s="112"/>
      <c r="E202" s="33"/>
      <c r="F202" s="90"/>
      <c r="H202" s="113"/>
      <c r="I202" s="26"/>
      <c r="J202" s="98"/>
      <c r="K202" s="36"/>
      <c r="L202" s="26"/>
      <c r="M202" s="26"/>
      <c r="N202" s="26"/>
      <c r="O202" s="93"/>
      <c r="P202" s="95"/>
    </row>
    <row r="203" spans="3:16" x14ac:dyDescent="0.25">
      <c r="C203" s="26"/>
      <c r="D203" s="112"/>
      <c r="E203" s="33"/>
      <c r="F203" s="90"/>
      <c r="H203" s="113"/>
      <c r="I203" s="26"/>
      <c r="J203" s="98"/>
      <c r="K203" s="36"/>
      <c r="L203" s="26"/>
      <c r="M203" s="26"/>
      <c r="N203" s="26"/>
      <c r="O203" s="93"/>
      <c r="P203" s="95"/>
    </row>
    <row r="204" spans="3:16" x14ac:dyDescent="0.25">
      <c r="C204" s="26"/>
      <c r="D204" s="112"/>
      <c r="E204" s="33"/>
      <c r="F204" s="90"/>
      <c r="H204" s="113"/>
      <c r="I204" s="26"/>
      <c r="J204" s="98"/>
      <c r="K204" s="36"/>
      <c r="L204" s="26"/>
      <c r="M204" s="26"/>
      <c r="N204" s="26"/>
      <c r="O204" s="93"/>
      <c r="P204" s="95"/>
    </row>
    <row r="205" spans="3:16" x14ac:dyDescent="0.25">
      <c r="C205" s="26"/>
      <c r="D205" s="112"/>
      <c r="E205" s="33"/>
      <c r="F205" s="90"/>
      <c r="H205" s="113"/>
      <c r="I205" s="26"/>
      <c r="J205" s="98"/>
      <c r="K205" s="36"/>
      <c r="L205" s="26"/>
      <c r="M205" s="26"/>
      <c r="N205" s="26"/>
      <c r="O205" s="93"/>
      <c r="P205" s="95"/>
    </row>
    <row r="206" spans="3:16" x14ac:dyDescent="0.25">
      <c r="C206" s="26"/>
      <c r="D206" s="112"/>
      <c r="E206" s="33"/>
      <c r="F206" s="90"/>
      <c r="H206" s="113"/>
      <c r="I206" s="26"/>
      <c r="J206" s="98"/>
      <c r="K206" s="36"/>
      <c r="L206" s="26"/>
      <c r="M206" s="26"/>
      <c r="N206" s="26"/>
      <c r="O206" s="93"/>
      <c r="P206" s="95"/>
    </row>
    <row r="207" spans="3:16" x14ac:dyDescent="0.25">
      <c r="C207" s="26"/>
      <c r="D207" s="112"/>
      <c r="E207" s="33"/>
      <c r="F207" s="90"/>
      <c r="H207" s="113"/>
      <c r="I207" s="26"/>
      <c r="J207" s="98"/>
      <c r="K207" s="36"/>
      <c r="L207" s="26"/>
      <c r="M207" s="26"/>
      <c r="N207" s="26"/>
      <c r="O207" s="93"/>
      <c r="P207" s="95"/>
    </row>
    <row r="208" spans="3:16" x14ac:dyDescent="0.25">
      <c r="C208" s="26"/>
      <c r="D208" s="112"/>
      <c r="E208" s="33"/>
      <c r="F208" s="90"/>
      <c r="H208" s="113"/>
      <c r="I208" s="26"/>
      <c r="J208" s="98"/>
      <c r="K208" s="36"/>
      <c r="L208" s="26"/>
      <c r="M208" s="26"/>
      <c r="N208" s="26"/>
      <c r="O208" s="93"/>
      <c r="P208" s="95"/>
    </row>
    <row r="209" spans="3:16" x14ac:dyDescent="0.25">
      <c r="C209" s="26"/>
      <c r="D209" s="112"/>
      <c r="E209" s="33"/>
      <c r="F209" s="90"/>
      <c r="H209" s="113"/>
      <c r="I209" s="26"/>
      <c r="J209" s="98"/>
      <c r="K209" s="36"/>
      <c r="L209" s="26"/>
      <c r="M209" s="26"/>
      <c r="N209" s="26"/>
      <c r="O209" s="93"/>
      <c r="P209" s="95"/>
    </row>
    <row r="210" spans="3:16" x14ac:dyDescent="0.25">
      <c r="C210" s="26"/>
      <c r="D210" s="112"/>
      <c r="E210" s="33"/>
      <c r="F210" s="90"/>
      <c r="H210" s="113"/>
      <c r="I210" s="26"/>
      <c r="J210" s="98"/>
      <c r="K210" s="36"/>
      <c r="L210" s="26"/>
      <c r="M210" s="26"/>
      <c r="N210" s="26"/>
      <c r="O210" s="93"/>
      <c r="P210" s="95"/>
    </row>
    <row r="211" spans="3:16" x14ac:dyDescent="0.25">
      <c r="C211" s="26"/>
      <c r="D211" s="112"/>
      <c r="E211" s="33"/>
      <c r="F211" s="90"/>
      <c r="H211" s="113"/>
      <c r="I211" s="26"/>
      <c r="J211" s="98"/>
      <c r="K211" s="36"/>
      <c r="L211" s="26"/>
      <c r="M211" s="26"/>
      <c r="N211" s="26"/>
      <c r="O211" s="93"/>
      <c r="P211" s="95"/>
    </row>
    <row r="212" spans="3:16" x14ac:dyDescent="0.25">
      <c r="C212" s="26"/>
      <c r="D212" s="112"/>
      <c r="E212" s="33"/>
      <c r="F212" s="90"/>
      <c r="H212" s="113"/>
      <c r="I212" s="26"/>
      <c r="J212" s="98"/>
      <c r="K212" s="36"/>
      <c r="L212" s="26"/>
      <c r="M212" s="26"/>
      <c r="N212" s="26"/>
      <c r="O212" s="93"/>
      <c r="P212" s="95"/>
    </row>
    <row r="213" spans="3:16" x14ac:dyDescent="0.25">
      <c r="C213" s="26"/>
      <c r="D213" s="112"/>
      <c r="E213" s="33"/>
      <c r="F213" s="90"/>
      <c r="H213" s="113"/>
      <c r="I213" s="26"/>
      <c r="J213" s="98"/>
      <c r="K213" s="36"/>
      <c r="L213" s="26"/>
      <c r="M213" s="26"/>
      <c r="N213" s="26"/>
      <c r="O213" s="93"/>
      <c r="P213" s="95"/>
    </row>
    <row r="214" spans="3:16" x14ac:dyDescent="0.25">
      <c r="C214" s="26"/>
      <c r="D214" s="112"/>
      <c r="E214" s="33"/>
      <c r="F214" s="90"/>
      <c r="H214" s="113"/>
      <c r="I214" s="26"/>
      <c r="J214" s="98"/>
      <c r="K214" s="36"/>
      <c r="L214" s="26"/>
      <c r="M214" s="26"/>
      <c r="N214" s="26"/>
      <c r="O214" s="93"/>
      <c r="P214" s="95"/>
    </row>
    <row r="215" spans="3:16" x14ac:dyDescent="0.25">
      <c r="C215" s="26"/>
      <c r="D215" s="112"/>
      <c r="E215" s="33"/>
      <c r="F215" s="90"/>
      <c r="H215" s="113"/>
      <c r="I215" s="26"/>
      <c r="J215" s="98"/>
      <c r="K215" s="36"/>
      <c r="L215" s="26"/>
      <c r="M215" s="26"/>
      <c r="N215" s="26"/>
      <c r="O215" s="93"/>
      <c r="P215" s="95"/>
    </row>
    <row r="216" spans="3:16" x14ac:dyDescent="0.25">
      <c r="C216" s="26"/>
      <c r="D216" s="112"/>
      <c r="E216" s="33"/>
      <c r="F216" s="90"/>
      <c r="H216" s="113"/>
      <c r="I216" s="26"/>
      <c r="J216" s="98"/>
      <c r="K216" s="36"/>
      <c r="L216" s="26"/>
      <c r="M216" s="26"/>
      <c r="N216" s="26"/>
      <c r="O216" s="93"/>
      <c r="P216" s="95"/>
    </row>
    <row r="217" spans="3:16" x14ac:dyDescent="0.25">
      <c r="C217" s="26"/>
      <c r="D217" s="112"/>
      <c r="E217" s="33"/>
      <c r="F217" s="90"/>
      <c r="H217" s="113"/>
      <c r="I217" s="26"/>
      <c r="J217" s="98"/>
      <c r="K217" s="36"/>
      <c r="L217" s="26"/>
      <c r="M217" s="26"/>
      <c r="N217" s="26"/>
      <c r="O217" s="93"/>
      <c r="P217" s="95"/>
    </row>
    <row r="218" spans="3:16" x14ac:dyDescent="0.25">
      <c r="C218" s="29"/>
      <c r="D218" s="129"/>
      <c r="E218" s="130"/>
      <c r="F218" s="91"/>
      <c r="H218" s="114"/>
      <c r="I218" s="30"/>
      <c r="J218" s="117"/>
      <c r="L218" s="30"/>
      <c r="M218" s="30"/>
      <c r="N218" s="30"/>
      <c r="O218" s="118"/>
      <c r="P218" s="96"/>
    </row>
  </sheetData>
  <phoneticPr fontId="31" type="noConversion"/>
  <conditionalFormatting sqref="F22:F218">
    <cfRule type="containsText" dxfId="3" priority="1" operator="containsText" text="ERROR">
      <formula>NOT(ISERROR(SEARCH("ERROR",F22)))</formula>
    </cfRule>
  </conditionalFormatting>
  <conditionalFormatting sqref="J22:J218">
    <cfRule type="cellIs" dxfId="2" priority="2" operator="equal">
      <formula>1</formula>
    </cfRule>
  </conditionalFormatting>
  <hyperlinks>
    <hyperlink ref="E7" location="'Asset exclusions'!A1" display="'Asset exclusions'!A1" xr:uid="{00000000-0004-0000-0700-000000000000}"/>
  </hyperlinks>
  <pageMargins left="0.7" right="0.7" top="0.75" bottom="0.75" header="0.3" footer="0.3"/>
  <pageSetup paperSize="9" orientation="portrait" verticalDpi="598"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7" tint="0.79998168889431442"/>
  </sheetPr>
  <dimension ref="C3:AT103"/>
  <sheetViews>
    <sheetView showGridLines="0" zoomScale="70" zoomScaleNormal="70" workbookViewId="0">
      <selection activeCell="AV12" sqref="AV12"/>
    </sheetView>
  </sheetViews>
  <sheetFormatPr defaultRowHeight="11.5" outlineLevelCol="1" x14ac:dyDescent="0.25"/>
  <cols>
    <col min="1" max="2" width="2.69921875" customWidth="1"/>
    <col min="3" max="3" width="15.69921875" customWidth="1"/>
    <col min="4" max="4" width="21.09765625" customWidth="1"/>
    <col min="5" max="5" width="2.69921875" customWidth="1"/>
    <col min="6" max="6" width="15.69921875" customWidth="1"/>
    <col min="7" max="7" width="12.8984375" customWidth="1"/>
    <col min="8" max="8" width="2.69921875" customWidth="1"/>
    <col min="9" max="9" width="15.69921875" customWidth="1"/>
    <col min="10" max="10" width="15.8984375" customWidth="1"/>
    <col min="11" max="11" width="2.69921875" customWidth="1"/>
    <col min="12" max="12" width="15.69921875" customWidth="1"/>
    <col min="13" max="13" width="17" customWidth="1"/>
    <col min="14" max="14" width="2.69921875" customWidth="1"/>
    <col min="15" max="15" width="15.69921875" hidden="1" customWidth="1" outlineLevel="1"/>
    <col min="16" max="16" width="7.69921875" hidden="1" customWidth="1" outlineLevel="1"/>
    <col min="17" max="17" width="2.69921875" hidden="1" customWidth="1" outlineLevel="1"/>
    <col min="18" max="18" width="15.69921875" hidden="1" customWidth="1" outlineLevel="1"/>
    <col min="19" max="19" width="7.69921875" hidden="1" customWidth="1" outlineLevel="1"/>
    <col min="20" max="20" width="2.69921875" hidden="1" customWidth="1" outlineLevel="1"/>
    <col min="21" max="21" width="15.69921875" hidden="1" customWidth="1" outlineLevel="1"/>
    <col min="22" max="22" width="7.69921875" hidden="1" customWidth="1" outlineLevel="1"/>
    <col min="23" max="23" width="2.69921875" hidden="1" customWidth="1" outlineLevel="1"/>
    <col min="24" max="24" width="15.69921875" hidden="1" customWidth="1" outlineLevel="1"/>
    <col min="25" max="25" width="7.69921875" hidden="1" customWidth="1" outlineLevel="1"/>
    <col min="26" max="26" width="2.69921875" hidden="1" customWidth="1" outlineLevel="1"/>
    <col min="27" max="27" width="15.69921875" hidden="1" customWidth="1" outlineLevel="1"/>
    <col min="28" max="28" width="7.69921875" hidden="1" customWidth="1" outlineLevel="1"/>
    <col min="29" max="29" width="2.69921875" hidden="1" customWidth="1" outlineLevel="1"/>
    <col min="30" max="30" width="15.69921875" hidden="1" customWidth="1" outlineLevel="1"/>
    <col min="31" max="31" width="7.69921875" hidden="1" customWidth="1" outlineLevel="1"/>
    <col min="32" max="32" width="2.69921875" hidden="1" customWidth="1" outlineLevel="1"/>
    <col min="33" max="33" width="15.69921875" hidden="1" customWidth="1" outlineLevel="1"/>
    <col min="34" max="35" width="9" hidden="1" customWidth="1" outlineLevel="1"/>
    <col min="36" max="36" width="29.59765625" hidden="1" customWidth="1" outlineLevel="1"/>
    <col min="37" max="37" width="23.59765625" hidden="1" customWidth="1" outlineLevel="1"/>
    <col min="38" max="39" width="9" hidden="1" customWidth="1" outlineLevel="1"/>
    <col min="40" max="40" width="9" collapsed="1"/>
    <col min="41" max="41" width="28.19921875" bestFit="1" customWidth="1"/>
    <col min="42" max="42" width="11.8984375" customWidth="1"/>
  </cols>
  <sheetData>
    <row r="3" spans="3:45" ht="20" x14ac:dyDescent="0.4">
      <c r="C3" s="57" t="s">
        <v>317</v>
      </c>
    </row>
    <row r="6" spans="3:45" x14ac:dyDescent="0.25">
      <c r="C6" s="6" t="s">
        <v>318</v>
      </c>
      <c r="F6" s="231">
        <f>'General inputs'!H36</f>
        <v>132.64003919815437</v>
      </c>
      <c r="G6" s="168" t="str">
        <f ca="1">"Input entered at "&amp;ADDRESS(ROW('General inputs'!$H$36),COLUMN('General inputs'!$H$36))&amp;" on the '"&amp;MID(CELL("filename",'General inputs'!$A$1),FIND("]",CELL("filename",'General inputs'!$A$1))+1,255)&amp;"' worksheet. "</f>
        <v xml:space="preserve">Input entered at $H$36 on the 'General inputs' worksheet. </v>
      </c>
    </row>
    <row r="8" spans="3:45" x14ac:dyDescent="0.25">
      <c r="F8" s="45" t="s">
        <v>319</v>
      </c>
      <c r="G8" s="45"/>
      <c r="H8" s="46"/>
      <c r="I8" s="45" t="s">
        <v>320</v>
      </c>
      <c r="J8" s="45"/>
      <c r="K8" s="46"/>
      <c r="L8" s="274" t="s">
        <v>321</v>
      </c>
      <c r="M8" s="275"/>
      <c r="N8" s="46"/>
      <c r="O8" s="274" t="s">
        <v>322</v>
      </c>
      <c r="P8" s="275"/>
      <c r="Q8" s="46"/>
      <c r="R8" s="274" t="s">
        <v>323</v>
      </c>
      <c r="S8" s="275"/>
      <c r="T8" s="46"/>
      <c r="U8" s="274" t="s">
        <v>324</v>
      </c>
      <c r="V8" s="275"/>
      <c r="W8" s="46"/>
      <c r="X8" s="274" t="s">
        <v>325</v>
      </c>
      <c r="Y8" s="275"/>
      <c r="Z8" s="46"/>
      <c r="AA8" s="274" t="s">
        <v>326</v>
      </c>
      <c r="AB8" s="275"/>
      <c r="AC8" s="46"/>
      <c r="AD8" s="274" t="s">
        <v>327</v>
      </c>
      <c r="AE8" s="275"/>
      <c r="AF8" s="46"/>
      <c r="AG8" s="274" t="s">
        <v>328</v>
      </c>
      <c r="AH8" s="275"/>
      <c r="AO8" s="268"/>
      <c r="AP8" s="268"/>
    </row>
    <row r="9" spans="3:45" x14ac:dyDescent="0.25">
      <c r="C9" s="6" t="s">
        <v>329</v>
      </c>
      <c r="F9" s="24" t="s">
        <v>330</v>
      </c>
      <c r="G9" s="230">
        <f>F6</f>
        <v>132.64003919815437</v>
      </c>
      <c r="H9" s="36"/>
      <c r="I9" s="24" t="s">
        <v>330</v>
      </c>
      <c r="J9" s="230">
        <v>95.305754309150146</v>
      </c>
      <c r="K9" s="36"/>
      <c r="L9" s="60" t="s">
        <v>331</v>
      </c>
      <c r="M9" s="61" t="s">
        <v>332</v>
      </c>
      <c r="N9" s="36"/>
      <c r="O9" s="60" t="s">
        <v>333</v>
      </c>
      <c r="P9" s="61">
        <v>5000</v>
      </c>
      <c r="Q9" s="36"/>
      <c r="R9" s="60" t="s">
        <v>331</v>
      </c>
      <c r="S9" s="61">
        <v>20000</v>
      </c>
      <c r="T9" s="36"/>
      <c r="U9" s="60" t="s">
        <v>333</v>
      </c>
      <c r="V9" s="61">
        <v>5000</v>
      </c>
      <c r="W9" s="36"/>
      <c r="X9" s="60" t="s">
        <v>331</v>
      </c>
      <c r="Y9" s="61">
        <v>20000</v>
      </c>
      <c r="Z9" s="36"/>
      <c r="AA9" s="60" t="s">
        <v>333</v>
      </c>
      <c r="AB9" s="61">
        <v>5000</v>
      </c>
      <c r="AC9" s="36"/>
      <c r="AD9" s="60" t="s">
        <v>331</v>
      </c>
      <c r="AE9" s="61">
        <v>20000</v>
      </c>
      <c r="AF9" s="36"/>
      <c r="AG9" s="60" t="s">
        <v>333</v>
      </c>
      <c r="AH9" s="61">
        <v>5000</v>
      </c>
      <c r="AO9" s="269"/>
      <c r="AP9" s="268"/>
      <c r="AS9" s="220"/>
    </row>
    <row r="10" spans="3:45" x14ac:dyDescent="0.25">
      <c r="AO10" s="269"/>
      <c r="AP10" s="268"/>
      <c r="AS10" s="220"/>
    </row>
    <row r="11" spans="3:45" ht="34.5" x14ac:dyDescent="0.25">
      <c r="D11" s="167" t="s">
        <v>334</v>
      </c>
      <c r="E11" s="34"/>
      <c r="F11" s="167" t="s">
        <v>335</v>
      </c>
      <c r="G11" s="36" t="s">
        <v>93</v>
      </c>
      <c r="H11" s="36"/>
      <c r="I11" s="34" t="s">
        <v>336</v>
      </c>
      <c r="J11" s="36" t="s">
        <v>93</v>
      </c>
      <c r="K11" s="36"/>
      <c r="L11" s="34" t="s">
        <v>337</v>
      </c>
      <c r="M11" s="36" t="s">
        <v>93</v>
      </c>
      <c r="N11" s="36"/>
      <c r="O11" s="34" t="str">
        <f>"Annual take-up of "&amp;INDEX($AK$12:$AK$19,MATCH(O9,$AJ$12:$AJ$20,0))&amp;" for "&amp;O8</f>
        <v>Annual take-up of properties for Commercial</v>
      </c>
      <c r="P11" s="36" t="s">
        <v>93</v>
      </c>
      <c r="Q11" s="36"/>
      <c r="R11" s="34" t="str">
        <f>"Annual take-up of "&amp;INDEX($AK$12:$AK$19,MATCH(R9,$AJ$12:$AJ$20,0))&amp;" for "&amp;R8</f>
        <v>Annual take-up of hectares for Light industrial</v>
      </c>
      <c r="S11" s="36" t="s">
        <v>93</v>
      </c>
      <c r="T11" s="36"/>
      <c r="U11" s="34" t="str">
        <f>"Annual take-up of "&amp;INDEX($AK$12:$AK$19,MATCH(U9,$AJ$12:$AJ$20,0))&amp;" for "&amp;U8</f>
        <v>Annual take-up of properties for Non-res 4</v>
      </c>
      <c r="V11" s="36" t="s">
        <v>93</v>
      </c>
      <c r="W11" s="36"/>
      <c r="X11" s="34" t="str">
        <f>"Annual take-up of "&amp;INDEX($AK$12:$AK$19,MATCH(X9,$AJ$12:$AJ$20,0))&amp;" for "&amp;X8</f>
        <v>Annual take-up of hectares for Non-res 5</v>
      </c>
      <c r="Y11" s="36" t="s">
        <v>93</v>
      </c>
      <c r="Z11" s="36"/>
      <c r="AA11" s="34" t="str">
        <f>"Annual take-up of "&amp;INDEX($AK$12:$AK$19,MATCH(AA9,$AJ$12:$AJ$20,0))&amp;" for "&amp;AA8</f>
        <v>Annual take-up of properties for Non-res 6</v>
      </c>
      <c r="AB11" s="36" t="s">
        <v>93</v>
      </c>
      <c r="AC11" s="36"/>
      <c r="AD11" s="34" t="str">
        <f>"Annual take-up of "&amp;INDEX($AK$12:$AK$19,MATCH(AD9,$AJ$12:$AJ$20,0))&amp;" for "&amp;AD8</f>
        <v>Annual take-up of hectares for Non-res 7</v>
      </c>
      <c r="AE11" s="36" t="s">
        <v>93</v>
      </c>
      <c r="AF11" s="36"/>
      <c r="AG11" s="34" t="str">
        <f>"Annual take-up of "&amp;INDEX($AK$12:$AK$19,MATCH(AG9,$AJ$12:$AJ$20,0))&amp;" for "&amp;AG8</f>
        <v>Annual take-up of properties for Non-res 8</v>
      </c>
      <c r="AH11" s="36" t="s">
        <v>93</v>
      </c>
      <c r="AJ11" s="101" t="s">
        <v>338</v>
      </c>
      <c r="AK11" s="28"/>
      <c r="AM11" s="131"/>
      <c r="AN11" s="28"/>
      <c r="AO11" s="187" t="str">
        <f>"Total ET in "&amp;'General inputs'!H7</f>
        <v>Total ET in Berowra Creek Wastewater</v>
      </c>
    </row>
    <row r="12" spans="3:45" ht="12" customHeight="1" x14ac:dyDescent="0.25">
      <c r="C12" s="28" t="str">
        <f>'MP Calculations'!D39</f>
        <v>1995-96</v>
      </c>
      <c r="D12" s="184">
        <f>IF(LEFT($C12,4)*1&lt;LEFT('General inputs'!$I$16,4)+'General inputs'!$H$38,SUM(G12,J12,M12,P12,S12,V12,Y12,AB12,AE12,AH12),"")</f>
        <v>289.99134426879152</v>
      </c>
      <c r="F12" s="232"/>
      <c r="G12" s="184">
        <v>257.5</v>
      </c>
      <c r="I12" s="232"/>
      <c r="J12" s="184">
        <v>32.491344268791508</v>
      </c>
      <c r="L12" s="232"/>
      <c r="M12" s="184">
        <v>0</v>
      </c>
      <c r="O12" s="47">
        <v>0</v>
      </c>
      <c r="P12" s="42">
        <f t="shared" ref="P12:P43" si="0">O12*$P$9/$F$6</f>
        <v>0</v>
      </c>
      <c r="R12" s="47">
        <v>0</v>
      </c>
      <c r="S12" s="42">
        <f t="shared" ref="S12:S43" si="1">R12*$S$9/$F$6</f>
        <v>0</v>
      </c>
      <c r="U12" s="47">
        <v>0</v>
      </c>
      <c r="V12" s="42">
        <f t="shared" ref="V12:V43" si="2">U12*$V$9/$F$6</f>
        <v>0</v>
      </c>
      <c r="X12" s="47">
        <v>0</v>
      </c>
      <c r="Y12" s="42">
        <f t="shared" ref="Y12:Y43" si="3">X12*$Y$9/$F$6</f>
        <v>0</v>
      </c>
      <c r="AA12" s="47">
        <v>0</v>
      </c>
      <c r="AB12" s="42">
        <f t="shared" ref="AB12:AB43" si="4">AA12*$AB$9/$F$6</f>
        <v>0</v>
      </c>
      <c r="AD12" s="47">
        <v>0</v>
      </c>
      <c r="AE12" s="42">
        <f t="shared" ref="AE12:AE43" si="5">AD12*$AE$9/$F$6</f>
        <v>0</v>
      </c>
      <c r="AG12" s="47">
        <v>0</v>
      </c>
      <c r="AH12" s="42">
        <f t="shared" ref="AH12:AH43" si="6">AG12*$AH$9/$F$6</f>
        <v>0</v>
      </c>
      <c r="AI12" s="102">
        <v>1</v>
      </c>
      <c r="AJ12" s="62" t="s">
        <v>333</v>
      </c>
      <c r="AK12" s="62" t="s">
        <v>339</v>
      </c>
      <c r="AO12" t="s">
        <v>340</v>
      </c>
      <c r="AP12" s="188">
        <v>19151.141290327629</v>
      </c>
    </row>
    <row r="13" spans="3:45" x14ac:dyDescent="0.25">
      <c r="C13" s="28" t="str">
        <f>'MP Calculations'!D40</f>
        <v>1996-97</v>
      </c>
      <c r="D13" s="185">
        <f>IF(LEFT($C13,4)*1&lt;LEFT('General inputs'!$I$16,4)+'General inputs'!$H$38,SUM(G13,J13,M13,P13,S13,V13,Y13,AB13,AE13,AH13),"")</f>
        <v>1202.2992627852734</v>
      </c>
      <c r="F13" s="233"/>
      <c r="G13" s="185">
        <v>666</v>
      </c>
      <c r="I13" s="233"/>
      <c r="J13" s="185">
        <v>51.793019269916257</v>
      </c>
      <c r="L13" s="233"/>
      <c r="M13" s="185">
        <v>484.5062435153572</v>
      </c>
      <c r="O13" s="38">
        <v>0</v>
      </c>
      <c r="P13" s="43">
        <f t="shared" si="0"/>
        <v>0</v>
      </c>
      <c r="R13" s="38">
        <v>0</v>
      </c>
      <c r="S13" s="43">
        <f t="shared" si="1"/>
        <v>0</v>
      </c>
      <c r="U13" s="38">
        <v>0</v>
      </c>
      <c r="V13" s="43">
        <f t="shared" si="2"/>
        <v>0</v>
      </c>
      <c r="X13" s="38">
        <v>0</v>
      </c>
      <c r="Y13" s="43">
        <f t="shared" si="3"/>
        <v>0</v>
      </c>
      <c r="AA13" s="38">
        <v>0</v>
      </c>
      <c r="AB13" s="43">
        <f t="shared" si="4"/>
        <v>0</v>
      </c>
      <c r="AD13" s="38">
        <v>0</v>
      </c>
      <c r="AE13" s="43">
        <f t="shared" si="5"/>
        <v>0</v>
      </c>
      <c r="AG13" s="38">
        <v>0</v>
      </c>
      <c r="AH13" s="43">
        <f t="shared" si="6"/>
        <v>0</v>
      </c>
      <c r="AI13">
        <f>AI12+1</f>
        <v>2</v>
      </c>
      <c r="AJ13" s="27" t="s">
        <v>331</v>
      </c>
      <c r="AK13" s="27" t="s">
        <v>341</v>
      </c>
      <c r="AO13" t="s">
        <v>342</v>
      </c>
      <c r="AP13" s="188">
        <v>29267.477792158134</v>
      </c>
    </row>
    <row r="14" spans="3:45" x14ac:dyDescent="0.25">
      <c r="C14" s="28" t="str">
        <f>'MP Calculations'!D41</f>
        <v>1997-98</v>
      </c>
      <c r="D14" s="185">
        <f>IF(LEFT($C14,4)*1&lt;LEFT('General inputs'!$I$16,4)+'General inputs'!$H$38,SUM(G14,J14,M14,P14,S14,V14,Y14,AB14,AE14,AH14),"")</f>
        <v>1139.6009764326222</v>
      </c>
      <c r="F14" s="233"/>
      <c r="G14" s="185">
        <v>578</v>
      </c>
      <c r="I14" s="233"/>
      <c r="J14" s="185">
        <v>22.943402055120821</v>
      </c>
      <c r="L14" s="233"/>
      <c r="M14" s="185">
        <v>538.65757437750131</v>
      </c>
      <c r="O14" s="38">
        <v>0</v>
      </c>
      <c r="P14" s="43">
        <f t="shared" si="0"/>
        <v>0</v>
      </c>
      <c r="R14" s="38">
        <v>0</v>
      </c>
      <c r="S14" s="43">
        <f t="shared" si="1"/>
        <v>0</v>
      </c>
      <c r="U14" s="38">
        <v>0</v>
      </c>
      <c r="V14" s="43">
        <f t="shared" si="2"/>
        <v>0</v>
      </c>
      <c r="X14" s="38">
        <v>0</v>
      </c>
      <c r="Y14" s="43">
        <f t="shared" si="3"/>
        <v>0</v>
      </c>
      <c r="AA14" s="38">
        <v>0</v>
      </c>
      <c r="AB14" s="43">
        <f t="shared" si="4"/>
        <v>0</v>
      </c>
      <c r="AD14" s="38">
        <v>0</v>
      </c>
      <c r="AE14" s="43">
        <f t="shared" si="5"/>
        <v>0</v>
      </c>
      <c r="AG14" s="38">
        <v>0</v>
      </c>
      <c r="AH14" s="43">
        <f t="shared" si="6"/>
        <v>0</v>
      </c>
      <c r="AI14">
        <f t="shared" ref="AI14:AI18" si="7">AI13+1</f>
        <v>3</v>
      </c>
      <c r="AJ14" s="27"/>
      <c r="AK14" s="27"/>
      <c r="AO14" t="s">
        <v>343</v>
      </c>
      <c r="AP14" s="189">
        <f>SUM(AP13,D12:D102)</f>
        <v>45320.195128886677</v>
      </c>
      <c r="AQ14" s="69"/>
    </row>
    <row r="15" spans="3:45" x14ac:dyDescent="0.25">
      <c r="C15" s="28" t="str">
        <f>'MP Calculations'!D42</f>
        <v>1998-99</v>
      </c>
      <c r="D15" s="185">
        <f>IF(LEFT($C15,4)*1&lt;LEFT('General inputs'!$I$16,4)+'General inputs'!$H$38,SUM(G15,J15,M15,P15,S15,V15,Y15,AB15,AE15,AH15),"")</f>
        <v>493.85353627954476</v>
      </c>
      <c r="F15" s="233"/>
      <c r="G15" s="185">
        <v>457</v>
      </c>
      <c r="I15" s="233"/>
      <c r="J15" s="185">
        <v>36.853536279544748</v>
      </c>
      <c r="L15" s="233"/>
      <c r="M15" s="185">
        <v>0</v>
      </c>
      <c r="O15" s="38">
        <v>0</v>
      </c>
      <c r="P15" s="43">
        <f t="shared" si="0"/>
        <v>0</v>
      </c>
      <c r="R15" s="38">
        <v>0</v>
      </c>
      <c r="S15" s="43">
        <f t="shared" si="1"/>
        <v>0</v>
      </c>
      <c r="U15" s="38">
        <v>0</v>
      </c>
      <c r="V15" s="43">
        <f t="shared" si="2"/>
        <v>0</v>
      </c>
      <c r="X15" s="38">
        <v>0</v>
      </c>
      <c r="Y15" s="43">
        <f t="shared" si="3"/>
        <v>0</v>
      </c>
      <c r="AA15" s="38">
        <v>0</v>
      </c>
      <c r="AB15" s="43">
        <f t="shared" si="4"/>
        <v>0</v>
      </c>
      <c r="AD15" s="38">
        <v>0</v>
      </c>
      <c r="AE15" s="43">
        <f t="shared" si="5"/>
        <v>0</v>
      </c>
      <c r="AG15" s="38">
        <v>0</v>
      </c>
      <c r="AH15" s="43">
        <f t="shared" si="6"/>
        <v>0</v>
      </c>
      <c r="AI15">
        <f t="shared" si="7"/>
        <v>4</v>
      </c>
      <c r="AJ15" s="27"/>
      <c r="AK15" s="27"/>
      <c r="AL15" s="132" t="str">
        <f>"Provide plural notation for the units of measure entered at "&amp;ADDRESS(ROW($AJ$12),COLUMN($AJ$12))&amp;" to "&amp;ADDRESS(ROW($AJ$18),COLUMN($AJ$18))&amp;"."</f>
        <v>Provide plural notation for the units of measure entered at $AJ$12 to $AJ$18.</v>
      </c>
      <c r="AP15" s="69"/>
    </row>
    <row r="16" spans="3:45" x14ac:dyDescent="0.25">
      <c r="C16" s="28" t="str">
        <f>'MP Calculations'!D43</f>
        <v>1999-00</v>
      </c>
      <c r="D16" s="185">
        <f>IF(LEFT($C16,4)*1&lt;LEFT('General inputs'!$I$16,4)+'General inputs'!$H$38,SUM(G16,J16,M16,P16,S16,V16,Y16,AB16,AE16,AH16),"")</f>
        <v>708.28224765339905</v>
      </c>
      <c r="F16" s="233"/>
      <c r="G16" s="185">
        <v>392</v>
      </c>
      <c r="I16" s="233"/>
      <c r="J16" s="185">
        <v>39.170164848472893</v>
      </c>
      <c r="L16" s="233"/>
      <c r="M16" s="185">
        <v>277.11208280492616</v>
      </c>
      <c r="O16" s="38">
        <v>0</v>
      </c>
      <c r="P16" s="43">
        <f t="shared" si="0"/>
        <v>0</v>
      </c>
      <c r="R16" s="38">
        <v>0</v>
      </c>
      <c r="S16" s="43">
        <f t="shared" si="1"/>
        <v>0</v>
      </c>
      <c r="U16" s="38">
        <v>0</v>
      </c>
      <c r="V16" s="43">
        <f t="shared" si="2"/>
        <v>0</v>
      </c>
      <c r="X16" s="38">
        <v>0</v>
      </c>
      <c r="Y16" s="43">
        <f t="shared" si="3"/>
        <v>0</v>
      </c>
      <c r="AA16" s="38">
        <v>0</v>
      </c>
      <c r="AB16" s="43">
        <f t="shared" si="4"/>
        <v>0</v>
      </c>
      <c r="AD16" s="38">
        <v>0</v>
      </c>
      <c r="AE16" s="43">
        <f t="shared" si="5"/>
        <v>0</v>
      </c>
      <c r="AG16" s="38">
        <v>0</v>
      </c>
      <c r="AH16" s="43">
        <f t="shared" si="6"/>
        <v>0</v>
      </c>
      <c r="AI16">
        <f t="shared" si="7"/>
        <v>5</v>
      </c>
      <c r="AJ16" s="137"/>
      <c r="AK16" s="137"/>
      <c r="AL16" s="132" t="s">
        <v>344</v>
      </c>
    </row>
    <row r="17" spans="3:46" x14ac:dyDescent="0.25">
      <c r="C17" s="28" t="str">
        <f>'MP Calculations'!D44</f>
        <v>2000-01</v>
      </c>
      <c r="D17" s="185">
        <f>IF(LEFT($C17,4)*1&lt;LEFT('General inputs'!$I$16,4)+'General inputs'!$H$38,SUM(G17,J17,M17,P17,S17,V17,Y17,AB17,AE17,AH17),"")</f>
        <v>692.70405596028809</v>
      </c>
      <c r="F17" s="233"/>
      <c r="G17" s="185">
        <v>357</v>
      </c>
      <c r="I17" s="233"/>
      <c r="J17" s="185">
        <v>29.094018264727616</v>
      </c>
      <c r="L17" s="233"/>
      <c r="M17" s="185">
        <v>306.61003769556055</v>
      </c>
      <c r="O17" s="38">
        <v>0</v>
      </c>
      <c r="P17" s="43">
        <f t="shared" si="0"/>
        <v>0</v>
      </c>
      <c r="R17" s="38">
        <v>0</v>
      </c>
      <c r="S17" s="43">
        <f t="shared" si="1"/>
        <v>0</v>
      </c>
      <c r="U17" s="38">
        <v>0</v>
      </c>
      <c r="V17" s="43">
        <f t="shared" si="2"/>
        <v>0</v>
      </c>
      <c r="X17" s="38">
        <v>0</v>
      </c>
      <c r="Y17" s="43">
        <f t="shared" si="3"/>
        <v>0</v>
      </c>
      <c r="AA17" s="38">
        <v>0</v>
      </c>
      <c r="AB17" s="43">
        <f t="shared" si="4"/>
        <v>0</v>
      </c>
      <c r="AD17" s="38">
        <v>0</v>
      </c>
      <c r="AE17" s="43">
        <f t="shared" si="5"/>
        <v>0</v>
      </c>
      <c r="AG17" s="38">
        <v>0</v>
      </c>
      <c r="AH17" s="43">
        <f t="shared" si="6"/>
        <v>0</v>
      </c>
      <c r="AI17">
        <f t="shared" si="7"/>
        <v>6</v>
      </c>
      <c r="AJ17" s="27"/>
      <c r="AK17" s="27"/>
      <c r="AO17" s="187" t="s">
        <v>345</v>
      </c>
      <c r="AS17" s="241"/>
      <c r="AT17" s="241"/>
    </row>
    <row r="18" spans="3:46" x14ac:dyDescent="0.25">
      <c r="C18" s="28" t="str">
        <f>'MP Calculations'!D45</f>
        <v>2001-02</v>
      </c>
      <c r="D18" s="185">
        <f>IF(LEFT($C18,4)*1&lt;LEFT('General inputs'!$I$16,4)+'General inputs'!$H$38,SUM(G18,J18,M18,P18,S18,V18,Y18,AB18,AE18,AH18),"")</f>
        <v>425.65173572228446</v>
      </c>
      <c r="F18" s="233"/>
      <c r="G18" s="185">
        <v>311</v>
      </c>
      <c r="I18" s="233"/>
      <c r="J18" s="185">
        <v>114.65173572228444</v>
      </c>
      <c r="L18" s="233"/>
      <c r="M18" s="185">
        <v>0</v>
      </c>
      <c r="O18" s="38">
        <v>0</v>
      </c>
      <c r="P18" s="43">
        <f t="shared" si="0"/>
        <v>0</v>
      </c>
      <c r="R18" s="38">
        <v>0</v>
      </c>
      <c r="S18" s="43">
        <f t="shared" si="1"/>
        <v>0</v>
      </c>
      <c r="U18" s="38">
        <v>0</v>
      </c>
      <c r="V18" s="43">
        <f t="shared" si="2"/>
        <v>0</v>
      </c>
      <c r="X18" s="38">
        <v>0</v>
      </c>
      <c r="Y18" s="43">
        <f t="shared" si="3"/>
        <v>0</v>
      </c>
      <c r="AA18" s="38">
        <v>0</v>
      </c>
      <c r="AB18" s="43">
        <f t="shared" si="4"/>
        <v>0</v>
      </c>
      <c r="AD18" s="38">
        <v>0</v>
      </c>
      <c r="AE18" s="43">
        <f t="shared" si="5"/>
        <v>0</v>
      </c>
      <c r="AG18" s="38">
        <v>0</v>
      </c>
      <c r="AH18" s="43">
        <f t="shared" si="6"/>
        <v>0</v>
      </c>
      <c r="AI18">
        <f t="shared" si="7"/>
        <v>7</v>
      </c>
      <c r="AJ18" s="27"/>
      <c r="AK18" s="27"/>
      <c r="AO18" t="s">
        <v>346</v>
      </c>
      <c r="AP18" s="189">
        <f>AP13-AP12</f>
        <v>10116.336501830505</v>
      </c>
      <c r="AS18" s="241"/>
      <c r="AT18" s="241"/>
    </row>
    <row r="19" spans="3:46" x14ac:dyDescent="0.25">
      <c r="C19" s="28" t="str">
        <f>'MP Calculations'!D46</f>
        <v>2002-03</v>
      </c>
      <c r="D19" s="185">
        <f>IF(LEFT($C19,4)*1&lt;LEFT('General inputs'!$I$16,4)+'General inputs'!$H$38,SUM(G19,J19,M19,P19,S19,V19,Y19,AB19,AE19,AH19),"")</f>
        <v>1368.7861841832471</v>
      </c>
      <c r="F19" s="233"/>
      <c r="G19" s="185">
        <v>306</v>
      </c>
      <c r="I19" s="233"/>
      <c r="J19" s="185">
        <v>140.91484693214085</v>
      </c>
      <c r="L19" s="233"/>
      <c r="M19" s="185">
        <v>921.87133725110618</v>
      </c>
      <c r="O19" s="38">
        <v>0</v>
      </c>
      <c r="P19" s="43">
        <f t="shared" si="0"/>
        <v>0</v>
      </c>
      <c r="R19" s="38">
        <v>0</v>
      </c>
      <c r="S19" s="43">
        <f t="shared" si="1"/>
        <v>0</v>
      </c>
      <c r="U19" s="38">
        <v>0</v>
      </c>
      <c r="V19" s="43">
        <f t="shared" si="2"/>
        <v>0</v>
      </c>
      <c r="X19" s="38">
        <v>0</v>
      </c>
      <c r="Y19" s="43">
        <f t="shared" si="3"/>
        <v>0</v>
      </c>
      <c r="AA19" s="38">
        <v>0</v>
      </c>
      <c r="AB19" s="43">
        <f t="shared" si="4"/>
        <v>0</v>
      </c>
      <c r="AD19" s="38">
        <v>0</v>
      </c>
      <c r="AE19" s="43">
        <f t="shared" si="5"/>
        <v>0</v>
      </c>
      <c r="AG19" s="38">
        <v>0</v>
      </c>
      <c r="AH19" s="43">
        <f t="shared" si="6"/>
        <v>0</v>
      </c>
      <c r="AJ19" s="103" t="str">
        <f>"add alternatives at "&amp;ADDRESS(ROW(AJ18),COLUMN(AJ18))&amp;":"&amp;ADDRESS(ROW(AJ23),COLUMN(AJ23))</f>
        <v>add alternatives at $AJ$18:$AJ$23</v>
      </c>
      <c r="AK19" s="30"/>
      <c r="AO19" t="s">
        <v>347</v>
      </c>
      <c r="AP19" s="189">
        <f>SUM(D12:D38)</f>
        <v>12747.836084358387</v>
      </c>
      <c r="AS19" s="241"/>
      <c r="AT19" s="241"/>
    </row>
    <row r="20" spans="3:46" x14ac:dyDescent="0.25">
      <c r="C20" s="28" t="str">
        <f>'MP Calculations'!D47</f>
        <v>2003-04</v>
      </c>
      <c r="D20" s="185">
        <f>IF(LEFT($C20,4)*1&lt;LEFT('General inputs'!$I$16,4)+'General inputs'!$H$38,SUM(G20,J20,M20,P20,S20,V20,Y20,AB20,AE20,AH20),"")</f>
        <v>389.38027223294245</v>
      </c>
      <c r="F20" s="233"/>
      <c r="G20" s="185">
        <v>223</v>
      </c>
      <c r="I20" s="233"/>
      <c r="J20" s="185">
        <v>166.38027223294245</v>
      </c>
      <c r="L20" s="233"/>
      <c r="M20" s="185">
        <v>0</v>
      </c>
      <c r="O20" s="38">
        <v>0</v>
      </c>
      <c r="P20" s="43">
        <f t="shared" si="0"/>
        <v>0</v>
      </c>
      <c r="R20" s="38">
        <v>0</v>
      </c>
      <c r="S20" s="43">
        <f t="shared" si="1"/>
        <v>0</v>
      </c>
      <c r="U20" s="38">
        <v>0</v>
      </c>
      <c r="V20" s="43">
        <f t="shared" si="2"/>
        <v>0</v>
      </c>
      <c r="X20" s="38">
        <v>0</v>
      </c>
      <c r="Y20" s="43">
        <f t="shared" si="3"/>
        <v>0</v>
      </c>
      <c r="AA20" s="38">
        <v>0</v>
      </c>
      <c r="AB20" s="43">
        <f t="shared" si="4"/>
        <v>0</v>
      </c>
      <c r="AD20" s="38">
        <v>0</v>
      </c>
      <c r="AE20" s="43">
        <f t="shared" si="5"/>
        <v>0</v>
      </c>
      <c r="AG20" s="38">
        <v>0</v>
      </c>
      <c r="AH20" s="43">
        <f t="shared" si="6"/>
        <v>0</v>
      </c>
      <c r="AO20" t="s">
        <v>348</v>
      </c>
      <c r="AP20" s="242">
        <f>1-(AP18+AP19)/(AP14-AP12)</f>
        <v>0.12628967301448812</v>
      </c>
      <c r="AS20" s="241"/>
      <c r="AT20" s="241"/>
    </row>
    <row r="21" spans="3:46" x14ac:dyDescent="0.25">
      <c r="C21" s="28" t="str">
        <f>'MP Calculations'!D48</f>
        <v>2004-05</v>
      </c>
      <c r="D21" s="185">
        <f>IF(LEFT($C21,4)*1&lt;LEFT('General inputs'!$I$16,4)+'General inputs'!$H$38,SUM(G21,J21,M21,P21,S21,V21,Y21,AB21,AE21,AH21),"")</f>
        <v>433.00357843067059</v>
      </c>
      <c r="F21" s="233"/>
      <c r="G21" s="185">
        <v>132</v>
      </c>
      <c r="I21" s="233"/>
      <c r="J21" s="185">
        <v>178.32166807080819</v>
      </c>
      <c r="L21" s="233"/>
      <c r="M21" s="185">
        <v>122.68191035986237</v>
      </c>
      <c r="O21" s="38">
        <v>0</v>
      </c>
      <c r="P21" s="43">
        <f t="shared" si="0"/>
        <v>0</v>
      </c>
      <c r="R21" s="38">
        <v>0</v>
      </c>
      <c r="S21" s="43">
        <f t="shared" si="1"/>
        <v>0</v>
      </c>
      <c r="U21" s="38">
        <v>0</v>
      </c>
      <c r="V21" s="43">
        <f t="shared" si="2"/>
        <v>0</v>
      </c>
      <c r="X21" s="38">
        <v>0</v>
      </c>
      <c r="Y21" s="43">
        <f t="shared" si="3"/>
        <v>0</v>
      </c>
      <c r="AA21" s="38">
        <v>0</v>
      </c>
      <c r="AB21" s="43">
        <f t="shared" si="4"/>
        <v>0</v>
      </c>
      <c r="AD21" s="38">
        <v>0</v>
      </c>
      <c r="AE21" s="43">
        <f t="shared" si="5"/>
        <v>0</v>
      </c>
      <c r="AG21" s="38">
        <v>0</v>
      </c>
      <c r="AH21" s="43">
        <f t="shared" si="6"/>
        <v>0</v>
      </c>
      <c r="AO21" t="s">
        <v>89</v>
      </c>
      <c r="AP21" s="242">
        <f>1-AP19/(AP14-AP12)</f>
        <v>0.51286599190777915</v>
      </c>
      <c r="AS21" s="241"/>
      <c r="AT21" s="241"/>
    </row>
    <row r="22" spans="3:46" x14ac:dyDescent="0.25">
      <c r="C22" s="28" t="str">
        <f>'MP Calculations'!D49</f>
        <v>2005-06</v>
      </c>
      <c r="D22" s="185">
        <f>IF(LEFT($C22,4)*1&lt;LEFT('General inputs'!$I$16,4)+'General inputs'!$H$38,SUM(G22,J22,M22,P22,S22,V22,Y22,AB22,AE22,AH22),"")</f>
        <v>191.83925871805474</v>
      </c>
      <c r="F22" s="233"/>
      <c r="G22" s="185">
        <v>96</v>
      </c>
      <c r="I22" s="233"/>
      <c r="J22" s="185">
        <v>95.839258718054751</v>
      </c>
      <c r="L22" s="233"/>
      <c r="M22" s="185">
        <v>0</v>
      </c>
      <c r="O22" s="38">
        <v>0</v>
      </c>
      <c r="P22" s="43">
        <f t="shared" si="0"/>
        <v>0</v>
      </c>
      <c r="R22" s="38">
        <v>0</v>
      </c>
      <c r="S22" s="43">
        <f t="shared" si="1"/>
        <v>0</v>
      </c>
      <c r="U22" s="38">
        <v>0</v>
      </c>
      <c r="V22" s="43">
        <f t="shared" si="2"/>
        <v>0</v>
      </c>
      <c r="X22" s="38">
        <v>0</v>
      </c>
      <c r="Y22" s="43">
        <f t="shared" si="3"/>
        <v>0</v>
      </c>
      <c r="AA22" s="38">
        <v>0</v>
      </c>
      <c r="AB22" s="43">
        <f t="shared" si="4"/>
        <v>0</v>
      </c>
      <c r="AD22" s="38">
        <v>0</v>
      </c>
      <c r="AE22" s="43">
        <f t="shared" si="5"/>
        <v>0</v>
      </c>
      <c r="AG22" s="38">
        <v>0</v>
      </c>
      <c r="AH22" s="43">
        <f t="shared" si="6"/>
        <v>0</v>
      </c>
      <c r="AS22" s="241"/>
      <c r="AT22" s="241"/>
    </row>
    <row r="23" spans="3:46" x14ac:dyDescent="0.25">
      <c r="C23" s="28" t="str">
        <f>'MP Calculations'!D50</f>
        <v>2006-07</v>
      </c>
      <c r="D23" s="185">
        <f>IF(LEFT($C23,4)*1&lt;LEFT('General inputs'!$I$16,4)+'General inputs'!$H$38,SUM(G23,J23,M23,P23,S23,V23,Y23,AB23,AE23,AH23),"")</f>
        <v>206.61363848835151</v>
      </c>
      <c r="F23" s="233"/>
      <c r="G23" s="185">
        <v>119</v>
      </c>
      <c r="I23" s="233"/>
      <c r="J23" s="185">
        <v>17.603209947608164</v>
      </c>
      <c r="L23" s="233"/>
      <c r="M23" s="185">
        <v>70.010428540743348</v>
      </c>
      <c r="O23" s="38">
        <v>0</v>
      </c>
      <c r="P23" s="43">
        <f t="shared" si="0"/>
        <v>0</v>
      </c>
      <c r="R23" s="38">
        <v>0</v>
      </c>
      <c r="S23" s="43">
        <f t="shared" si="1"/>
        <v>0</v>
      </c>
      <c r="U23" s="38">
        <v>0</v>
      </c>
      <c r="V23" s="43">
        <f t="shared" si="2"/>
        <v>0</v>
      </c>
      <c r="X23" s="38">
        <v>0</v>
      </c>
      <c r="Y23" s="43">
        <f t="shared" si="3"/>
        <v>0</v>
      </c>
      <c r="AA23" s="38">
        <v>0</v>
      </c>
      <c r="AB23" s="43">
        <f t="shared" si="4"/>
        <v>0</v>
      </c>
      <c r="AD23" s="38">
        <v>0</v>
      </c>
      <c r="AE23" s="43">
        <f t="shared" si="5"/>
        <v>0</v>
      </c>
      <c r="AG23" s="38">
        <v>0</v>
      </c>
      <c r="AH23" s="43">
        <f t="shared" si="6"/>
        <v>0</v>
      </c>
      <c r="AS23" s="241"/>
      <c r="AT23" s="241"/>
    </row>
    <row r="24" spans="3:46" x14ac:dyDescent="0.25">
      <c r="C24" s="28" t="str">
        <f>'MP Calculations'!D51</f>
        <v>2007-08</v>
      </c>
      <c r="D24" s="185">
        <f>IF(LEFT($C24,4)*1&lt;LEFT('General inputs'!$I$16,4)+'General inputs'!$H$38,SUM(G24,J24,M24,P24,S24,V24,Y24,AB24,AE24,AH24),"")</f>
        <v>129.9248786347184</v>
      </c>
      <c r="F24" s="233"/>
      <c r="G24" s="185">
        <v>105</v>
      </c>
      <c r="I24" s="233"/>
      <c r="J24" s="185">
        <v>24.924878634718389</v>
      </c>
      <c r="L24" s="233"/>
      <c r="M24" s="185">
        <v>0</v>
      </c>
      <c r="O24" s="38">
        <v>0</v>
      </c>
      <c r="P24" s="43">
        <f t="shared" si="0"/>
        <v>0</v>
      </c>
      <c r="R24" s="38">
        <v>0</v>
      </c>
      <c r="S24" s="43">
        <f t="shared" si="1"/>
        <v>0</v>
      </c>
      <c r="U24" s="38">
        <v>0</v>
      </c>
      <c r="V24" s="43">
        <f t="shared" si="2"/>
        <v>0</v>
      </c>
      <c r="X24" s="38">
        <v>0</v>
      </c>
      <c r="Y24" s="43">
        <f t="shared" si="3"/>
        <v>0</v>
      </c>
      <c r="AA24" s="38">
        <v>0</v>
      </c>
      <c r="AB24" s="43">
        <f t="shared" si="4"/>
        <v>0</v>
      </c>
      <c r="AD24" s="38">
        <v>0</v>
      </c>
      <c r="AE24" s="43">
        <f t="shared" si="5"/>
        <v>0</v>
      </c>
      <c r="AG24" s="38">
        <v>0</v>
      </c>
      <c r="AH24" s="43">
        <f t="shared" si="6"/>
        <v>0</v>
      </c>
      <c r="AS24" s="241"/>
      <c r="AT24" s="241"/>
    </row>
    <row r="25" spans="3:46" x14ac:dyDescent="0.25">
      <c r="C25" s="28" t="str">
        <f>'MP Calculations'!D52</f>
        <v>2008-09</v>
      </c>
      <c r="D25" s="185">
        <f>IF(LEFT($C25,4)*1&lt;LEFT('General inputs'!$I$16,4)+'General inputs'!$H$38,SUM(G25,J25,M25,P25,S25,V25,Y25,AB25,AE25,AH25),"")</f>
        <v>304.75875055754631</v>
      </c>
      <c r="F25" s="233"/>
      <c r="G25" s="185">
        <v>179</v>
      </c>
      <c r="I25" s="233"/>
      <c r="J25" s="185">
        <v>5.1085292506198456</v>
      </c>
      <c r="L25" s="233"/>
      <c r="M25" s="185">
        <v>120.65022130692647</v>
      </c>
      <c r="O25" s="38">
        <v>0</v>
      </c>
      <c r="P25" s="43">
        <f t="shared" si="0"/>
        <v>0</v>
      </c>
      <c r="R25" s="38">
        <v>0</v>
      </c>
      <c r="S25" s="43">
        <f t="shared" si="1"/>
        <v>0</v>
      </c>
      <c r="U25" s="38">
        <v>0</v>
      </c>
      <c r="V25" s="43">
        <f t="shared" si="2"/>
        <v>0</v>
      </c>
      <c r="X25" s="38">
        <v>0</v>
      </c>
      <c r="Y25" s="43">
        <f t="shared" si="3"/>
        <v>0</v>
      </c>
      <c r="AA25" s="38">
        <v>0</v>
      </c>
      <c r="AB25" s="43">
        <f t="shared" si="4"/>
        <v>0</v>
      </c>
      <c r="AD25" s="38">
        <v>0</v>
      </c>
      <c r="AE25" s="43">
        <f t="shared" si="5"/>
        <v>0</v>
      </c>
      <c r="AG25" s="38">
        <v>0</v>
      </c>
      <c r="AH25" s="43">
        <f t="shared" si="6"/>
        <v>0</v>
      </c>
      <c r="AS25" s="241"/>
      <c r="AT25" s="241"/>
    </row>
    <row r="26" spans="3:46" x14ac:dyDescent="0.25">
      <c r="C26" s="28" t="str">
        <f>'MP Calculations'!D53</f>
        <v>2009-10</v>
      </c>
      <c r="D26" s="185">
        <f>IF(LEFT($C26,4)*1&lt;LEFT('General inputs'!$I$16,4)+'General inputs'!$H$38,SUM(G26,J26,M26,P26,S26,V26,Y26,AB26,AE26,AH26),"")</f>
        <v>216.55699668822919</v>
      </c>
      <c r="F26" s="233"/>
      <c r="G26" s="185">
        <v>106</v>
      </c>
      <c r="I26" s="233"/>
      <c r="J26" s="185">
        <v>22.248413484442381</v>
      </c>
      <c r="L26" s="233"/>
      <c r="M26" s="185">
        <v>88.30858320378681</v>
      </c>
      <c r="O26" s="38">
        <v>0</v>
      </c>
      <c r="P26" s="43">
        <f t="shared" si="0"/>
        <v>0</v>
      </c>
      <c r="R26" s="38">
        <v>0</v>
      </c>
      <c r="S26" s="43">
        <f t="shared" si="1"/>
        <v>0</v>
      </c>
      <c r="U26" s="38">
        <v>0</v>
      </c>
      <c r="V26" s="43">
        <f t="shared" si="2"/>
        <v>0</v>
      </c>
      <c r="X26" s="38">
        <v>0</v>
      </c>
      <c r="Y26" s="43">
        <f t="shared" si="3"/>
        <v>0</v>
      </c>
      <c r="AA26" s="38">
        <v>0</v>
      </c>
      <c r="AB26" s="43">
        <f t="shared" si="4"/>
        <v>0</v>
      </c>
      <c r="AD26" s="38">
        <v>0</v>
      </c>
      <c r="AE26" s="43">
        <f t="shared" si="5"/>
        <v>0</v>
      </c>
      <c r="AG26" s="38">
        <v>0</v>
      </c>
      <c r="AH26" s="43">
        <f t="shared" si="6"/>
        <v>0</v>
      </c>
      <c r="AS26" s="241"/>
      <c r="AT26" s="241"/>
    </row>
    <row r="27" spans="3:46" x14ac:dyDescent="0.25">
      <c r="C27" s="28" t="str">
        <f>'MP Calculations'!D54</f>
        <v>2010-11</v>
      </c>
      <c r="D27" s="185">
        <f>IF(LEFT($C27,4)*1&lt;LEFT('General inputs'!$I$16,4)+'General inputs'!$H$38,SUM(G27,J27,M27,P27,S27,V27,Y27,AB27,AE27,AH27),"")</f>
        <v>113.03135498320269</v>
      </c>
      <c r="F27" s="233"/>
      <c r="G27" s="185">
        <v>101</v>
      </c>
      <c r="I27" s="233"/>
      <c r="J27" s="185">
        <v>12.031354983202688</v>
      </c>
      <c r="L27" s="233"/>
      <c r="M27" s="185">
        <v>0</v>
      </c>
      <c r="O27" s="38">
        <v>0</v>
      </c>
      <c r="P27" s="43">
        <f t="shared" si="0"/>
        <v>0</v>
      </c>
      <c r="R27" s="38">
        <v>0</v>
      </c>
      <c r="S27" s="43">
        <f t="shared" si="1"/>
        <v>0</v>
      </c>
      <c r="U27" s="38">
        <v>0</v>
      </c>
      <c r="V27" s="43">
        <f t="shared" si="2"/>
        <v>0</v>
      </c>
      <c r="X27" s="38">
        <v>0</v>
      </c>
      <c r="Y27" s="43">
        <f t="shared" si="3"/>
        <v>0</v>
      </c>
      <c r="AA27" s="38">
        <v>0</v>
      </c>
      <c r="AB27" s="43">
        <f t="shared" si="4"/>
        <v>0</v>
      </c>
      <c r="AD27" s="38">
        <v>0</v>
      </c>
      <c r="AE27" s="43">
        <f t="shared" si="5"/>
        <v>0</v>
      </c>
      <c r="AG27" s="38">
        <v>0</v>
      </c>
      <c r="AH27" s="43">
        <f t="shared" si="6"/>
        <v>0</v>
      </c>
      <c r="AS27" s="241"/>
      <c r="AT27" s="241"/>
    </row>
    <row r="28" spans="3:46" x14ac:dyDescent="0.25">
      <c r="C28" s="28" t="str">
        <f>'MP Calculations'!D55</f>
        <v>2011-12</v>
      </c>
      <c r="D28" s="185">
        <f>IF(LEFT($C28,4)*1&lt;LEFT('General inputs'!$I$16,4)+'General inputs'!$H$38,SUM(G28,J28,M28,P28,S28,V28,Y28,AB28,AE28,AH28),"")</f>
        <v>179.31103008108687</v>
      </c>
      <c r="F28" s="233"/>
      <c r="G28" s="185">
        <v>147</v>
      </c>
      <c r="I28" s="233"/>
      <c r="J28" s="185">
        <v>32.311030081086862</v>
      </c>
      <c r="L28" s="233"/>
      <c r="M28" s="185">
        <v>0</v>
      </c>
      <c r="O28" s="38">
        <v>0</v>
      </c>
      <c r="P28" s="43">
        <f t="shared" si="0"/>
        <v>0</v>
      </c>
      <c r="R28" s="38">
        <v>0</v>
      </c>
      <c r="S28" s="43">
        <f t="shared" si="1"/>
        <v>0</v>
      </c>
      <c r="U28" s="38">
        <v>0</v>
      </c>
      <c r="V28" s="43">
        <f t="shared" si="2"/>
        <v>0</v>
      </c>
      <c r="X28" s="38">
        <v>0</v>
      </c>
      <c r="Y28" s="43">
        <f t="shared" si="3"/>
        <v>0</v>
      </c>
      <c r="AA28" s="38">
        <v>0</v>
      </c>
      <c r="AB28" s="43">
        <f t="shared" si="4"/>
        <v>0</v>
      </c>
      <c r="AD28" s="38">
        <v>0</v>
      </c>
      <c r="AE28" s="43">
        <f t="shared" si="5"/>
        <v>0</v>
      </c>
      <c r="AG28" s="38">
        <v>0</v>
      </c>
      <c r="AH28" s="43">
        <f t="shared" si="6"/>
        <v>0</v>
      </c>
      <c r="AS28" s="241"/>
      <c r="AT28" s="241"/>
    </row>
    <row r="29" spans="3:46" x14ac:dyDescent="0.25">
      <c r="C29" s="28" t="str">
        <f>'MP Calculations'!D56</f>
        <v>2012-13</v>
      </c>
      <c r="D29" s="185">
        <f>IF(LEFT($C29,4)*1&lt;LEFT('General inputs'!$I$16,4)+'General inputs'!$H$38,SUM(G29,J29,M29,P29,S29,V29,Y29,AB29,AE29,AH29),"")</f>
        <v>314.63395528356989</v>
      </c>
      <c r="F29" s="233"/>
      <c r="G29" s="185">
        <v>110</v>
      </c>
      <c r="I29" s="233"/>
      <c r="J29" s="185">
        <v>1.5698954320308198</v>
      </c>
      <c r="L29" s="233"/>
      <c r="M29" s="185">
        <v>203.06405985153907</v>
      </c>
      <c r="O29" s="38">
        <v>0</v>
      </c>
      <c r="P29" s="43">
        <f t="shared" si="0"/>
        <v>0</v>
      </c>
      <c r="R29" s="38">
        <v>0</v>
      </c>
      <c r="S29" s="43">
        <f t="shared" si="1"/>
        <v>0</v>
      </c>
      <c r="U29" s="38">
        <v>0</v>
      </c>
      <c r="V29" s="43">
        <f t="shared" si="2"/>
        <v>0</v>
      </c>
      <c r="X29" s="38">
        <v>0</v>
      </c>
      <c r="Y29" s="43">
        <f t="shared" si="3"/>
        <v>0</v>
      </c>
      <c r="AA29" s="38">
        <v>0</v>
      </c>
      <c r="AB29" s="43">
        <f t="shared" si="4"/>
        <v>0</v>
      </c>
      <c r="AD29" s="38">
        <v>0</v>
      </c>
      <c r="AE29" s="43">
        <f t="shared" si="5"/>
        <v>0</v>
      </c>
      <c r="AG29" s="38">
        <v>0</v>
      </c>
      <c r="AH29" s="43">
        <f t="shared" si="6"/>
        <v>0</v>
      </c>
      <c r="AS29" s="241"/>
      <c r="AT29" s="241"/>
    </row>
    <row r="30" spans="3:46" x14ac:dyDescent="0.25">
      <c r="C30" s="28" t="str">
        <f>'MP Calculations'!D57</f>
        <v>2013-14</v>
      </c>
      <c r="D30" s="185">
        <f>IF(LEFT($C30,4)*1&lt;LEFT('General inputs'!$I$16,4)+'General inputs'!$H$38,SUM(G30,J30,M30,P30,S30,V30,Y30,AB30,AE30,AH30),"")</f>
        <v>295.20104558454284</v>
      </c>
      <c r="F30" s="233"/>
      <c r="G30" s="185">
        <v>61</v>
      </c>
      <c r="I30" s="233"/>
      <c r="J30" s="185">
        <v>20.099756807210241</v>
      </c>
      <c r="L30" s="233"/>
      <c r="M30" s="185">
        <v>214.10128877733263</v>
      </c>
      <c r="O30" s="38">
        <v>0</v>
      </c>
      <c r="P30" s="43">
        <f t="shared" si="0"/>
        <v>0</v>
      </c>
      <c r="R30" s="38">
        <v>0</v>
      </c>
      <c r="S30" s="43">
        <f t="shared" si="1"/>
        <v>0</v>
      </c>
      <c r="U30" s="38">
        <v>0</v>
      </c>
      <c r="V30" s="43">
        <f t="shared" si="2"/>
        <v>0</v>
      </c>
      <c r="X30" s="38">
        <v>0</v>
      </c>
      <c r="Y30" s="43">
        <f t="shared" si="3"/>
        <v>0</v>
      </c>
      <c r="AA30" s="38">
        <v>0</v>
      </c>
      <c r="AB30" s="43">
        <f t="shared" si="4"/>
        <v>0</v>
      </c>
      <c r="AD30" s="38">
        <v>0</v>
      </c>
      <c r="AE30" s="43">
        <f t="shared" si="5"/>
        <v>0</v>
      </c>
      <c r="AG30" s="38">
        <v>0</v>
      </c>
      <c r="AH30" s="43">
        <f t="shared" si="6"/>
        <v>0</v>
      </c>
      <c r="AS30" s="241"/>
      <c r="AT30" s="241"/>
    </row>
    <row r="31" spans="3:46" x14ac:dyDescent="0.25">
      <c r="C31" s="28" t="str">
        <f>'MP Calculations'!D58</f>
        <v>2014-15</v>
      </c>
      <c r="D31" s="185">
        <f>IF(LEFT($C31,4)*1&lt;LEFT('General inputs'!$I$16,4)+'General inputs'!$H$38,SUM(G31,J31,M31,P31,S31,V31,Y31,AB31,AE31,AH31),"")</f>
        <v>306.78180713398979</v>
      </c>
      <c r="F31" s="233"/>
      <c r="G31" s="185">
        <v>70</v>
      </c>
      <c r="I31" s="233"/>
      <c r="J31" s="185">
        <v>11.400849171782488</v>
      </c>
      <c r="L31" s="233"/>
      <c r="M31" s="185">
        <v>225.38095796220728</v>
      </c>
      <c r="O31" s="38">
        <v>0</v>
      </c>
      <c r="P31" s="43">
        <f t="shared" si="0"/>
        <v>0</v>
      </c>
      <c r="R31" s="38">
        <v>0</v>
      </c>
      <c r="S31" s="43">
        <f t="shared" si="1"/>
        <v>0</v>
      </c>
      <c r="U31" s="38">
        <v>0</v>
      </c>
      <c r="V31" s="43">
        <f t="shared" si="2"/>
        <v>0</v>
      </c>
      <c r="X31" s="38">
        <v>0</v>
      </c>
      <c r="Y31" s="43">
        <f t="shared" si="3"/>
        <v>0</v>
      </c>
      <c r="AA31" s="38">
        <v>0</v>
      </c>
      <c r="AB31" s="43">
        <f t="shared" si="4"/>
        <v>0</v>
      </c>
      <c r="AD31" s="38">
        <v>0</v>
      </c>
      <c r="AE31" s="43">
        <f t="shared" si="5"/>
        <v>0</v>
      </c>
      <c r="AG31" s="38">
        <v>0</v>
      </c>
      <c r="AH31" s="43">
        <f t="shared" si="6"/>
        <v>0</v>
      </c>
      <c r="AS31" s="241"/>
      <c r="AT31" s="241"/>
    </row>
    <row r="32" spans="3:46" x14ac:dyDescent="0.25">
      <c r="C32" s="28" t="str">
        <f>'MP Calculations'!D59</f>
        <v>2015-16</v>
      </c>
      <c r="D32" s="185">
        <f>IF(LEFT($C32,4)*1&lt;LEFT('General inputs'!$I$16,4)+'General inputs'!$H$38,SUM(G32,J32,M32,P32,S32,V32,Y32,AB32,AE32,AH32),"")</f>
        <v>901.52146423549732</v>
      </c>
      <c r="F32" s="233"/>
      <c r="G32" s="185">
        <v>165</v>
      </c>
      <c r="I32" s="233"/>
      <c r="J32" s="185">
        <v>121.02127659574468</v>
      </c>
      <c r="L32" s="233"/>
      <c r="M32" s="185">
        <v>615.50018763975265</v>
      </c>
      <c r="O32" s="38">
        <v>0</v>
      </c>
      <c r="P32" s="43">
        <f t="shared" si="0"/>
        <v>0</v>
      </c>
      <c r="R32" s="38">
        <v>0</v>
      </c>
      <c r="S32" s="43">
        <f t="shared" si="1"/>
        <v>0</v>
      </c>
      <c r="U32" s="38">
        <v>0</v>
      </c>
      <c r="V32" s="43">
        <f t="shared" si="2"/>
        <v>0</v>
      </c>
      <c r="X32" s="38">
        <v>0</v>
      </c>
      <c r="Y32" s="43">
        <f t="shared" si="3"/>
        <v>0</v>
      </c>
      <c r="AA32" s="38">
        <v>0</v>
      </c>
      <c r="AB32" s="43">
        <f t="shared" si="4"/>
        <v>0</v>
      </c>
      <c r="AD32" s="38">
        <v>0</v>
      </c>
      <c r="AE32" s="43">
        <f t="shared" si="5"/>
        <v>0</v>
      </c>
      <c r="AG32" s="38">
        <v>0</v>
      </c>
      <c r="AH32" s="43">
        <f t="shared" si="6"/>
        <v>0</v>
      </c>
      <c r="AS32" s="241"/>
      <c r="AT32" s="241"/>
    </row>
    <row r="33" spans="3:46" x14ac:dyDescent="0.25">
      <c r="C33" s="28" t="str">
        <f>'MP Calculations'!D60</f>
        <v>2016-17</v>
      </c>
      <c r="D33" s="185">
        <f>IF(LEFT($C33,4)*1&lt;LEFT('General inputs'!$I$16,4)+'General inputs'!$H$38,SUM(G33,J33,M33,P33,S33,V33,Y33,AB33,AE33,AH33),"")</f>
        <v>372.64980041941533</v>
      </c>
      <c r="F33" s="233"/>
      <c r="G33" s="185">
        <v>116</v>
      </c>
      <c r="I33" s="233"/>
      <c r="J33" s="185">
        <v>155.41964777105116</v>
      </c>
      <c r="L33" s="233"/>
      <c r="M33" s="185">
        <v>101.23015264836417</v>
      </c>
      <c r="O33" s="38">
        <v>0</v>
      </c>
      <c r="P33" s="43">
        <f t="shared" si="0"/>
        <v>0</v>
      </c>
      <c r="R33" s="38">
        <v>0</v>
      </c>
      <c r="S33" s="43">
        <f t="shared" si="1"/>
        <v>0</v>
      </c>
      <c r="U33" s="38">
        <v>0</v>
      </c>
      <c r="V33" s="43">
        <f t="shared" si="2"/>
        <v>0</v>
      </c>
      <c r="X33" s="38">
        <v>0</v>
      </c>
      <c r="Y33" s="43">
        <f t="shared" si="3"/>
        <v>0</v>
      </c>
      <c r="AA33" s="38">
        <v>0</v>
      </c>
      <c r="AB33" s="43">
        <f t="shared" si="4"/>
        <v>0</v>
      </c>
      <c r="AD33" s="38">
        <v>0</v>
      </c>
      <c r="AE33" s="43">
        <f t="shared" si="5"/>
        <v>0</v>
      </c>
      <c r="AG33" s="38">
        <v>0</v>
      </c>
      <c r="AH33" s="43">
        <f t="shared" si="6"/>
        <v>0</v>
      </c>
      <c r="AS33" s="241"/>
      <c r="AT33" s="241"/>
    </row>
    <row r="34" spans="3:46" x14ac:dyDescent="0.25">
      <c r="C34" s="28" t="str">
        <f>'MP Calculations'!D61</f>
        <v>2017-18</v>
      </c>
      <c r="D34" s="185">
        <f>IF(LEFT($C34,4)*1&lt;LEFT('General inputs'!$I$16,4)+'General inputs'!$H$38,SUM(G34,J34,M34,P34,S34,V34,Y34,AB34,AE34,AH34),"")</f>
        <v>1018.857199805665</v>
      </c>
      <c r="F34" s="233"/>
      <c r="G34" s="185">
        <v>68</v>
      </c>
      <c r="I34" s="233"/>
      <c r="J34" s="185">
        <v>288.79627673441263</v>
      </c>
      <c r="L34" s="233"/>
      <c r="M34" s="185">
        <v>662.06092307125243</v>
      </c>
      <c r="O34" s="38">
        <v>0</v>
      </c>
      <c r="P34" s="43">
        <f t="shared" si="0"/>
        <v>0</v>
      </c>
      <c r="R34" s="38">
        <v>0</v>
      </c>
      <c r="S34" s="43">
        <f t="shared" si="1"/>
        <v>0</v>
      </c>
      <c r="U34" s="38">
        <v>0</v>
      </c>
      <c r="V34" s="43">
        <f t="shared" si="2"/>
        <v>0</v>
      </c>
      <c r="X34" s="38">
        <v>0</v>
      </c>
      <c r="Y34" s="43">
        <f t="shared" si="3"/>
        <v>0</v>
      </c>
      <c r="AA34" s="38">
        <v>0</v>
      </c>
      <c r="AB34" s="43">
        <f t="shared" si="4"/>
        <v>0</v>
      </c>
      <c r="AD34" s="38">
        <v>0</v>
      </c>
      <c r="AE34" s="43">
        <f t="shared" si="5"/>
        <v>0</v>
      </c>
      <c r="AG34" s="38">
        <v>0</v>
      </c>
      <c r="AH34" s="43">
        <f t="shared" si="6"/>
        <v>0</v>
      </c>
      <c r="AS34" s="241"/>
      <c r="AT34" s="241"/>
    </row>
    <row r="35" spans="3:46" x14ac:dyDescent="0.25">
      <c r="C35" s="28" t="str">
        <f>'MP Calculations'!D62</f>
        <v>2018-19</v>
      </c>
      <c r="D35" s="185">
        <f>IF(LEFT($C35,4)*1&lt;LEFT('General inputs'!$I$16,4)+'General inputs'!$H$38,SUM(G35,J35,M35,P35,S35,V35,Y35,AB35,AE35,AH35),"")</f>
        <v>524.338281340967</v>
      </c>
      <c r="F35" s="233"/>
      <c r="G35" s="185">
        <v>33</v>
      </c>
      <c r="I35" s="233"/>
      <c r="J35" s="185">
        <v>302.39673535558467</v>
      </c>
      <c r="L35" s="233"/>
      <c r="M35" s="185">
        <v>188.94154598538233</v>
      </c>
      <c r="O35" s="38">
        <v>0</v>
      </c>
      <c r="P35" s="43">
        <f t="shared" si="0"/>
        <v>0</v>
      </c>
      <c r="R35" s="38">
        <v>0</v>
      </c>
      <c r="S35" s="43">
        <f t="shared" si="1"/>
        <v>0</v>
      </c>
      <c r="U35" s="38">
        <v>0</v>
      </c>
      <c r="V35" s="43">
        <f t="shared" si="2"/>
        <v>0</v>
      </c>
      <c r="X35" s="38">
        <v>0</v>
      </c>
      <c r="Y35" s="43">
        <f t="shared" si="3"/>
        <v>0</v>
      </c>
      <c r="AA35" s="38">
        <v>0</v>
      </c>
      <c r="AB35" s="43">
        <f t="shared" si="4"/>
        <v>0</v>
      </c>
      <c r="AD35" s="38">
        <v>0</v>
      </c>
      <c r="AE35" s="43">
        <f t="shared" si="5"/>
        <v>0</v>
      </c>
      <c r="AG35" s="38">
        <v>0</v>
      </c>
      <c r="AH35" s="43">
        <f t="shared" si="6"/>
        <v>0</v>
      </c>
      <c r="AS35" s="241"/>
      <c r="AT35" s="241"/>
    </row>
    <row r="36" spans="3:46" x14ac:dyDescent="0.25">
      <c r="C36" s="28" t="str">
        <f>'MP Calculations'!D63</f>
        <v>2019-20</v>
      </c>
      <c r="D36" s="185">
        <f>IF(LEFT($C36,4)*1&lt;LEFT('General inputs'!$I$16,4)+'General inputs'!$H$38,SUM(G36,J36,M36,P36,S36,V36,Y36,AB36,AE36,AH36),"")</f>
        <v>195.30790219409693</v>
      </c>
      <c r="F36" s="233"/>
      <c r="G36" s="185">
        <v>0</v>
      </c>
      <c r="I36" s="233"/>
      <c r="J36" s="185">
        <v>195.30790219409693</v>
      </c>
      <c r="L36" s="233"/>
      <c r="M36" s="185">
        <v>0</v>
      </c>
      <c r="O36" s="38">
        <v>0</v>
      </c>
      <c r="P36" s="43">
        <f t="shared" si="0"/>
        <v>0</v>
      </c>
      <c r="R36" s="38">
        <v>0</v>
      </c>
      <c r="S36" s="43">
        <f t="shared" si="1"/>
        <v>0</v>
      </c>
      <c r="U36" s="38">
        <v>0</v>
      </c>
      <c r="V36" s="43">
        <f t="shared" si="2"/>
        <v>0</v>
      </c>
      <c r="X36" s="38">
        <v>0</v>
      </c>
      <c r="Y36" s="43">
        <f t="shared" si="3"/>
        <v>0</v>
      </c>
      <c r="AA36" s="38">
        <v>0</v>
      </c>
      <c r="AB36" s="43">
        <f t="shared" si="4"/>
        <v>0</v>
      </c>
      <c r="AD36" s="38">
        <v>0</v>
      </c>
      <c r="AE36" s="43">
        <f t="shared" si="5"/>
        <v>0</v>
      </c>
      <c r="AG36" s="38">
        <v>0</v>
      </c>
      <c r="AH36" s="43">
        <f t="shared" si="6"/>
        <v>0</v>
      </c>
      <c r="AS36" s="241"/>
      <c r="AT36" s="241"/>
    </row>
    <row r="37" spans="3:46" x14ac:dyDescent="0.25">
      <c r="C37" s="28" t="str">
        <f>'MP Calculations'!D64</f>
        <v>2020-21</v>
      </c>
      <c r="D37" s="185">
        <f>IF(LEFT($C37,4)*1&lt;LEFT('General inputs'!$I$16,4)+'General inputs'!$H$38,SUM(G37,J37,M37,P37,S37,V37,Y37,AB37,AE37,AH37),"")</f>
        <v>174.42533674634018</v>
      </c>
      <c r="F37" s="233"/>
      <c r="G37" s="185">
        <v>58</v>
      </c>
      <c r="I37" s="233"/>
      <c r="J37" s="185">
        <v>99.996451949086051</v>
      </c>
      <c r="L37" s="233"/>
      <c r="M37" s="185">
        <v>16.428884797254106</v>
      </c>
      <c r="O37" s="38">
        <v>0</v>
      </c>
      <c r="P37" s="43">
        <f t="shared" si="0"/>
        <v>0</v>
      </c>
      <c r="R37" s="38">
        <v>0</v>
      </c>
      <c r="S37" s="43">
        <f t="shared" si="1"/>
        <v>0</v>
      </c>
      <c r="U37" s="38">
        <v>0</v>
      </c>
      <c r="V37" s="43">
        <f t="shared" si="2"/>
        <v>0</v>
      </c>
      <c r="X37" s="38">
        <v>0</v>
      </c>
      <c r="Y37" s="43">
        <f t="shared" si="3"/>
        <v>0</v>
      </c>
      <c r="AA37" s="38">
        <v>0</v>
      </c>
      <c r="AB37" s="43">
        <f t="shared" si="4"/>
        <v>0</v>
      </c>
      <c r="AD37" s="38">
        <v>0</v>
      </c>
      <c r="AE37" s="43">
        <f t="shared" si="5"/>
        <v>0</v>
      </c>
      <c r="AG37" s="38">
        <v>0</v>
      </c>
      <c r="AH37" s="43">
        <f t="shared" si="6"/>
        <v>0</v>
      </c>
      <c r="AS37" s="241"/>
      <c r="AT37" s="241"/>
    </row>
    <row r="38" spans="3:46" x14ac:dyDescent="0.25">
      <c r="C38" s="243" t="str">
        <f>'MP Calculations'!D65</f>
        <v>2021-22</v>
      </c>
      <c r="D38" s="244">
        <f>IF(LEFT($C38,4)*1&lt;LEFT('General inputs'!$I$16,4)+'General inputs'!$H$38,SUM(G38,J38,M38,P38,S38,V38,Y38,AB38,AE38,AH38),"")</f>
        <v>158.53018951404718</v>
      </c>
      <c r="E38" s="41"/>
      <c r="F38" s="245"/>
      <c r="G38" s="244">
        <v>48</v>
      </c>
      <c r="H38" s="41"/>
      <c r="I38" s="245"/>
      <c r="J38" s="244">
        <v>46.710758199436569</v>
      </c>
      <c r="K38" s="41"/>
      <c r="L38" s="245"/>
      <c r="M38" s="244">
        <v>63.819431314610604</v>
      </c>
      <c r="O38" s="38">
        <v>0</v>
      </c>
      <c r="P38" s="43">
        <f t="shared" si="0"/>
        <v>0</v>
      </c>
      <c r="R38" s="38">
        <v>0</v>
      </c>
      <c r="S38" s="43">
        <f t="shared" si="1"/>
        <v>0</v>
      </c>
      <c r="U38" s="38">
        <v>0</v>
      </c>
      <c r="V38" s="43">
        <f t="shared" si="2"/>
        <v>0</v>
      </c>
      <c r="X38" s="38">
        <v>0</v>
      </c>
      <c r="Y38" s="43">
        <f t="shared" si="3"/>
        <v>0</v>
      </c>
      <c r="AA38" s="38">
        <v>0</v>
      </c>
      <c r="AB38" s="43">
        <f t="shared" si="4"/>
        <v>0</v>
      </c>
      <c r="AD38" s="38">
        <v>0</v>
      </c>
      <c r="AE38" s="43">
        <f t="shared" si="5"/>
        <v>0</v>
      </c>
      <c r="AG38" s="38">
        <v>0</v>
      </c>
      <c r="AH38" s="43">
        <f t="shared" si="6"/>
        <v>0</v>
      </c>
      <c r="AS38" s="241"/>
      <c r="AT38" s="241"/>
    </row>
    <row r="39" spans="3:46" x14ac:dyDescent="0.25">
      <c r="C39" s="28" t="str">
        <f>'MP Calculations'!D66</f>
        <v>2022-23</v>
      </c>
      <c r="D39" s="185">
        <f>IF(LEFT($C39,4)*1&lt;LEFT('General inputs'!$I$16,4)+'General inputs'!$H$38,SUM(G39,J39,M39,P39,S39,V39,Y39,AB39,AE39,AH39),"")</f>
        <v>94.677461606481117</v>
      </c>
      <c r="F39" s="233"/>
      <c r="G39" s="246">
        <v>56.312692967409944</v>
      </c>
      <c r="I39" s="233"/>
      <c r="J39" s="246">
        <v>25.699320652754</v>
      </c>
      <c r="L39" s="233"/>
      <c r="M39" s="246">
        <v>12.665447986317181</v>
      </c>
      <c r="O39" s="38">
        <v>0</v>
      </c>
      <c r="P39" s="43">
        <f t="shared" si="0"/>
        <v>0</v>
      </c>
      <c r="R39" s="38">
        <v>0</v>
      </c>
      <c r="S39" s="43">
        <f t="shared" si="1"/>
        <v>0</v>
      </c>
      <c r="U39" s="38">
        <v>0</v>
      </c>
      <c r="V39" s="43">
        <f t="shared" si="2"/>
        <v>0</v>
      </c>
      <c r="X39" s="38">
        <v>0</v>
      </c>
      <c r="Y39" s="43">
        <f t="shared" si="3"/>
        <v>0</v>
      </c>
      <c r="AA39" s="38">
        <v>0</v>
      </c>
      <c r="AB39" s="43">
        <f t="shared" si="4"/>
        <v>0</v>
      </c>
      <c r="AD39" s="38">
        <v>0</v>
      </c>
      <c r="AE39" s="43">
        <f t="shared" si="5"/>
        <v>0</v>
      </c>
      <c r="AG39" s="38">
        <v>0</v>
      </c>
      <c r="AH39" s="43">
        <f t="shared" si="6"/>
        <v>0</v>
      </c>
      <c r="AS39" s="241"/>
      <c r="AT39" s="241"/>
    </row>
    <row r="40" spans="3:46" x14ac:dyDescent="0.25">
      <c r="C40" s="28" t="str">
        <f>'MP Calculations'!D67</f>
        <v>2023-24</v>
      </c>
      <c r="D40" s="185">
        <f>IF(LEFT($C40,4)*1&lt;LEFT('General inputs'!$I$16,4)+'General inputs'!$H$38,SUM(G40,J40,M40,P40,S40,V40,Y40,AB40,AE40,AH40),"")</f>
        <v>151.7601883114034</v>
      </c>
      <c r="F40" s="233"/>
      <c r="G40" s="246">
        <v>90.998113207547163</v>
      </c>
      <c r="I40" s="233"/>
      <c r="J40" s="246">
        <v>40.401928776409974</v>
      </c>
      <c r="L40" s="233"/>
      <c r="M40" s="246">
        <v>20.360146327446273</v>
      </c>
      <c r="O40" s="38">
        <v>0</v>
      </c>
      <c r="P40" s="43">
        <f t="shared" si="0"/>
        <v>0</v>
      </c>
      <c r="R40" s="38">
        <v>0</v>
      </c>
      <c r="S40" s="43">
        <f t="shared" si="1"/>
        <v>0</v>
      </c>
      <c r="U40" s="38">
        <v>0</v>
      </c>
      <c r="V40" s="43">
        <f t="shared" si="2"/>
        <v>0</v>
      </c>
      <c r="X40" s="38">
        <v>0</v>
      </c>
      <c r="Y40" s="43">
        <f t="shared" si="3"/>
        <v>0</v>
      </c>
      <c r="AA40" s="38">
        <v>0</v>
      </c>
      <c r="AB40" s="43">
        <f t="shared" si="4"/>
        <v>0</v>
      </c>
      <c r="AD40" s="38">
        <v>0</v>
      </c>
      <c r="AE40" s="43">
        <f t="shared" si="5"/>
        <v>0</v>
      </c>
      <c r="AG40" s="38">
        <v>0</v>
      </c>
      <c r="AH40" s="43">
        <f t="shared" si="6"/>
        <v>0</v>
      </c>
      <c r="AS40" s="241"/>
      <c r="AT40" s="241"/>
    </row>
    <row r="41" spans="3:46" x14ac:dyDescent="0.25">
      <c r="C41" s="28" t="str">
        <f>'MP Calculations'!D68</f>
        <v>2024-25</v>
      </c>
      <c r="D41" s="185">
        <f>IF(LEFT($C41,4)*1&lt;LEFT('General inputs'!$I$16,4)+'General inputs'!$H$38,SUM(G41,J41,M41,P41,S41,V41,Y41,AB41,AE41,AH41),"")</f>
        <v>129.93778298455521</v>
      </c>
      <c r="F41" s="233"/>
      <c r="G41" s="246">
        <v>65.086277873070316</v>
      </c>
      <c r="I41" s="233"/>
      <c r="J41" s="246">
        <v>43.777957717614157</v>
      </c>
      <c r="L41" s="233"/>
      <c r="M41" s="246">
        <v>21.073547393870747</v>
      </c>
      <c r="O41" s="38">
        <v>0</v>
      </c>
      <c r="P41" s="43">
        <f t="shared" si="0"/>
        <v>0</v>
      </c>
      <c r="R41" s="38">
        <v>0</v>
      </c>
      <c r="S41" s="43">
        <f t="shared" si="1"/>
        <v>0</v>
      </c>
      <c r="U41" s="38">
        <v>0</v>
      </c>
      <c r="V41" s="43">
        <f t="shared" si="2"/>
        <v>0</v>
      </c>
      <c r="X41" s="38">
        <v>0</v>
      </c>
      <c r="Y41" s="43">
        <f t="shared" si="3"/>
        <v>0</v>
      </c>
      <c r="AA41" s="38">
        <v>0</v>
      </c>
      <c r="AB41" s="43">
        <f t="shared" si="4"/>
        <v>0</v>
      </c>
      <c r="AD41" s="38">
        <v>0</v>
      </c>
      <c r="AE41" s="43">
        <f t="shared" si="5"/>
        <v>0</v>
      </c>
      <c r="AG41" s="38">
        <v>0</v>
      </c>
      <c r="AH41" s="43">
        <f t="shared" si="6"/>
        <v>0</v>
      </c>
      <c r="AS41" s="241"/>
      <c r="AT41" s="241"/>
    </row>
    <row r="42" spans="3:46" x14ac:dyDescent="0.25">
      <c r="C42" s="28" t="str">
        <f>'MP Calculations'!D69</f>
        <v>2025-26</v>
      </c>
      <c r="D42" s="185">
        <f>IF(LEFT($C42,4)*1&lt;LEFT('General inputs'!$I$16,4)+'General inputs'!$H$38,SUM(G42,J42,M42,P42,S42,V42,Y42,AB42,AE42,AH42),"")</f>
        <v>580.16548663980313</v>
      </c>
      <c r="F42" s="233"/>
      <c r="G42" s="246">
        <v>161.59571183533447</v>
      </c>
      <c r="I42" s="233"/>
      <c r="J42" s="246">
        <v>288.07048789891996</v>
      </c>
      <c r="L42" s="233"/>
      <c r="M42" s="246">
        <v>130.49928690554876</v>
      </c>
      <c r="O42" s="38">
        <v>0</v>
      </c>
      <c r="P42" s="43">
        <f t="shared" si="0"/>
        <v>0</v>
      </c>
      <c r="R42" s="38">
        <v>0</v>
      </c>
      <c r="S42" s="43">
        <f t="shared" si="1"/>
        <v>0</v>
      </c>
      <c r="U42" s="38">
        <v>0</v>
      </c>
      <c r="V42" s="43">
        <f t="shared" si="2"/>
        <v>0</v>
      </c>
      <c r="X42" s="38">
        <v>0</v>
      </c>
      <c r="Y42" s="43">
        <f t="shared" si="3"/>
        <v>0</v>
      </c>
      <c r="AA42" s="38">
        <v>0</v>
      </c>
      <c r="AB42" s="43">
        <f t="shared" si="4"/>
        <v>0</v>
      </c>
      <c r="AD42" s="38">
        <v>0</v>
      </c>
      <c r="AE42" s="43">
        <f t="shared" si="5"/>
        <v>0</v>
      </c>
      <c r="AG42" s="38">
        <v>0</v>
      </c>
      <c r="AH42" s="43">
        <f t="shared" si="6"/>
        <v>0</v>
      </c>
      <c r="AS42" s="241"/>
      <c r="AT42" s="241"/>
    </row>
    <row r="43" spans="3:46" x14ac:dyDescent="0.25">
      <c r="C43" s="28" t="str">
        <f>'MP Calculations'!D70</f>
        <v>2026-27</v>
      </c>
      <c r="D43" s="185">
        <f>IF(LEFT($C43,4)*1&lt;LEFT('General inputs'!$I$16,4)+'General inputs'!$H$38,SUM(G43,J43,M43,P43,S43,V43,Y43,AB43,AE43,AH43),"")</f>
        <v>580.16548663980313</v>
      </c>
      <c r="F43" s="233"/>
      <c r="G43" s="246">
        <v>161.59571183533447</v>
      </c>
      <c r="I43" s="233"/>
      <c r="J43" s="246">
        <v>288.07048789891996</v>
      </c>
      <c r="L43" s="233"/>
      <c r="M43" s="246">
        <v>130.49928690554876</v>
      </c>
      <c r="O43" s="38">
        <v>0</v>
      </c>
      <c r="P43" s="43">
        <f t="shared" si="0"/>
        <v>0</v>
      </c>
      <c r="R43" s="38">
        <v>0</v>
      </c>
      <c r="S43" s="43">
        <f t="shared" si="1"/>
        <v>0</v>
      </c>
      <c r="U43" s="38">
        <v>0</v>
      </c>
      <c r="V43" s="43">
        <f t="shared" si="2"/>
        <v>0</v>
      </c>
      <c r="X43" s="38">
        <v>0</v>
      </c>
      <c r="Y43" s="43">
        <f t="shared" si="3"/>
        <v>0</v>
      </c>
      <c r="AA43" s="38">
        <v>0</v>
      </c>
      <c r="AB43" s="43">
        <f t="shared" si="4"/>
        <v>0</v>
      </c>
      <c r="AD43" s="38">
        <v>0</v>
      </c>
      <c r="AE43" s="43">
        <f t="shared" si="5"/>
        <v>0</v>
      </c>
      <c r="AG43" s="38">
        <v>0</v>
      </c>
      <c r="AH43" s="43">
        <f t="shared" si="6"/>
        <v>0</v>
      </c>
      <c r="AS43" s="241"/>
      <c r="AT43" s="241"/>
    </row>
    <row r="44" spans="3:46" x14ac:dyDescent="0.25">
      <c r="C44" s="28" t="str">
        <f>'MP Calculations'!D71</f>
        <v>2027-28</v>
      </c>
      <c r="D44" s="185">
        <f>IF(LEFT($C44,4)*1&lt;LEFT('General inputs'!$I$16,4)+'General inputs'!$H$38,SUM(G44,J44,M44,P44,S44,V44,Y44,AB44,AE44,AH44),"")</f>
        <v>525.96043101248756</v>
      </c>
      <c r="F44" s="233"/>
      <c r="G44" s="246">
        <v>74.268782161234995</v>
      </c>
      <c r="I44" s="233"/>
      <c r="J44" s="246">
        <v>320.63182198520025</v>
      </c>
      <c r="L44" s="233"/>
      <c r="M44" s="246">
        <v>131.05982686605233</v>
      </c>
      <c r="O44" s="38">
        <v>0</v>
      </c>
      <c r="P44" s="43">
        <f t="shared" ref="P44:P75" si="8">O44*$P$9/$F$6</f>
        <v>0</v>
      </c>
      <c r="R44" s="38">
        <v>0</v>
      </c>
      <c r="S44" s="43">
        <f t="shared" ref="S44:S75" si="9">R44*$S$9/$F$6</f>
        <v>0</v>
      </c>
      <c r="U44" s="38">
        <v>0</v>
      </c>
      <c r="V44" s="43">
        <f t="shared" ref="V44:V75" si="10">U44*$V$9/$F$6</f>
        <v>0</v>
      </c>
      <c r="X44" s="38">
        <v>0</v>
      </c>
      <c r="Y44" s="43">
        <f t="shared" ref="Y44:Y75" si="11">X44*$Y$9/$F$6</f>
        <v>0</v>
      </c>
      <c r="AA44" s="38">
        <v>0</v>
      </c>
      <c r="AB44" s="43">
        <f t="shared" ref="AB44:AB75" si="12">AA44*$AB$9/$F$6</f>
        <v>0</v>
      </c>
      <c r="AD44" s="38">
        <v>0</v>
      </c>
      <c r="AE44" s="43">
        <f t="shared" ref="AE44:AE75" si="13">AD44*$AE$9/$F$6</f>
        <v>0</v>
      </c>
      <c r="AG44" s="38">
        <v>0</v>
      </c>
      <c r="AH44" s="43">
        <f t="shared" ref="AH44:AH75" si="14">AG44*$AH$9/$F$6</f>
        <v>0</v>
      </c>
      <c r="AS44" s="241"/>
      <c r="AT44" s="241"/>
    </row>
    <row r="45" spans="3:46" x14ac:dyDescent="0.25">
      <c r="C45" s="28" t="str">
        <f>'MP Calculations'!D72</f>
        <v>2028-29</v>
      </c>
      <c r="D45" s="185">
        <f>IF(LEFT($C45,4)*1&lt;LEFT('General inputs'!$I$16,4)+'General inputs'!$H$38,SUM(G45,J45,M45,P45,S45,V45,Y45,AB45,AE45,AH45),"")</f>
        <v>101.60765821308705</v>
      </c>
      <c r="F45" s="233"/>
      <c r="G45" s="246">
        <v>30.400857632933104</v>
      </c>
      <c r="I45" s="233"/>
      <c r="J45" s="246">
        <v>49.452266012297954</v>
      </c>
      <c r="L45" s="233"/>
      <c r="M45" s="246">
        <v>21.754534567855995</v>
      </c>
      <c r="O45" s="38">
        <v>0</v>
      </c>
      <c r="P45" s="43">
        <f t="shared" si="8"/>
        <v>0</v>
      </c>
      <c r="R45" s="38">
        <v>0</v>
      </c>
      <c r="S45" s="43">
        <f t="shared" si="9"/>
        <v>0</v>
      </c>
      <c r="U45" s="38">
        <v>0</v>
      </c>
      <c r="V45" s="43">
        <f t="shared" si="10"/>
        <v>0</v>
      </c>
      <c r="X45" s="38">
        <v>0</v>
      </c>
      <c r="Y45" s="43">
        <f t="shared" si="11"/>
        <v>0</v>
      </c>
      <c r="AA45" s="38">
        <v>0</v>
      </c>
      <c r="AB45" s="43">
        <f t="shared" si="12"/>
        <v>0</v>
      </c>
      <c r="AD45" s="38">
        <v>0</v>
      </c>
      <c r="AE45" s="43">
        <f t="shared" si="13"/>
        <v>0</v>
      </c>
      <c r="AG45" s="38">
        <v>0</v>
      </c>
      <c r="AH45" s="43">
        <f t="shared" si="14"/>
        <v>0</v>
      </c>
      <c r="AS45" s="241"/>
      <c r="AT45" s="241"/>
    </row>
    <row r="46" spans="3:46" x14ac:dyDescent="0.25">
      <c r="C46" s="28" t="str">
        <f>'MP Calculations'!D73</f>
        <v>2029-30</v>
      </c>
      <c r="D46" s="185">
        <f>IF(LEFT($C46,4)*1&lt;LEFT('General inputs'!$I$16,4)+'General inputs'!$H$38,SUM(G46,J46,M46,P46,S46,V46,Y46,AB46,AE46,AH46),"")</f>
        <v>101.60765821308705</v>
      </c>
      <c r="F46" s="233"/>
      <c r="G46" s="246">
        <v>30.400857632933104</v>
      </c>
      <c r="I46" s="233"/>
      <c r="J46" s="246">
        <v>49.452266012297954</v>
      </c>
      <c r="L46" s="233"/>
      <c r="M46" s="246">
        <v>21.754534567855995</v>
      </c>
      <c r="O46" s="38">
        <v>0</v>
      </c>
      <c r="P46" s="43">
        <f t="shared" si="8"/>
        <v>0</v>
      </c>
      <c r="R46" s="38">
        <v>0</v>
      </c>
      <c r="S46" s="43">
        <f t="shared" si="9"/>
        <v>0</v>
      </c>
      <c r="U46" s="38">
        <v>0</v>
      </c>
      <c r="V46" s="43">
        <f t="shared" si="10"/>
        <v>0</v>
      </c>
      <c r="X46" s="38">
        <v>0</v>
      </c>
      <c r="Y46" s="43">
        <f t="shared" si="11"/>
        <v>0</v>
      </c>
      <c r="AA46" s="38">
        <v>0</v>
      </c>
      <c r="AB46" s="43">
        <f t="shared" si="12"/>
        <v>0</v>
      </c>
      <c r="AD46" s="38">
        <v>0</v>
      </c>
      <c r="AE46" s="43">
        <f t="shared" si="13"/>
        <v>0</v>
      </c>
      <c r="AG46" s="38">
        <v>0</v>
      </c>
      <c r="AH46" s="43">
        <f t="shared" si="14"/>
        <v>0</v>
      </c>
      <c r="AS46" s="241"/>
      <c r="AT46" s="241"/>
    </row>
    <row r="47" spans="3:46" x14ac:dyDescent="0.25">
      <c r="C47" s="28" t="str">
        <f>'MP Calculations'!D74</f>
        <v>2030-31</v>
      </c>
      <c r="D47" s="185">
        <f>IF(LEFT($C47,4)*1&lt;LEFT('General inputs'!$I$16,4)+'General inputs'!$H$38,SUM(G47,J47,M47,P47,S47,V47,Y47,AB47,AE47,AH47),"")</f>
        <v>101.60765821308705</v>
      </c>
      <c r="F47" s="233"/>
      <c r="G47" s="246">
        <v>30.400857632933104</v>
      </c>
      <c r="I47" s="233"/>
      <c r="J47" s="246">
        <v>49.452266012297954</v>
      </c>
      <c r="L47" s="233"/>
      <c r="M47" s="246">
        <v>21.754534567855995</v>
      </c>
      <c r="O47" s="38">
        <v>0</v>
      </c>
      <c r="P47" s="43">
        <f t="shared" si="8"/>
        <v>0</v>
      </c>
      <c r="R47" s="38">
        <v>0</v>
      </c>
      <c r="S47" s="43">
        <f t="shared" si="9"/>
        <v>0</v>
      </c>
      <c r="U47" s="38">
        <v>0</v>
      </c>
      <c r="V47" s="43">
        <f t="shared" si="10"/>
        <v>0</v>
      </c>
      <c r="X47" s="38">
        <v>0</v>
      </c>
      <c r="Y47" s="43">
        <f t="shared" si="11"/>
        <v>0</v>
      </c>
      <c r="AA47" s="38">
        <v>0</v>
      </c>
      <c r="AB47" s="43">
        <f t="shared" si="12"/>
        <v>0</v>
      </c>
      <c r="AD47" s="38">
        <v>0</v>
      </c>
      <c r="AE47" s="43">
        <f t="shared" si="13"/>
        <v>0</v>
      </c>
      <c r="AG47" s="38">
        <v>0</v>
      </c>
      <c r="AH47" s="43">
        <f t="shared" si="14"/>
        <v>0</v>
      </c>
      <c r="AS47" s="241"/>
      <c r="AT47" s="241"/>
    </row>
    <row r="48" spans="3:46" x14ac:dyDescent="0.25">
      <c r="C48" s="28" t="str">
        <f>'MP Calculations'!D75</f>
        <v>2031-32</v>
      </c>
      <c r="D48" s="185">
        <f>IF(LEFT($C48,4)*1&lt;LEFT('General inputs'!$I$16,4)+'General inputs'!$H$38,SUM(G48,J48,M48,P48,S48,V48,Y48,AB48,AE48,AH48),"")</f>
        <v>116.82123266194202</v>
      </c>
      <c r="F48" s="233"/>
      <c r="G48" s="246">
        <v>30.400857632933104</v>
      </c>
      <c r="I48" s="233"/>
      <c r="J48" s="246">
        <v>60.339022990278053</v>
      </c>
      <c r="L48" s="233"/>
      <c r="M48" s="246">
        <v>26.081352038730863</v>
      </c>
      <c r="O48" s="38">
        <v>0</v>
      </c>
      <c r="P48" s="43">
        <f t="shared" si="8"/>
        <v>0</v>
      </c>
      <c r="R48" s="38">
        <v>0</v>
      </c>
      <c r="S48" s="43">
        <f t="shared" si="9"/>
        <v>0</v>
      </c>
      <c r="U48" s="38">
        <v>0</v>
      </c>
      <c r="V48" s="43">
        <f t="shared" si="10"/>
        <v>0</v>
      </c>
      <c r="X48" s="38">
        <v>0</v>
      </c>
      <c r="Y48" s="43">
        <f t="shared" si="11"/>
        <v>0</v>
      </c>
      <c r="AA48" s="38">
        <v>0</v>
      </c>
      <c r="AB48" s="43">
        <f t="shared" si="12"/>
        <v>0</v>
      </c>
      <c r="AD48" s="38">
        <v>0</v>
      </c>
      <c r="AE48" s="43">
        <f t="shared" si="13"/>
        <v>0</v>
      </c>
      <c r="AG48" s="38">
        <v>0</v>
      </c>
      <c r="AH48" s="43">
        <f t="shared" si="14"/>
        <v>0</v>
      </c>
      <c r="AS48" s="241"/>
      <c r="AT48" s="241"/>
    </row>
    <row r="49" spans="3:46" x14ac:dyDescent="0.25">
      <c r="C49" s="28" t="str">
        <f>'MP Calculations'!D76</f>
        <v>2032-33</v>
      </c>
      <c r="D49" s="185">
        <f>IF(LEFT($C49,4)*1&lt;LEFT('General inputs'!$I$16,4)+'General inputs'!$H$38,SUM(G49,J49,M49,P49,S49,V49,Y49,AB49,AE49,AH49),"")</f>
        <v>126.56924085293197</v>
      </c>
      <c r="F49" s="233"/>
      <c r="G49" s="246">
        <v>37.609948542024014</v>
      </c>
      <c r="I49" s="233"/>
      <c r="J49" s="246">
        <v>62.076505884710159</v>
      </c>
      <c r="L49" s="233"/>
      <c r="M49" s="246">
        <v>26.882786426197796</v>
      </c>
      <c r="O49" s="38">
        <v>0</v>
      </c>
      <c r="P49" s="43">
        <f t="shared" si="8"/>
        <v>0</v>
      </c>
      <c r="R49" s="38">
        <v>0</v>
      </c>
      <c r="S49" s="43">
        <f t="shared" si="9"/>
        <v>0</v>
      </c>
      <c r="U49" s="38">
        <v>0</v>
      </c>
      <c r="V49" s="43">
        <f t="shared" si="10"/>
        <v>0</v>
      </c>
      <c r="X49" s="38">
        <v>0</v>
      </c>
      <c r="Y49" s="43">
        <f t="shared" si="11"/>
        <v>0</v>
      </c>
      <c r="AA49" s="38">
        <v>0</v>
      </c>
      <c r="AB49" s="43">
        <f t="shared" si="12"/>
        <v>0</v>
      </c>
      <c r="AD49" s="38">
        <v>0</v>
      </c>
      <c r="AE49" s="43">
        <f t="shared" si="13"/>
        <v>0</v>
      </c>
      <c r="AG49" s="38">
        <v>0</v>
      </c>
      <c r="AH49" s="43">
        <f t="shared" si="14"/>
        <v>0</v>
      </c>
      <c r="AS49" s="241"/>
      <c r="AT49" s="241"/>
    </row>
    <row r="50" spans="3:46" x14ac:dyDescent="0.25">
      <c r="C50" s="28" t="str">
        <f>'MP Calculations'!D77</f>
        <v>2033-34</v>
      </c>
      <c r="D50" s="185">
        <f>IF(LEFT($C50,4)*1&lt;LEFT('General inputs'!$I$16,4)+'General inputs'!$H$38,SUM(G50,J50,M50,P50,S50,V50,Y50,AB50,AE50,AH50),"")</f>
        <v>134.17602807735943</v>
      </c>
      <c r="F50" s="233"/>
      <c r="G50" s="246">
        <v>37.609948542024014</v>
      </c>
      <c r="I50" s="233"/>
      <c r="J50" s="246">
        <v>67.519884373700208</v>
      </c>
      <c r="L50" s="233"/>
      <c r="M50" s="246">
        <v>29.046195161635222</v>
      </c>
      <c r="O50" s="38">
        <v>0</v>
      </c>
      <c r="P50" s="43">
        <f t="shared" si="8"/>
        <v>0</v>
      </c>
      <c r="R50" s="38">
        <v>0</v>
      </c>
      <c r="S50" s="43">
        <f t="shared" si="9"/>
        <v>0</v>
      </c>
      <c r="U50" s="38">
        <v>0</v>
      </c>
      <c r="V50" s="43">
        <f t="shared" si="10"/>
        <v>0</v>
      </c>
      <c r="X50" s="38">
        <v>0</v>
      </c>
      <c r="Y50" s="43">
        <f t="shared" si="11"/>
        <v>0</v>
      </c>
      <c r="AA50" s="38">
        <v>0</v>
      </c>
      <c r="AB50" s="43">
        <f t="shared" si="12"/>
        <v>0</v>
      </c>
      <c r="AD50" s="38">
        <v>0</v>
      </c>
      <c r="AE50" s="43">
        <f t="shared" si="13"/>
        <v>0</v>
      </c>
      <c r="AG50" s="38">
        <v>0</v>
      </c>
      <c r="AH50" s="43">
        <f t="shared" si="14"/>
        <v>0</v>
      </c>
      <c r="AS50" s="241"/>
      <c r="AT50" s="241"/>
    </row>
    <row r="51" spans="3:46" x14ac:dyDescent="0.25">
      <c r="C51" s="28" t="str">
        <f>'MP Calculations'!D78</f>
        <v>2034-35</v>
      </c>
      <c r="D51" s="185">
        <f>IF(LEFT($C51,4)*1&lt;LEFT('General inputs'!$I$16,4)+'General inputs'!$H$38,SUM(G51,J51,M51,P51,S51,V51,Y51,AB51,AE51,AH51),"")</f>
        <v>126.56924085293197</v>
      </c>
      <c r="F51" s="233"/>
      <c r="G51" s="246">
        <v>37.609948542024014</v>
      </c>
      <c r="I51" s="233"/>
      <c r="J51" s="246">
        <v>62.076505884710159</v>
      </c>
      <c r="L51" s="233"/>
      <c r="M51" s="246">
        <v>26.882786426197796</v>
      </c>
      <c r="O51" s="38">
        <v>0</v>
      </c>
      <c r="P51" s="43">
        <f t="shared" si="8"/>
        <v>0</v>
      </c>
      <c r="R51" s="38">
        <v>0</v>
      </c>
      <c r="S51" s="43">
        <f t="shared" si="9"/>
        <v>0</v>
      </c>
      <c r="U51" s="38">
        <v>0</v>
      </c>
      <c r="V51" s="43">
        <f t="shared" si="10"/>
        <v>0</v>
      </c>
      <c r="X51" s="38">
        <v>0</v>
      </c>
      <c r="Y51" s="43">
        <f t="shared" si="11"/>
        <v>0</v>
      </c>
      <c r="AA51" s="38">
        <v>0</v>
      </c>
      <c r="AB51" s="43">
        <f t="shared" si="12"/>
        <v>0</v>
      </c>
      <c r="AD51" s="38">
        <v>0</v>
      </c>
      <c r="AE51" s="43">
        <f t="shared" si="13"/>
        <v>0</v>
      </c>
      <c r="AG51" s="38">
        <v>0</v>
      </c>
      <c r="AH51" s="43">
        <f t="shared" si="14"/>
        <v>0</v>
      </c>
      <c r="AS51" s="241"/>
      <c r="AT51" s="241"/>
    </row>
    <row r="52" spans="3:46" x14ac:dyDescent="0.25">
      <c r="C52" s="28" t="str">
        <f>'MP Calculations'!D79</f>
        <v>2035-36</v>
      </c>
      <c r="D52" s="185">
        <f>IF(LEFT($C52,4)*1&lt;LEFT('General inputs'!$I$16,4)+'General inputs'!$H$38,SUM(G52,J52,M52,P52,S52,V52,Y52,AB52,AE52,AH52),"")</f>
        <v>146.97113245779707</v>
      </c>
      <c r="F52" s="233"/>
      <c r="G52" s="246">
        <v>37.609948542024014</v>
      </c>
      <c r="I52" s="233"/>
      <c r="J52" s="246">
        <v>76.669158457248216</v>
      </c>
      <c r="L52" s="233"/>
      <c r="M52" s="246">
        <v>32.692025458524832</v>
      </c>
      <c r="O52" s="38">
        <v>0</v>
      </c>
      <c r="P52" s="43">
        <f t="shared" si="8"/>
        <v>0</v>
      </c>
      <c r="R52" s="38">
        <v>0</v>
      </c>
      <c r="S52" s="43">
        <f t="shared" si="9"/>
        <v>0</v>
      </c>
      <c r="U52" s="38">
        <v>0</v>
      </c>
      <c r="V52" s="43">
        <f t="shared" si="10"/>
        <v>0</v>
      </c>
      <c r="X52" s="38">
        <v>0</v>
      </c>
      <c r="Y52" s="43">
        <f t="shared" si="11"/>
        <v>0</v>
      </c>
      <c r="AA52" s="38">
        <v>0</v>
      </c>
      <c r="AB52" s="43">
        <f t="shared" si="12"/>
        <v>0</v>
      </c>
      <c r="AD52" s="38">
        <v>0</v>
      </c>
      <c r="AE52" s="43">
        <f t="shared" si="13"/>
        <v>0</v>
      </c>
      <c r="AG52" s="38">
        <v>0</v>
      </c>
      <c r="AH52" s="43">
        <f t="shared" si="14"/>
        <v>0</v>
      </c>
      <c r="AS52" s="241"/>
      <c r="AT52" s="241"/>
    </row>
    <row r="53" spans="3:46" x14ac:dyDescent="0.25">
      <c r="C53" s="28" t="str">
        <f>'MP Calculations'!D80</f>
        <v>2036-37</v>
      </c>
      <c r="D53" s="185">
        <f>IF(LEFT($C53,4)*1&lt;LEFT('General inputs'!$I$16,4)+'General inputs'!$H$38,SUM(G53,J53,M53,P53,S53,V53,Y53,AB53,AE53,AH53),"")</f>
        <v>144.55266238937969</v>
      </c>
      <c r="F53" s="233"/>
      <c r="G53" s="246">
        <v>37.609948542024014</v>
      </c>
      <c r="I53" s="233"/>
      <c r="J53" s="246">
        <v>74.931675562816096</v>
      </c>
      <c r="L53" s="233"/>
      <c r="M53" s="246">
        <v>32.011038284539588</v>
      </c>
      <c r="O53" s="38">
        <v>0</v>
      </c>
      <c r="P53" s="43">
        <f t="shared" si="8"/>
        <v>0</v>
      </c>
      <c r="R53" s="38">
        <v>0</v>
      </c>
      <c r="S53" s="43">
        <f t="shared" si="9"/>
        <v>0</v>
      </c>
      <c r="U53" s="38">
        <v>0</v>
      </c>
      <c r="V53" s="43">
        <f t="shared" si="10"/>
        <v>0</v>
      </c>
      <c r="X53" s="38">
        <v>0</v>
      </c>
      <c r="Y53" s="43">
        <f t="shared" si="11"/>
        <v>0</v>
      </c>
      <c r="AA53" s="38">
        <v>0</v>
      </c>
      <c r="AB53" s="43">
        <f t="shared" si="12"/>
        <v>0</v>
      </c>
      <c r="AD53" s="38">
        <v>0</v>
      </c>
      <c r="AE53" s="43">
        <f t="shared" si="13"/>
        <v>0</v>
      </c>
      <c r="AG53" s="38">
        <v>0</v>
      </c>
      <c r="AH53" s="43">
        <f t="shared" si="14"/>
        <v>0</v>
      </c>
      <c r="AS53" s="241"/>
      <c r="AT53" s="241"/>
    </row>
    <row r="54" spans="3:46" x14ac:dyDescent="0.25">
      <c r="C54" s="28" t="str">
        <f>'MP Calculations'!D81</f>
        <v>2037-38</v>
      </c>
      <c r="D54" s="185">
        <f>IF(LEFT($C54,4)*1&lt;LEFT('General inputs'!$I$16,4)+'General inputs'!$H$38,SUM(G54,J54,M54,P54,S54,V54,Y54,AB54,AE54,AH54),"")</f>
        <v>108.14784724354153</v>
      </c>
      <c r="F54" s="233"/>
      <c r="G54" s="246">
        <v>27.476329331046315</v>
      </c>
      <c r="I54" s="233"/>
      <c r="J54" s="246">
        <v>56.633127395720109</v>
      </c>
      <c r="L54" s="233"/>
      <c r="M54" s="246">
        <v>24.038390516775106</v>
      </c>
      <c r="O54" s="38">
        <v>0</v>
      </c>
      <c r="P54" s="43">
        <f t="shared" si="8"/>
        <v>0</v>
      </c>
      <c r="R54" s="38">
        <v>0</v>
      </c>
      <c r="S54" s="43">
        <f t="shared" si="9"/>
        <v>0</v>
      </c>
      <c r="U54" s="38">
        <v>0</v>
      </c>
      <c r="V54" s="43">
        <f t="shared" si="10"/>
        <v>0</v>
      </c>
      <c r="X54" s="38">
        <v>0</v>
      </c>
      <c r="Y54" s="43">
        <f t="shared" si="11"/>
        <v>0</v>
      </c>
      <c r="AA54" s="38">
        <v>0</v>
      </c>
      <c r="AB54" s="43">
        <f t="shared" si="12"/>
        <v>0</v>
      </c>
      <c r="AD54" s="38">
        <v>0</v>
      </c>
      <c r="AE54" s="43">
        <f t="shared" si="13"/>
        <v>0</v>
      </c>
      <c r="AG54" s="38">
        <v>0</v>
      </c>
      <c r="AH54" s="43">
        <f t="shared" si="14"/>
        <v>0</v>
      </c>
      <c r="AS54" s="241"/>
      <c r="AT54" s="241"/>
    </row>
    <row r="55" spans="3:46" x14ac:dyDescent="0.25">
      <c r="C55" s="28" t="str">
        <f>'MP Calculations'!D82</f>
        <v>2038-39</v>
      </c>
      <c r="D55" s="185">
        <f>IF(LEFT($C55,4)*1&lt;LEFT('General inputs'!$I$16,4)+'General inputs'!$H$38,SUM(G55,J55,M55,P55,S55,V55,Y55,AB55,AE55,AH55),"")</f>
        <v>33.584056000507047</v>
      </c>
      <c r="F55" s="233"/>
      <c r="G55" s="246">
        <v>21.627272727272729</v>
      </c>
      <c r="I55" s="233"/>
      <c r="J55" s="246">
        <v>7.6206835878938479</v>
      </c>
      <c r="L55" s="233"/>
      <c r="M55" s="246">
        <v>4.3360996853404696</v>
      </c>
      <c r="O55" s="38">
        <v>0</v>
      </c>
      <c r="P55" s="43">
        <f t="shared" si="8"/>
        <v>0</v>
      </c>
      <c r="R55" s="38">
        <v>0</v>
      </c>
      <c r="S55" s="43">
        <f t="shared" si="9"/>
        <v>0</v>
      </c>
      <c r="U55" s="38">
        <v>0</v>
      </c>
      <c r="V55" s="43">
        <f t="shared" si="10"/>
        <v>0</v>
      </c>
      <c r="X55" s="38">
        <v>0</v>
      </c>
      <c r="Y55" s="43">
        <f t="shared" si="11"/>
        <v>0</v>
      </c>
      <c r="AA55" s="38">
        <v>0</v>
      </c>
      <c r="AB55" s="43">
        <f t="shared" si="12"/>
        <v>0</v>
      </c>
      <c r="AD55" s="38">
        <v>0</v>
      </c>
      <c r="AE55" s="43">
        <f t="shared" si="13"/>
        <v>0</v>
      </c>
      <c r="AG55" s="38">
        <v>0</v>
      </c>
      <c r="AH55" s="43">
        <f t="shared" si="14"/>
        <v>0</v>
      </c>
      <c r="AS55" s="241"/>
      <c r="AT55" s="241"/>
    </row>
    <row r="56" spans="3:46" x14ac:dyDescent="0.25">
      <c r="C56" s="28" t="str">
        <f>'MP Calculations'!D83</f>
        <v>2039-40</v>
      </c>
      <c r="D56" s="185">
        <f>IF(LEFT($C56,4)*1&lt;LEFT('General inputs'!$I$16,4)+'General inputs'!$H$38,SUM(G56,J56,M56,P56,S56,V56,Y56,AB56,AE56,AH56),"")</f>
        <v>0</v>
      </c>
      <c r="F56" s="233"/>
      <c r="G56" s="246"/>
      <c r="I56" s="233"/>
      <c r="J56" s="246"/>
      <c r="L56" s="233"/>
      <c r="M56" s="246"/>
      <c r="O56" s="38">
        <v>0</v>
      </c>
      <c r="P56" s="43">
        <f t="shared" si="8"/>
        <v>0</v>
      </c>
      <c r="R56" s="38">
        <v>0</v>
      </c>
      <c r="S56" s="43">
        <f t="shared" si="9"/>
        <v>0</v>
      </c>
      <c r="U56" s="38">
        <v>0</v>
      </c>
      <c r="V56" s="43">
        <f t="shared" si="10"/>
        <v>0</v>
      </c>
      <c r="X56" s="38">
        <v>0</v>
      </c>
      <c r="Y56" s="43">
        <f t="shared" si="11"/>
        <v>0</v>
      </c>
      <c r="AA56" s="38">
        <v>0</v>
      </c>
      <c r="AB56" s="43">
        <f t="shared" si="12"/>
        <v>0</v>
      </c>
      <c r="AD56" s="38">
        <v>0</v>
      </c>
      <c r="AE56" s="43">
        <f t="shared" si="13"/>
        <v>0</v>
      </c>
      <c r="AG56" s="38">
        <v>0</v>
      </c>
      <c r="AH56" s="43">
        <f t="shared" si="14"/>
        <v>0</v>
      </c>
      <c r="AS56" s="241"/>
      <c r="AT56" s="241"/>
    </row>
    <row r="57" spans="3:46" x14ac:dyDescent="0.25">
      <c r="C57" s="28" t="str">
        <f>'MP Calculations'!D84</f>
        <v>2040-41</v>
      </c>
      <c r="D57" s="185">
        <f>IF(LEFT($C57,4)*1&lt;LEFT('General inputs'!$I$16,4)+'General inputs'!$H$38,SUM(G57,J57,M57,P57,S57,V57,Y57,AB57,AE57,AH57),"")</f>
        <v>0</v>
      </c>
      <c r="F57" s="233"/>
      <c r="G57" s="246"/>
      <c r="I57" s="233"/>
      <c r="J57" s="246"/>
      <c r="L57" s="233"/>
      <c r="M57" s="246"/>
      <c r="O57" s="38">
        <v>0</v>
      </c>
      <c r="P57" s="43">
        <f t="shared" si="8"/>
        <v>0</v>
      </c>
      <c r="R57" s="38">
        <v>0</v>
      </c>
      <c r="S57" s="43">
        <f t="shared" si="9"/>
        <v>0</v>
      </c>
      <c r="U57" s="38">
        <v>0</v>
      </c>
      <c r="V57" s="43">
        <f t="shared" si="10"/>
        <v>0</v>
      </c>
      <c r="X57" s="38">
        <v>0</v>
      </c>
      <c r="Y57" s="43">
        <f t="shared" si="11"/>
        <v>0</v>
      </c>
      <c r="AA57" s="38">
        <v>0</v>
      </c>
      <c r="AB57" s="43">
        <f t="shared" si="12"/>
        <v>0</v>
      </c>
      <c r="AD57" s="38">
        <v>0</v>
      </c>
      <c r="AE57" s="43">
        <f t="shared" si="13"/>
        <v>0</v>
      </c>
      <c r="AG57" s="38">
        <v>0</v>
      </c>
      <c r="AH57" s="43">
        <f t="shared" si="14"/>
        <v>0</v>
      </c>
      <c r="AS57" s="241"/>
      <c r="AT57" s="241"/>
    </row>
    <row r="58" spans="3:46" x14ac:dyDescent="0.25">
      <c r="C58" s="28" t="str">
        <f>'MP Calculations'!D85</f>
        <v>2041-42</v>
      </c>
      <c r="D58" s="185">
        <f>IF(LEFT($C58,4)*1&lt;LEFT('General inputs'!$I$16,4)+'General inputs'!$H$38,SUM(G58,J58,M58,P58,S58,V58,Y58,AB58,AE58,AH58),"")</f>
        <v>0</v>
      </c>
      <c r="F58" s="233"/>
      <c r="G58" s="246"/>
      <c r="I58" s="233"/>
      <c r="J58" s="246"/>
      <c r="L58" s="233"/>
      <c r="M58" s="246"/>
      <c r="O58" s="38">
        <v>0</v>
      </c>
      <c r="P58" s="43">
        <f t="shared" si="8"/>
        <v>0</v>
      </c>
      <c r="R58" s="38">
        <v>0</v>
      </c>
      <c r="S58" s="43">
        <f t="shared" si="9"/>
        <v>0</v>
      </c>
      <c r="U58" s="38">
        <v>0</v>
      </c>
      <c r="V58" s="43">
        <f t="shared" si="10"/>
        <v>0</v>
      </c>
      <c r="X58" s="38">
        <v>0</v>
      </c>
      <c r="Y58" s="43">
        <f t="shared" si="11"/>
        <v>0</v>
      </c>
      <c r="AA58" s="38">
        <v>0</v>
      </c>
      <c r="AB58" s="43">
        <f t="shared" si="12"/>
        <v>0</v>
      </c>
      <c r="AD58" s="38">
        <v>0</v>
      </c>
      <c r="AE58" s="43">
        <f t="shared" si="13"/>
        <v>0</v>
      </c>
      <c r="AG58" s="38">
        <v>0</v>
      </c>
      <c r="AH58" s="43">
        <f t="shared" si="14"/>
        <v>0</v>
      </c>
      <c r="AS58" s="241"/>
      <c r="AT58" s="241"/>
    </row>
    <row r="59" spans="3:46" x14ac:dyDescent="0.25">
      <c r="C59" s="28" t="str">
        <f>'MP Calculations'!D86</f>
        <v>2042-43</v>
      </c>
      <c r="D59" s="185">
        <f>IF(LEFT($C59,4)*1&lt;LEFT('General inputs'!$I$16,4)+'General inputs'!$H$38,SUM(G59,J59,M59,P59,S59,V59,Y59,AB59,AE59,AH59),"")</f>
        <v>0</v>
      </c>
      <c r="F59" s="233"/>
      <c r="G59" s="246"/>
      <c r="I59" s="233"/>
      <c r="J59" s="246"/>
      <c r="L59" s="233"/>
      <c r="M59" s="246"/>
      <c r="O59" s="38">
        <v>0</v>
      </c>
      <c r="P59" s="43">
        <f t="shared" si="8"/>
        <v>0</v>
      </c>
      <c r="R59" s="38">
        <v>0</v>
      </c>
      <c r="S59" s="43">
        <f t="shared" si="9"/>
        <v>0</v>
      </c>
      <c r="U59" s="38">
        <v>0</v>
      </c>
      <c r="V59" s="43">
        <f t="shared" si="10"/>
        <v>0</v>
      </c>
      <c r="X59" s="38">
        <v>0</v>
      </c>
      <c r="Y59" s="43">
        <f t="shared" si="11"/>
        <v>0</v>
      </c>
      <c r="AA59" s="38">
        <v>0</v>
      </c>
      <c r="AB59" s="43">
        <f t="shared" si="12"/>
        <v>0</v>
      </c>
      <c r="AD59" s="38">
        <v>0</v>
      </c>
      <c r="AE59" s="43">
        <f t="shared" si="13"/>
        <v>0</v>
      </c>
      <c r="AG59" s="38">
        <v>0</v>
      </c>
      <c r="AH59" s="43">
        <f t="shared" si="14"/>
        <v>0</v>
      </c>
      <c r="AS59" s="241"/>
      <c r="AT59" s="241"/>
    </row>
    <row r="60" spans="3:46" x14ac:dyDescent="0.25">
      <c r="C60" s="28" t="str">
        <f>'MP Calculations'!D87</f>
        <v>2043-44</v>
      </c>
      <c r="D60" s="185">
        <f>IF(LEFT($C60,4)*1&lt;LEFT('General inputs'!$I$16,4)+'General inputs'!$H$38,SUM(G60,J60,M60,P60,S60,V60,Y60,AB60,AE60,AH60),"")</f>
        <v>0</v>
      </c>
      <c r="F60" s="233"/>
      <c r="G60" s="246"/>
      <c r="I60" s="233"/>
      <c r="J60" s="246"/>
      <c r="L60" s="233"/>
      <c r="M60" s="246"/>
      <c r="O60" s="38">
        <v>0</v>
      </c>
      <c r="P60" s="43">
        <f t="shared" si="8"/>
        <v>0</v>
      </c>
      <c r="R60" s="38">
        <v>0</v>
      </c>
      <c r="S60" s="43">
        <f t="shared" si="9"/>
        <v>0</v>
      </c>
      <c r="U60" s="38">
        <v>0</v>
      </c>
      <c r="V60" s="43">
        <f t="shared" si="10"/>
        <v>0</v>
      </c>
      <c r="X60" s="38">
        <v>0</v>
      </c>
      <c r="Y60" s="43">
        <f t="shared" si="11"/>
        <v>0</v>
      </c>
      <c r="AA60" s="38">
        <v>0</v>
      </c>
      <c r="AB60" s="43">
        <f t="shared" si="12"/>
        <v>0</v>
      </c>
      <c r="AD60" s="38">
        <v>0</v>
      </c>
      <c r="AE60" s="43">
        <f t="shared" si="13"/>
        <v>0</v>
      </c>
      <c r="AG60" s="38">
        <v>0</v>
      </c>
      <c r="AH60" s="43">
        <f t="shared" si="14"/>
        <v>0</v>
      </c>
      <c r="AS60" s="241"/>
      <c r="AT60" s="241"/>
    </row>
    <row r="61" spans="3:46" x14ac:dyDescent="0.25">
      <c r="C61" s="28" t="str">
        <f>'MP Calculations'!D88</f>
        <v>2044-45</v>
      </c>
      <c r="D61" s="185">
        <f>IF(LEFT($C61,4)*1&lt;LEFT('General inputs'!$I$16,4)+'General inputs'!$H$38,SUM(G61,J61,M61,P61,S61,V61,Y61,AB61,AE61,AH61),"")</f>
        <v>0</v>
      </c>
      <c r="F61" s="233"/>
      <c r="G61" s="246"/>
      <c r="I61" s="233"/>
      <c r="J61" s="246"/>
      <c r="L61" s="233"/>
      <c r="M61" s="246"/>
      <c r="O61" s="38">
        <v>0</v>
      </c>
      <c r="P61" s="43">
        <f t="shared" si="8"/>
        <v>0</v>
      </c>
      <c r="R61" s="38">
        <v>0</v>
      </c>
      <c r="S61" s="43">
        <f t="shared" si="9"/>
        <v>0</v>
      </c>
      <c r="U61" s="38">
        <v>0</v>
      </c>
      <c r="V61" s="43">
        <f t="shared" si="10"/>
        <v>0</v>
      </c>
      <c r="X61" s="38">
        <v>0</v>
      </c>
      <c r="Y61" s="43">
        <f t="shared" si="11"/>
        <v>0</v>
      </c>
      <c r="AA61" s="38">
        <v>0</v>
      </c>
      <c r="AB61" s="43">
        <f t="shared" si="12"/>
        <v>0</v>
      </c>
      <c r="AD61" s="38">
        <v>0</v>
      </c>
      <c r="AE61" s="43">
        <f t="shared" si="13"/>
        <v>0</v>
      </c>
      <c r="AG61" s="38">
        <v>0</v>
      </c>
      <c r="AH61" s="43">
        <f t="shared" si="14"/>
        <v>0</v>
      </c>
      <c r="AS61" s="241"/>
      <c r="AT61" s="241"/>
    </row>
    <row r="62" spans="3:46" x14ac:dyDescent="0.25">
      <c r="C62" s="28" t="str">
        <f>'MP Calculations'!D89</f>
        <v>2045-46</v>
      </c>
      <c r="D62" s="185">
        <f>IF(LEFT($C62,4)*1&lt;LEFT('General inputs'!$I$16,4)+'General inputs'!$H$38,SUM(G62,J62,M62,P62,S62,V62,Y62,AB62,AE62,AH62),"")</f>
        <v>0</v>
      </c>
      <c r="F62" s="233"/>
      <c r="G62" s="246"/>
      <c r="I62" s="233"/>
      <c r="J62" s="246"/>
      <c r="L62" s="233"/>
      <c r="M62" s="246"/>
      <c r="O62" s="38">
        <v>0</v>
      </c>
      <c r="P62" s="43">
        <f t="shared" si="8"/>
        <v>0</v>
      </c>
      <c r="R62" s="38">
        <v>0</v>
      </c>
      <c r="S62" s="43">
        <f t="shared" si="9"/>
        <v>0</v>
      </c>
      <c r="U62" s="38">
        <v>0</v>
      </c>
      <c r="V62" s="43">
        <f t="shared" si="10"/>
        <v>0</v>
      </c>
      <c r="X62" s="38">
        <v>0</v>
      </c>
      <c r="Y62" s="43">
        <f t="shared" si="11"/>
        <v>0</v>
      </c>
      <c r="AA62" s="38">
        <v>0</v>
      </c>
      <c r="AB62" s="43">
        <f t="shared" si="12"/>
        <v>0</v>
      </c>
      <c r="AD62" s="38">
        <v>0</v>
      </c>
      <c r="AE62" s="43">
        <f t="shared" si="13"/>
        <v>0</v>
      </c>
      <c r="AG62" s="38">
        <v>0</v>
      </c>
      <c r="AH62" s="43">
        <f t="shared" si="14"/>
        <v>0</v>
      </c>
      <c r="AS62" s="241"/>
      <c r="AT62" s="241"/>
    </row>
    <row r="63" spans="3:46" x14ac:dyDescent="0.25">
      <c r="C63" s="28" t="str">
        <f>'MP Calculations'!D90</f>
        <v>2046-47</v>
      </c>
      <c r="D63" s="185">
        <f>IF(LEFT($C63,4)*1&lt;LEFT('General inputs'!$I$16,4)+'General inputs'!$H$38,SUM(G63,J63,M63,P63,S63,V63,Y63,AB63,AE63,AH63),"")</f>
        <v>0</v>
      </c>
      <c r="F63" s="233"/>
      <c r="G63" s="246"/>
      <c r="I63" s="233"/>
      <c r="J63" s="246"/>
      <c r="L63" s="233"/>
      <c r="M63" s="246"/>
      <c r="O63" s="38">
        <v>0</v>
      </c>
      <c r="P63" s="43">
        <f t="shared" si="8"/>
        <v>0</v>
      </c>
      <c r="R63" s="38">
        <v>0</v>
      </c>
      <c r="S63" s="43">
        <f t="shared" si="9"/>
        <v>0</v>
      </c>
      <c r="U63" s="38">
        <v>0</v>
      </c>
      <c r="V63" s="43">
        <f t="shared" si="10"/>
        <v>0</v>
      </c>
      <c r="X63" s="38">
        <v>0</v>
      </c>
      <c r="Y63" s="43">
        <f t="shared" si="11"/>
        <v>0</v>
      </c>
      <c r="AA63" s="38">
        <v>0</v>
      </c>
      <c r="AB63" s="43">
        <f t="shared" si="12"/>
        <v>0</v>
      </c>
      <c r="AD63" s="38">
        <v>0</v>
      </c>
      <c r="AE63" s="43">
        <f t="shared" si="13"/>
        <v>0</v>
      </c>
      <c r="AG63" s="38">
        <v>0</v>
      </c>
      <c r="AH63" s="43">
        <f t="shared" si="14"/>
        <v>0</v>
      </c>
      <c r="AS63" s="241"/>
      <c r="AT63" s="241"/>
    </row>
    <row r="64" spans="3:46" x14ac:dyDescent="0.25">
      <c r="C64" s="28" t="str">
        <f>'MP Calculations'!D91</f>
        <v>2047-48</v>
      </c>
      <c r="D64" s="185">
        <f>IF(LEFT($C64,4)*1&lt;LEFT('General inputs'!$I$16,4)+'General inputs'!$H$38,SUM(G64,J64,M64,P64,S64,V64,Y64,AB64,AE64,AH64),"")</f>
        <v>0</v>
      </c>
      <c r="F64" s="233"/>
      <c r="G64" s="246"/>
      <c r="I64" s="233"/>
      <c r="J64" s="246"/>
      <c r="L64" s="233"/>
      <c r="M64" s="246"/>
      <c r="O64" s="38">
        <v>0</v>
      </c>
      <c r="P64" s="43">
        <f t="shared" si="8"/>
        <v>0</v>
      </c>
      <c r="R64" s="38">
        <v>0</v>
      </c>
      <c r="S64" s="43">
        <f t="shared" si="9"/>
        <v>0</v>
      </c>
      <c r="U64" s="38">
        <v>0</v>
      </c>
      <c r="V64" s="43">
        <f t="shared" si="10"/>
        <v>0</v>
      </c>
      <c r="X64" s="38">
        <v>0</v>
      </c>
      <c r="Y64" s="43">
        <f t="shared" si="11"/>
        <v>0</v>
      </c>
      <c r="AA64" s="38">
        <v>0</v>
      </c>
      <c r="AB64" s="43">
        <f t="shared" si="12"/>
        <v>0</v>
      </c>
      <c r="AD64" s="38">
        <v>0</v>
      </c>
      <c r="AE64" s="43">
        <f t="shared" si="13"/>
        <v>0</v>
      </c>
      <c r="AG64" s="38">
        <v>0</v>
      </c>
      <c r="AH64" s="43">
        <f t="shared" si="14"/>
        <v>0</v>
      </c>
      <c r="AS64" s="241"/>
      <c r="AT64" s="241"/>
    </row>
    <row r="65" spans="3:46" x14ac:dyDescent="0.25">
      <c r="C65" s="28" t="str">
        <f>'MP Calculations'!D92</f>
        <v>2048-49</v>
      </c>
      <c r="D65" s="185">
        <f>IF(LEFT($C65,4)*1&lt;LEFT('General inputs'!$I$16,4)+'General inputs'!$H$38,SUM(G65,J65,M65,P65,S65,V65,Y65,AB65,AE65,AH65),"")</f>
        <v>0</v>
      </c>
      <c r="F65" s="233"/>
      <c r="G65" s="246"/>
      <c r="I65" s="233"/>
      <c r="J65" s="246"/>
      <c r="L65" s="233"/>
      <c r="M65" s="246"/>
      <c r="O65" s="38"/>
      <c r="P65" s="43">
        <f t="shared" si="8"/>
        <v>0</v>
      </c>
      <c r="R65" s="38"/>
      <c r="S65" s="43">
        <f t="shared" si="9"/>
        <v>0</v>
      </c>
      <c r="U65" s="38"/>
      <c r="V65" s="43">
        <f t="shared" si="10"/>
        <v>0</v>
      </c>
      <c r="X65" s="38"/>
      <c r="Y65" s="43">
        <f t="shared" si="11"/>
        <v>0</v>
      </c>
      <c r="AA65" s="38"/>
      <c r="AB65" s="43">
        <f t="shared" si="12"/>
        <v>0</v>
      </c>
      <c r="AD65" s="38"/>
      <c r="AE65" s="43">
        <f t="shared" si="13"/>
        <v>0</v>
      </c>
      <c r="AG65" s="38"/>
      <c r="AH65" s="43">
        <f t="shared" si="14"/>
        <v>0</v>
      </c>
      <c r="AS65" s="241"/>
      <c r="AT65" s="241"/>
    </row>
    <row r="66" spans="3:46" x14ac:dyDescent="0.25">
      <c r="C66" s="28" t="str">
        <f>'MP Calculations'!D93</f>
        <v>2049-50</v>
      </c>
      <c r="D66" s="185">
        <f>IF(LEFT($C66,4)*1&lt;LEFT('General inputs'!$I$16,4)+'General inputs'!$H$38,SUM(G66,J66,M66,P66,S66,V66,Y66,AB66,AE66,AH66),"")</f>
        <v>0</v>
      </c>
      <c r="F66" s="233"/>
      <c r="G66" s="246"/>
      <c r="I66" s="233"/>
      <c r="J66" s="246"/>
      <c r="L66" s="233"/>
      <c r="M66" s="246"/>
      <c r="O66" s="38"/>
      <c r="P66" s="43">
        <f t="shared" si="8"/>
        <v>0</v>
      </c>
      <c r="R66" s="38"/>
      <c r="S66" s="43">
        <f t="shared" si="9"/>
        <v>0</v>
      </c>
      <c r="U66" s="38"/>
      <c r="V66" s="43">
        <f t="shared" si="10"/>
        <v>0</v>
      </c>
      <c r="X66" s="38"/>
      <c r="Y66" s="43">
        <f t="shared" si="11"/>
        <v>0</v>
      </c>
      <c r="AA66" s="38"/>
      <c r="AB66" s="43">
        <f t="shared" si="12"/>
        <v>0</v>
      </c>
      <c r="AD66" s="38"/>
      <c r="AE66" s="43">
        <f t="shared" si="13"/>
        <v>0</v>
      </c>
      <c r="AG66" s="38"/>
      <c r="AH66" s="43">
        <f t="shared" si="14"/>
        <v>0</v>
      </c>
      <c r="AS66" s="241"/>
      <c r="AT66" s="241"/>
    </row>
    <row r="67" spans="3:46" x14ac:dyDescent="0.25">
      <c r="C67" s="28" t="str">
        <f>'MP Calculations'!D94</f>
        <v>2050-51</v>
      </c>
      <c r="D67" s="185">
        <f>IF(LEFT($C67,4)*1&lt;LEFT('General inputs'!$I$16,4)+'General inputs'!$H$38,SUM(G67,J67,M67,P67,S67,V67,Y67,AB67,AE67,AH67),"")</f>
        <v>0</v>
      </c>
      <c r="F67" s="233"/>
      <c r="G67" s="246"/>
      <c r="I67" s="233"/>
      <c r="J67" s="246"/>
      <c r="L67" s="233"/>
      <c r="M67" s="246"/>
      <c r="O67" s="38"/>
      <c r="P67" s="43">
        <f t="shared" si="8"/>
        <v>0</v>
      </c>
      <c r="R67" s="38"/>
      <c r="S67" s="43">
        <f t="shared" si="9"/>
        <v>0</v>
      </c>
      <c r="U67" s="38"/>
      <c r="V67" s="43">
        <f t="shared" si="10"/>
        <v>0</v>
      </c>
      <c r="X67" s="38"/>
      <c r="Y67" s="43">
        <f t="shared" si="11"/>
        <v>0</v>
      </c>
      <c r="AA67" s="38"/>
      <c r="AB67" s="43">
        <f t="shared" si="12"/>
        <v>0</v>
      </c>
      <c r="AD67" s="38"/>
      <c r="AE67" s="43">
        <f t="shared" si="13"/>
        <v>0</v>
      </c>
      <c r="AG67" s="38"/>
      <c r="AH67" s="43">
        <f t="shared" si="14"/>
        <v>0</v>
      </c>
      <c r="AS67" s="241"/>
      <c r="AT67" s="241"/>
    </row>
    <row r="68" spans="3:46" x14ac:dyDescent="0.25">
      <c r="C68" s="28" t="str">
        <f>'MP Calculations'!D95</f>
        <v>2051-52</v>
      </c>
      <c r="D68" s="185">
        <f>IF(LEFT($C68,4)*1&lt;LEFT('General inputs'!$I$16,4)+'General inputs'!$H$38,SUM(G68,J68,M68,P68,S68,V68,Y68,AB68,AE68,AH68),"")</f>
        <v>0</v>
      </c>
      <c r="F68" s="233"/>
      <c r="G68" s="246"/>
      <c r="I68" s="233"/>
      <c r="J68" s="246"/>
      <c r="L68" s="233"/>
      <c r="M68" s="246"/>
      <c r="O68" s="38"/>
      <c r="P68" s="43">
        <f t="shared" si="8"/>
        <v>0</v>
      </c>
      <c r="R68" s="38"/>
      <c r="S68" s="43">
        <f t="shared" si="9"/>
        <v>0</v>
      </c>
      <c r="U68" s="38"/>
      <c r="V68" s="43">
        <f t="shared" si="10"/>
        <v>0</v>
      </c>
      <c r="X68" s="38"/>
      <c r="Y68" s="43">
        <f t="shared" si="11"/>
        <v>0</v>
      </c>
      <c r="AA68" s="38"/>
      <c r="AB68" s="43">
        <f t="shared" si="12"/>
        <v>0</v>
      </c>
      <c r="AD68" s="38"/>
      <c r="AE68" s="43">
        <f t="shared" si="13"/>
        <v>0</v>
      </c>
      <c r="AG68" s="38"/>
      <c r="AH68" s="43">
        <f t="shared" si="14"/>
        <v>0</v>
      </c>
      <c r="AS68" s="241"/>
      <c r="AT68" s="241"/>
    </row>
    <row r="69" spans="3:46" x14ac:dyDescent="0.25">
      <c r="C69" s="28" t="str">
        <f>'MP Calculations'!D96</f>
        <v>2052-53</v>
      </c>
      <c r="D69" s="43" t="str">
        <f>IF(LEFT($C69,4)*1&lt;LEFT('General inputs'!$I$16,4)+'General inputs'!$H$38,SUM(G69,J69,M69,P69,S69,V69,Y69,AB69,AE69,AH69),"")</f>
        <v/>
      </c>
      <c r="F69" s="38"/>
      <c r="G69" s="185"/>
      <c r="I69" s="38"/>
      <c r="J69" s="185"/>
      <c r="L69" s="186"/>
      <c r="M69" s="43"/>
      <c r="O69" s="38"/>
      <c r="P69" s="43">
        <f t="shared" si="8"/>
        <v>0</v>
      </c>
      <c r="R69" s="38"/>
      <c r="S69" s="43">
        <f t="shared" si="9"/>
        <v>0</v>
      </c>
      <c r="U69" s="38"/>
      <c r="V69" s="43">
        <f t="shared" si="10"/>
        <v>0</v>
      </c>
      <c r="X69" s="38"/>
      <c r="Y69" s="43">
        <f t="shared" si="11"/>
        <v>0</v>
      </c>
      <c r="AA69" s="38"/>
      <c r="AB69" s="43">
        <f t="shared" si="12"/>
        <v>0</v>
      </c>
      <c r="AD69" s="38"/>
      <c r="AE69" s="43">
        <f t="shared" si="13"/>
        <v>0</v>
      </c>
      <c r="AG69" s="38"/>
      <c r="AH69" s="43">
        <f t="shared" si="14"/>
        <v>0</v>
      </c>
    </row>
    <row r="70" spans="3:46" x14ac:dyDescent="0.25">
      <c r="C70" s="28" t="str">
        <f>'MP Calculations'!D97</f>
        <v>2053-54</v>
      </c>
      <c r="D70" s="43" t="str">
        <f>IF(LEFT($C70,4)*1&lt;LEFT('General inputs'!$I$16,4)+'General inputs'!$H$38,SUM(G70,J70,M70,P70,S70,V70,Y70,AB70,AE70,AH70),"")</f>
        <v/>
      </c>
      <c r="F70" s="38"/>
      <c r="G70" s="185"/>
      <c r="I70" s="38"/>
      <c r="J70" s="185"/>
      <c r="L70" s="186"/>
      <c r="M70" s="43"/>
      <c r="O70" s="38"/>
      <c r="P70" s="43">
        <f t="shared" si="8"/>
        <v>0</v>
      </c>
      <c r="R70" s="38"/>
      <c r="S70" s="43">
        <f t="shared" si="9"/>
        <v>0</v>
      </c>
      <c r="U70" s="38"/>
      <c r="V70" s="43">
        <f t="shared" si="10"/>
        <v>0</v>
      </c>
      <c r="X70" s="38"/>
      <c r="Y70" s="43">
        <f t="shared" si="11"/>
        <v>0</v>
      </c>
      <c r="AA70" s="38"/>
      <c r="AB70" s="43">
        <f t="shared" si="12"/>
        <v>0</v>
      </c>
      <c r="AD70" s="38"/>
      <c r="AE70" s="43">
        <f t="shared" si="13"/>
        <v>0</v>
      </c>
      <c r="AG70" s="38"/>
      <c r="AH70" s="43">
        <f t="shared" si="14"/>
        <v>0</v>
      </c>
    </row>
    <row r="71" spans="3:46" x14ac:dyDescent="0.25">
      <c r="C71" s="28" t="str">
        <f>'MP Calculations'!D98</f>
        <v>2054-55</v>
      </c>
      <c r="D71" s="43" t="str">
        <f>IF(LEFT($C71,4)*1&lt;LEFT('General inputs'!$I$16,4)+'General inputs'!$H$38,SUM(G71,J71,M71,P71,S71,V71,Y71,AB71,AE71,AH71),"")</f>
        <v/>
      </c>
      <c r="F71" s="38"/>
      <c r="G71" s="185"/>
      <c r="I71" s="38"/>
      <c r="J71" s="185"/>
      <c r="L71" s="186"/>
      <c r="M71" s="43"/>
      <c r="O71" s="38"/>
      <c r="P71" s="43">
        <f t="shared" si="8"/>
        <v>0</v>
      </c>
      <c r="R71" s="38"/>
      <c r="S71" s="43">
        <f t="shared" si="9"/>
        <v>0</v>
      </c>
      <c r="U71" s="38"/>
      <c r="V71" s="43">
        <f t="shared" si="10"/>
        <v>0</v>
      </c>
      <c r="X71" s="38"/>
      <c r="Y71" s="43">
        <f t="shared" si="11"/>
        <v>0</v>
      </c>
      <c r="AA71" s="38"/>
      <c r="AB71" s="43">
        <f t="shared" si="12"/>
        <v>0</v>
      </c>
      <c r="AD71" s="38"/>
      <c r="AE71" s="43">
        <f t="shared" si="13"/>
        <v>0</v>
      </c>
      <c r="AG71" s="38"/>
      <c r="AH71" s="43">
        <f t="shared" si="14"/>
        <v>0</v>
      </c>
    </row>
    <row r="72" spans="3:46" x14ac:dyDescent="0.25">
      <c r="C72" s="28" t="str">
        <f>'MP Calculations'!D99</f>
        <v>2055-56</v>
      </c>
      <c r="D72" s="43" t="str">
        <f>IF(LEFT($C72,4)*1&lt;LEFT('General inputs'!$I$16,4)+'General inputs'!$H$38,SUM(G72,J72,M72,P72,S72,V72,Y72,AB72,AE72,AH72),"")</f>
        <v/>
      </c>
      <c r="F72" s="38"/>
      <c r="G72" s="185"/>
      <c r="I72" s="38"/>
      <c r="J72" s="185"/>
      <c r="L72" s="186"/>
      <c r="M72" s="43"/>
      <c r="O72" s="38"/>
      <c r="P72" s="43">
        <f t="shared" si="8"/>
        <v>0</v>
      </c>
      <c r="R72" s="38"/>
      <c r="S72" s="43">
        <f t="shared" si="9"/>
        <v>0</v>
      </c>
      <c r="U72" s="38"/>
      <c r="V72" s="43">
        <f t="shared" si="10"/>
        <v>0</v>
      </c>
      <c r="X72" s="38"/>
      <c r="Y72" s="43">
        <f t="shared" si="11"/>
        <v>0</v>
      </c>
      <c r="AA72" s="38"/>
      <c r="AB72" s="43">
        <f t="shared" si="12"/>
        <v>0</v>
      </c>
      <c r="AD72" s="38"/>
      <c r="AE72" s="43">
        <f t="shared" si="13"/>
        <v>0</v>
      </c>
      <c r="AG72" s="38"/>
      <c r="AH72" s="43">
        <f t="shared" si="14"/>
        <v>0</v>
      </c>
    </row>
    <row r="73" spans="3:46" x14ac:dyDescent="0.25">
      <c r="C73" s="28" t="str">
        <f>'MP Calculations'!D100</f>
        <v>2056-57</v>
      </c>
      <c r="D73" s="43" t="str">
        <f>IF(LEFT($C73,4)*1&lt;LEFT('General inputs'!$I$16,4)+'General inputs'!$H$38,SUM(G73,J73,M73,P73,S73,V73,Y73,AB73,AE73,AH73),"")</f>
        <v/>
      </c>
      <c r="F73" s="38"/>
      <c r="G73" s="185"/>
      <c r="I73" s="38"/>
      <c r="J73" s="185"/>
      <c r="L73" s="186"/>
      <c r="M73" s="43"/>
      <c r="O73" s="38"/>
      <c r="P73" s="43">
        <f t="shared" si="8"/>
        <v>0</v>
      </c>
      <c r="R73" s="38"/>
      <c r="S73" s="43">
        <f t="shared" si="9"/>
        <v>0</v>
      </c>
      <c r="U73" s="38"/>
      <c r="V73" s="43">
        <f t="shared" si="10"/>
        <v>0</v>
      </c>
      <c r="X73" s="38"/>
      <c r="Y73" s="43">
        <f t="shared" si="11"/>
        <v>0</v>
      </c>
      <c r="AA73" s="38"/>
      <c r="AB73" s="43">
        <f t="shared" si="12"/>
        <v>0</v>
      </c>
      <c r="AD73" s="38"/>
      <c r="AE73" s="43">
        <f t="shared" si="13"/>
        <v>0</v>
      </c>
      <c r="AG73" s="38"/>
      <c r="AH73" s="43">
        <f t="shared" si="14"/>
        <v>0</v>
      </c>
    </row>
    <row r="74" spans="3:46" x14ac:dyDescent="0.25">
      <c r="C74" s="28" t="str">
        <f>'MP Calculations'!D101</f>
        <v>2057-58</v>
      </c>
      <c r="D74" s="43" t="str">
        <f>IF(LEFT($C74,4)*1&lt;LEFT('General inputs'!$I$16,4)+'General inputs'!$H$38,SUM(G74,J74,M74,P74,S74,V74,Y74,AB74,AE74,AH74),"")</f>
        <v/>
      </c>
      <c r="F74" s="38"/>
      <c r="G74" s="185"/>
      <c r="I74" s="38"/>
      <c r="J74" s="185"/>
      <c r="L74" s="186"/>
      <c r="M74" s="43"/>
      <c r="O74" s="38"/>
      <c r="P74" s="43">
        <f t="shared" si="8"/>
        <v>0</v>
      </c>
      <c r="R74" s="38"/>
      <c r="S74" s="43">
        <f t="shared" si="9"/>
        <v>0</v>
      </c>
      <c r="U74" s="38"/>
      <c r="V74" s="43">
        <f t="shared" si="10"/>
        <v>0</v>
      </c>
      <c r="X74" s="38"/>
      <c r="Y74" s="43">
        <f t="shared" si="11"/>
        <v>0</v>
      </c>
      <c r="AA74" s="38"/>
      <c r="AB74" s="43">
        <f t="shared" si="12"/>
        <v>0</v>
      </c>
      <c r="AD74" s="38"/>
      <c r="AE74" s="43">
        <f t="shared" si="13"/>
        <v>0</v>
      </c>
      <c r="AG74" s="38"/>
      <c r="AH74" s="43">
        <f t="shared" si="14"/>
        <v>0</v>
      </c>
    </row>
    <row r="75" spans="3:46" x14ac:dyDescent="0.25">
      <c r="C75" s="28" t="str">
        <f>'MP Calculations'!D102</f>
        <v>2058-59</v>
      </c>
      <c r="D75" s="43" t="str">
        <f>IF(LEFT($C75,4)*1&lt;LEFT('General inputs'!$I$16,4)+'General inputs'!$H$38,SUM(G75,J75,M75,P75,S75,V75,Y75,AB75,AE75,AH75),"")</f>
        <v/>
      </c>
      <c r="F75" s="38"/>
      <c r="G75" s="185"/>
      <c r="I75" s="38"/>
      <c r="J75" s="185"/>
      <c r="L75" s="186"/>
      <c r="M75" s="43"/>
      <c r="O75" s="38"/>
      <c r="P75" s="43">
        <f t="shared" si="8"/>
        <v>0</v>
      </c>
      <c r="R75" s="38"/>
      <c r="S75" s="43">
        <f t="shared" si="9"/>
        <v>0</v>
      </c>
      <c r="U75" s="38"/>
      <c r="V75" s="43">
        <f t="shared" si="10"/>
        <v>0</v>
      </c>
      <c r="X75" s="38"/>
      <c r="Y75" s="43">
        <f t="shared" si="11"/>
        <v>0</v>
      </c>
      <c r="AA75" s="38"/>
      <c r="AB75" s="43">
        <f t="shared" si="12"/>
        <v>0</v>
      </c>
      <c r="AD75" s="38"/>
      <c r="AE75" s="43">
        <f t="shared" si="13"/>
        <v>0</v>
      </c>
      <c r="AG75" s="38"/>
      <c r="AH75" s="43">
        <f t="shared" si="14"/>
        <v>0</v>
      </c>
    </row>
    <row r="76" spans="3:46" x14ac:dyDescent="0.25">
      <c r="C76" s="28" t="str">
        <f>'MP Calculations'!D103</f>
        <v>2059-60</v>
      </c>
      <c r="D76" s="43" t="str">
        <f>IF(LEFT($C76,4)*1&lt;LEFT('General inputs'!$I$16,4)+'General inputs'!$H$38,SUM(G76,J76,M76,P76,S76,V76,Y76,AB76,AE76,AH76),"")</f>
        <v/>
      </c>
      <c r="F76" s="38"/>
      <c r="G76" s="185"/>
      <c r="I76" s="38"/>
      <c r="J76" s="185"/>
      <c r="L76" s="186"/>
      <c r="M76" s="43"/>
      <c r="O76" s="38"/>
      <c r="P76" s="43">
        <f t="shared" ref="P76:P102" si="15">O76*$P$9/$F$6</f>
        <v>0</v>
      </c>
      <c r="R76" s="38"/>
      <c r="S76" s="43">
        <f t="shared" ref="S76:S102" si="16">R76*$S$9/$F$6</f>
        <v>0</v>
      </c>
      <c r="U76" s="38"/>
      <c r="V76" s="43">
        <f t="shared" ref="V76:V102" si="17">U76*$V$9/$F$6</f>
        <v>0</v>
      </c>
      <c r="X76" s="38"/>
      <c r="Y76" s="43">
        <f t="shared" ref="Y76:Y102" si="18">X76*$Y$9/$F$6</f>
        <v>0</v>
      </c>
      <c r="AA76" s="38"/>
      <c r="AB76" s="43">
        <f t="shared" ref="AB76:AB102" si="19">AA76*$AB$9/$F$6</f>
        <v>0</v>
      </c>
      <c r="AD76" s="38"/>
      <c r="AE76" s="43">
        <f t="shared" ref="AE76:AE102" si="20">AD76*$AE$9/$F$6</f>
        <v>0</v>
      </c>
      <c r="AG76" s="38"/>
      <c r="AH76" s="43">
        <f t="shared" ref="AH76:AH102" si="21">AG76*$AH$9/$F$6</f>
        <v>0</v>
      </c>
    </row>
    <row r="77" spans="3:46" x14ac:dyDescent="0.25">
      <c r="C77" s="28" t="str">
        <f>'MP Calculations'!D104</f>
        <v>2060-61</v>
      </c>
      <c r="D77" s="43" t="str">
        <f>IF(LEFT($C77,4)*1&lt;LEFT('General inputs'!$I$16,4)+'General inputs'!$H$38,SUM(G77,J77,M77,P77,S77,V77,Y77,AB77,AE77,AH77),"")</f>
        <v/>
      </c>
      <c r="F77" s="38"/>
      <c r="G77" s="185"/>
      <c r="I77" s="38"/>
      <c r="J77" s="185"/>
      <c r="L77" s="186"/>
      <c r="M77" s="43"/>
      <c r="O77" s="38"/>
      <c r="P77" s="43">
        <f t="shared" si="15"/>
        <v>0</v>
      </c>
      <c r="R77" s="38"/>
      <c r="S77" s="43">
        <f t="shared" si="16"/>
        <v>0</v>
      </c>
      <c r="U77" s="38"/>
      <c r="V77" s="43">
        <f t="shared" si="17"/>
        <v>0</v>
      </c>
      <c r="X77" s="38"/>
      <c r="Y77" s="43">
        <f t="shared" si="18"/>
        <v>0</v>
      </c>
      <c r="AA77" s="38"/>
      <c r="AB77" s="43">
        <f t="shared" si="19"/>
        <v>0</v>
      </c>
      <c r="AD77" s="38"/>
      <c r="AE77" s="43">
        <f t="shared" si="20"/>
        <v>0</v>
      </c>
      <c r="AG77" s="38"/>
      <c r="AH77" s="43">
        <f t="shared" si="21"/>
        <v>0</v>
      </c>
    </row>
    <row r="78" spans="3:46" x14ac:dyDescent="0.25">
      <c r="C78" s="28" t="str">
        <f>'MP Calculations'!D105</f>
        <v>2061-62</v>
      </c>
      <c r="D78" s="43" t="str">
        <f>IF(LEFT($C78,4)*1&lt;LEFT('General inputs'!$I$16,4)+'General inputs'!$H$38,SUM(G78,J78,M78,P78,S78,V78,Y78,AB78,AE78,AH78),"")</f>
        <v/>
      </c>
      <c r="F78" s="38"/>
      <c r="G78" s="185"/>
      <c r="I78" s="38"/>
      <c r="J78" s="185"/>
      <c r="L78" s="186"/>
      <c r="M78" s="43"/>
      <c r="O78" s="38"/>
      <c r="P78" s="43">
        <f t="shared" si="15"/>
        <v>0</v>
      </c>
      <c r="R78" s="38"/>
      <c r="S78" s="43">
        <f t="shared" si="16"/>
        <v>0</v>
      </c>
      <c r="U78" s="38"/>
      <c r="V78" s="43">
        <f t="shared" si="17"/>
        <v>0</v>
      </c>
      <c r="X78" s="38"/>
      <c r="Y78" s="43">
        <f t="shared" si="18"/>
        <v>0</v>
      </c>
      <c r="AA78" s="38"/>
      <c r="AB78" s="43">
        <f t="shared" si="19"/>
        <v>0</v>
      </c>
      <c r="AD78" s="38"/>
      <c r="AE78" s="43">
        <f t="shared" si="20"/>
        <v>0</v>
      </c>
      <c r="AG78" s="38"/>
      <c r="AH78" s="43">
        <f t="shared" si="21"/>
        <v>0</v>
      </c>
    </row>
    <row r="79" spans="3:46" x14ac:dyDescent="0.25">
      <c r="C79" s="28" t="str">
        <f>'MP Calculations'!D106</f>
        <v>2062-63</v>
      </c>
      <c r="D79" s="43" t="str">
        <f>IF(LEFT($C79,4)*1&lt;LEFT('General inputs'!$I$16,4)+'General inputs'!$H$38,SUM(G79,J79,M79,P79,S79,V79,Y79,AB79,AE79,AH79),"")</f>
        <v/>
      </c>
      <c r="F79" s="38"/>
      <c r="G79" s="185"/>
      <c r="I79" s="38"/>
      <c r="J79" s="185"/>
      <c r="L79" s="186"/>
      <c r="M79" s="43"/>
      <c r="O79" s="38"/>
      <c r="P79" s="43">
        <f t="shared" si="15"/>
        <v>0</v>
      </c>
      <c r="R79" s="38"/>
      <c r="S79" s="43">
        <f t="shared" si="16"/>
        <v>0</v>
      </c>
      <c r="U79" s="38"/>
      <c r="V79" s="43">
        <f t="shared" si="17"/>
        <v>0</v>
      </c>
      <c r="X79" s="38"/>
      <c r="Y79" s="43">
        <f t="shared" si="18"/>
        <v>0</v>
      </c>
      <c r="AA79" s="38"/>
      <c r="AB79" s="43">
        <f t="shared" si="19"/>
        <v>0</v>
      </c>
      <c r="AD79" s="38"/>
      <c r="AE79" s="43">
        <f t="shared" si="20"/>
        <v>0</v>
      </c>
      <c r="AG79" s="38"/>
      <c r="AH79" s="43">
        <f t="shared" si="21"/>
        <v>0</v>
      </c>
    </row>
    <row r="80" spans="3:46" x14ac:dyDescent="0.25">
      <c r="C80" s="28" t="str">
        <f>'MP Calculations'!D107</f>
        <v>2063-64</v>
      </c>
      <c r="D80" s="43" t="str">
        <f>IF(LEFT($C80,4)*1&lt;LEFT('General inputs'!$I$16,4)+'General inputs'!$H$38,SUM(G80,J80,M80,P80,S80,V80,Y80,AB80,AE80,AH80),"")</f>
        <v/>
      </c>
      <c r="F80" s="38"/>
      <c r="G80" s="185"/>
      <c r="I80" s="38"/>
      <c r="J80" s="185"/>
      <c r="L80" s="186"/>
      <c r="M80" s="43"/>
      <c r="O80" s="38"/>
      <c r="P80" s="43">
        <f t="shared" si="15"/>
        <v>0</v>
      </c>
      <c r="R80" s="38"/>
      <c r="S80" s="43">
        <f t="shared" si="16"/>
        <v>0</v>
      </c>
      <c r="U80" s="38"/>
      <c r="V80" s="43">
        <f t="shared" si="17"/>
        <v>0</v>
      </c>
      <c r="X80" s="38"/>
      <c r="Y80" s="43">
        <f t="shared" si="18"/>
        <v>0</v>
      </c>
      <c r="AA80" s="38"/>
      <c r="AB80" s="43">
        <f t="shared" si="19"/>
        <v>0</v>
      </c>
      <c r="AD80" s="38"/>
      <c r="AE80" s="43">
        <f t="shared" si="20"/>
        <v>0</v>
      </c>
      <c r="AG80" s="38"/>
      <c r="AH80" s="43">
        <f t="shared" si="21"/>
        <v>0</v>
      </c>
    </row>
    <row r="81" spans="3:34" x14ac:dyDescent="0.25">
      <c r="C81" s="28" t="str">
        <f>'MP Calculations'!D108</f>
        <v>2064-65</v>
      </c>
      <c r="D81" s="43" t="str">
        <f>IF(LEFT($C81,4)*1&lt;LEFT('General inputs'!$I$16,4)+'General inputs'!$H$38,SUM(G81,J81,M81,P81,S81,V81,Y81,AB81,AE81,AH81),"")</f>
        <v/>
      </c>
      <c r="F81" s="38"/>
      <c r="G81" s="185"/>
      <c r="I81" s="38"/>
      <c r="J81" s="185"/>
      <c r="L81" s="186"/>
      <c r="M81" s="43"/>
      <c r="O81" s="38"/>
      <c r="P81" s="43">
        <f t="shared" si="15"/>
        <v>0</v>
      </c>
      <c r="R81" s="38"/>
      <c r="S81" s="43">
        <f t="shared" si="16"/>
        <v>0</v>
      </c>
      <c r="U81" s="38"/>
      <c r="V81" s="43">
        <f t="shared" si="17"/>
        <v>0</v>
      </c>
      <c r="X81" s="38"/>
      <c r="Y81" s="43">
        <f t="shared" si="18"/>
        <v>0</v>
      </c>
      <c r="AA81" s="38"/>
      <c r="AB81" s="43">
        <f t="shared" si="19"/>
        <v>0</v>
      </c>
      <c r="AD81" s="38"/>
      <c r="AE81" s="43">
        <f t="shared" si="20"/>
        <v>0</v>
      </c>
      <c r="AG81" s="38"/>
      <c r="AH81" s="43">
        <f t="shared" si="21"/>
        <v>0</v>
      </c>
    </row>
    <row r="82" spans="3:34" x14ac:dyDescent="0.25">
      <c r="C82" s="28" t="str">
        <f>'MP Calculations'!D109</f>
        <v>2065-66</v>
      </c>
      <c r="D82" s="43" t="str">
        <f>IF(LEFT($C82,4)*1&lt;LEFT('General inputs'!$I$16,4)+'General inputs'!$H$38,SUM(G82,J82,M82,P82,S82,V82,Y82,AB82,AE82,AH82),"")</f>
        <v/>
      </c>
      <c r="F82" s="38"/>
      <c r="G82" s="185"/>
      <c r="I82" s="38"/>
      <c r="J82" s="185"/>
      <c r="L82" s="186"/>
      <c r="M82" s="43"/>
      <c r="O82" s="38"/>
      <c r="P82" s="43">
        <f t="shared" si="15"/>
        <v>0</v>
      </c>
      <c r="R82" s="38"/>
      <c r="S82" s="43">
        <f t="shared" si="16"/>
        <v>0</v>
      </c>
      <c r="U82" s="38"/>
      <c r="V82" s="43">
        <f t="shared" si="17"/>
        <v>0</v>
      </c>
      <c r="X82" s="38"/>
      <c r="Y82" s="43">
        <f t="shared" si="18"/>
        <v>0</v>
      </c>
      <c r="AA82" s="38"/>
      <c r="AB82" s="43">
        <f t="shared" si="19"/>
        <v>0</v>
      </c>
      <c r="AD82" s="38"/>
      <c r="AE82" s="43">
        <f t="shared" si="20"/>
        <v>0</v>
      </c>
      <c r="AG82" s="38"/>
      <c r="AH82" s="43">
        <f t="shared" si="21"/>
        <v>0</v>
      </c>
    </row>
    <row r="83" spans="3:34" x14ac:dyDescent="0.25">
      <c r="C83" s="28" t="str">
        <f>'MP Calculations'!D110</f>
        <v>2066-67</v>
      </c>
      <c r="D83" s="43" t="str">
        <f>IF(LEFT($C83,4)*1&lt;LEFT('General inputs'!$I$16,4)+'General inputs'!$H$38,SUM(G83,J83,M83,P83,S83,V83,Y83,AB83,AE83,AH83),"")</f>
        <v/>
      </c>
      <c r="F83" s="38"/>
      <c r="G83" s="185"/>
      <c r="I83" s="38"/>
      <c r="J83" s="185"/>
      <c r="L83" s="186"/>
      <c r="M83" s="43"/>
      <c r="O83" s="38"/>
      <c r="P83" s="43">
        <f t="shared" si="15"/>
        <v>0</v>
      </c>
      <c r="R83" s="38"/>
      <c r="S83" s="43">
        <f t="shared" si="16"/>
        <v>0</v>
      </c>
      <c r="U83" s="38"/>
      <c r="V83" s="43">
        <f t="shared" si="17"/>
        <v>0</v>
      </c>
      <c r="X83" s="38"/>
      <c r="Y83" s="43">
        <f t="shared" si="18"/>
        <v>0</v>
      </c>
      <c r="AA83" s="38"/>
      <c r="AB83" s="43">
        <f t="shared" si="19"/>
        <v>0</v>
      </c>
      <c r="AD83" s="38"/>
      <c r="AE83" s="43">
        <f t="shared" si="20"/>
        <v>0</v>
      </c>
      <c r="AG83" s="38"/>
      <c r="AH83" s="43">
        <f t="shared" si="21"/>
        <v>0</v>
      </c>
    </row>
    <row r="84" spans="3:34" x14ac:dyDescent="0.25">
      <c r="C84" s="28" t="str">
        <f>'MP Calculations'!D111</f>
        <v>2067-68</v>
      </c>
      <c r="D84" s="43" t="str">
        <f>IF(LEFT($C84,4)*1&lt;LEFT('General inputs'!$I$16,4)+'General inputs'!$H$38,SUM(G84,J84,M84,P84,S84,V84,Y84,AB84,AE84,AH84),"")</f>
        <v/>
      </c>
      <c r="F84" s="38"/>
      <c r="G84" s="185"/>
      <c r="I84" s="38"/>
      <c r="J84" s="185"/>
      <c r="L84" s="186"/>
      <c r="M84" s="43"/>
      <c r="O84" s="38"/>
      <c r="P84" s="43">
        <f t="shared" si="15"/>
        <v>0</v>
      </c>
      <c r="R84" s="38"/>
      <c r="S84" s="43">
        <f t="shared" si="16"/>
        <v>0</v>
      </c>
      <c r="U84" s="38"/>
      <c r="V84" s="43">
        <f t="shared" si="17"/>
        <v>0</v>
      </c>
      <c r="X84" s="38"/>
      <c r="Y84" s="43">
        <f t="shared" si="18"/>
        <v>0</v>
      </c>
      <c r="AA84" s="38"/>
      <c r="AB84" s="43">
        <f t="shared" si="19"/>
        <v>0</v>
      </c>
      <c r="AD84" s="38"/>
      <c r="AE84" s="43">
        <f t="shared" si="20"/>
        <v>0</v>
      </c>
      <c r="AG84" s="38"/>
      <c r="AH84" s="43">
        <f t="shared" si="21"/>
        <v>0</v>
      </c>
    </row>
    <row r="85" spans="3:34" x14ac:dyDescent="0.25">
      <c r="C85" s="28" t="str">
        <f>'MP Calculations'!D112</f>
        <v>2068-69</v>
      </c>
      <c r="D85" s="43" t="str">
        <f>IF(LEFT($C85,4)*1&lt;LEFT('General inputs'!$I$16,4)+'General inputs'!$H$38,SUM(G85,J85,M85,P85,S85,V85,Y85,AB85,AE85,AH85),"")</f>
        <v/>
      </c>
      <c r="F85" s="38"/>
      <c r="G85" s="185"/>
      <c r="I85" s="38"/>
      <c r="J85" s="185"/>
      <c r="L85" s="186"/>
      <c r="M85" s="43"/>
      <c r="O85" s="38"/>
      <c r="P85" s="43">
        <f t="shared" si="15"/>
        <v>0</v>
      </c>
      <c r="R85" s="38"/>
      <c r="S85" s="43">
        <f t="shared" si="16"/>
        <v>0</v>
      </c>
      <c r="U85" s="38"/>
      <c r="V85" s="43">
        <f t="shared" si="17"/>
        <v>0</v>
      </c>
      <c r="X85" s="38"/>
      <c r="Y85" s="43">
        <f t="shared" si="18"/>
        <v>0</v>
      </c>
      <c r="AA85" s="38"/>
      <c r="AB85" s="43">
        <f t="shared" si="19"/>
        <v>0</v>
      </c>
      <c r="AD85" s="38"/>
      <c r="AE85" s="43">
        <f t="shared" si="20"/>
        <v>0</v>
      </c>
      <c r="AG85" s="38"/>
      <c r="AH85" s="43">
        <f t="shared" si="21"/>
        <v>0</v>
      </c>
    </row>
    <row r="86" spans="3:34" x14ac:dyDescent="0.25">
      <c r="C86" s="28" t="str">
        <f>'MP Calculations'!D113</f>
        <v>2069-70</v>
      </c>
      <c r="D86" s="43" t="str">
        <f>IF(LEFT($C86,4)*1&lt;LEFT('General inputs'!$I$16,4)+'General inputs'!$H$38,SUM(G86,J86,M86,P86,S86,V86,Y86,AB86,AE86,AH86),"")</f>
        <v/>
      </c>
      <c r="F86" s="38"/>
      <c r="G86" s="185"/>
      <c r="I86" s="38"/>
      <c r="J86" s="185"/>
      <c r="L86" s="186"/>
      <c r="M86" s="43"/>
      <c r="O86" s="38"/>
      <c r="P86" s="43">
        <f t="shared" si="15"/>
        <v>0</v>
      </c>
      <c r="R86" s="38"/>
      <c r="S86" s="43">
        <f t="shared" si="16"/>
        <v>0</v>
      </c>
      <c r="U86" s="38"/>
      <c r="V86" s="43">
        <f t="shared" si="17"/>
        <v>0</v>
      </c>
      <c r="X86" s="38"/>
      <c r="Y86" s="43">
        <f t="shared" si="18"/>
        <v>0</v>
      </c>
      <c r="AA86" s="38"/>
      <c r="AB86" s="43">
        <f t="shared" si="19"/>
        <v>0</v>
      </c>
      <c r="AD86" s="38"/>
      <c r="AE86" s="43">
        <f t="shared" si="20"/>
        <v>0</v>
      </c>
      <c r="AG86" s="38"/>
      <c r="AH86" s="43">
        <f t="shared" si="21"/>
        <v>0</v>
      </c>
    </row>
    <row r="87" spans="3:34" x14ac:dyDescent="0.25">
      <c r="C87" s="28" t="str">
        <f>'MP Calculations'!D114</f>
        <v>2070-71</v>
      </c>
      <c r="D87" s="43" t="str">
        <f>IF(LEFT($C87,4)*1&lt;LEFT('General inputs'!$I$16,4)+'General inputs'!$H$38,SUM(G87,J87,M87,P87,S87,V87,Y87,AB87,AE87,AH87),"")</f>
        <v/>
      </c>
      <c r="F87" s="38"/>
      <c r="G87" s="185"/>
      <c r="I87" s="38"/>
      <c r="J87" s="185"/>
      <c r="L87" s="186"/>
      <c r="M87" s="43"/>
      <c r="O87" s="38"/>
      <c r="P87" s="43">
        <f t="shared" si="15"/>
        <v>0</v>
      </c>
      <c r="R87" s="38"/>
      <c r="S87" s="43">
        <f t="shared" si="16"/>
        <v>0</v>
      </c>
      <c r="U87" s="38"/>
      <c r="V87" s="43">
        <f t="shared" si="17"/>
        <v>0</v>
      </c>
      <c r="X87" s="38"/>
      <c r="Y87" s="43">
        <f t="shared" si="18"/>
        <v>0</v>
      </c>
      <c r="AA87" s="38"/>
      <c r="AB87" s="43">
        <f t="shared" si="19"/>
        <v>0</v>
      </c>
      <c r="AD87" s="38"/>
      <c r="AE87" s="43">
        <f t="shared" si="20"/>
        <v>0</v>
      </c>
      <c r="AG87" s="38"/>
      <c r="AH87" s="43">
        <f t="shared" si="21"/>
        <v>0</v>
      </c>
    </row>
    <row r="88" spans="3:34" x14ac:dyDescent="0.25">
      <c r="C88" s="28" t="str">
        <f>'MP Calculations'!D115</f>
        <v>2071-72</v>
      </c>
      <c r="D88" s="43" t="str">
        <f>IF(LEFT($C88,4)*1&lt;LEFT('General inputs'!$I$16,4)+'General inputs'!$H$38,SUM(G88,J88,M88,P88,S88,V88,Y88,AB88,AE88,AH88),"")</f>
        <v/>
      </c>
      <c r="F88" s="38"/>
      <c r="G88" s="185"/>
      <c r="I88" s="38"/>
      <c r="J88" s="185"/>
      <c r="L88" s="186"/>
      <c r="M88" s="43"/>
      <c r="O88" s="38"/>
      <c r="P88" s="43">
        <f t="shared" si="15"/>
        <v>0</v>
      </c>
      <c r="R88" s="38"/>
      <c r="S88" s="43">
        <f t="shared" si="16"/>
        <v>0</v>
      </c>
      <c r="U88" s="38"/>
      <c r="V88" s="43">
        <f t="shared" si="17"/>
        <v>0</v>
      </c>
      <c r="X88" s="38"/>
      <c r="Y88" s="43">
        <f t="shared" si="18"/>
        <v>0</v>
      </c>
      <c r="AA88" s="38"/>
      <c r="AB88" s="43">
        <f t="shared" si="19"/>
        <v>0</v>
      </c>
      <c r="AD88" s="38"/>
      <c r="AE88" s="43">
        <f t="shared" si="20"/>
        <v>0</v>
      </c>
      <c r="AG88" s="38"/>
      <c r="AH88" s="43">
        <f t="shared" si="21"/>
        <v>0</v>
      </c>
    </row>
    <row r="89" spans="3:34" x14ac:dyDescent="0.25">
      <c r="C89" s="28" t="str">
        <f>'MP Calculations'!D116</f>
        <v>2072-73</v>
      </c>
      <c r="D89" s="43" t="str">
        <f>IF(LEFT($C89,4)*1&lt;LEFT('General inputs'!$I$16,4)+'General inputs'!$H$38,SUM(G89,J89,M89,P89,S89,V89,Y89,AB89,AE89,AH89),"")</f>
        <v/>
      </c>
      <c r="F89" s="38"/>
      <c r="G89" s="185"/>
      <c r="I89" s="38"/>
      <c r="J89" s="185"/>
      <c r="L89" s="186"/>
      <c r="M89" s="43"/>
      <c r="O89" s="38"/>
      <c r="P89" s="43">
        <f t="shared" si="15"/>
        <v>0</v>
      </c>
      <c r="R89" s="38"/>
      <c r="S89" s="43">
        <f t="shared" si="16"/>
        <v>0</v>
      </c>
      <c r="U89" s="38"/>
      <c r="V89" s="43">
        <f t="shared" si="17"/>
        <v>0</v>
      </c>
      <c r="X89" s="38"/>
      <c r="Y89" s="43">
        <f t="shared" si="18"/>
        <v>0</v>
      </c>
      <c r="AA89" s="38"/>
      <c r="AB89" s="43">
        <f t="shared" si="19"/>
        <v>0</v>
      </c>
      <c r="AD89" s="38"/>
      <c r="AE89" s="43">
        <f t="shared" si="20"/>
        <v>0</v>
      </c>
      <c r="AG89" s="38"/>
      <c r="AH89" s="43">
        <f t="shared" si="21"/>
        <v>0</v>
      </c>
    </row>
    <row r="90" spans="3:34" x14ac:dyDescent="0.25">
      <c r="C90" s="28" t="str">
        <f>'MP Calculations'!D117</f>
        <v>2073-74</v>
      </c>
      <c r="D90" s="43" t="str">
        <f>IF(LEFT($C90,4)*1&lt;LEFT('General inputs'!$I$16,4)+'General inputs'!$H$38,SUM(G90,J90,M90,P90,S90,V90,Y90,AB90,AE90,AH90),"")</f>
        <v/>
      </c>
      <c r="F90" s="38"/>
      <c r="G90" s="185"/>
      <c r="I90" s="38"/>
      <c r="J90" s="185"/>
      <c r="L90" s="186"/>
      <c r="M90" s="43"/>
      <c r="O90" s="38"/>
      <c r="P90" s="43">
        <f t="shared" si="15"/>
        <v>0</v>
      </c>
      <c r="R90" s="38"/>
      <c r="S90" s="43">
        <f t="shared" si="16"/>
        <v>0</v>
      </c>
      <c r="U90" s="38"/>
      <c r="V90" s="43">
        <f t="shared" si="17"/>
        <v>0</v>
      </c>
      <c r="X90" s="38"/>
      <c r="Y90" s="43">
        <f t="shared" si="18"/>
        <v>0</v>
      </c>
      <c r="AA90" s="38"/>
      <c r="AB90" s="43">
        <f t="shared" si="19"/>
        <v>0</v>
      </c>
      <c r="AD90" s="38"/>
      <c r="AE90" s="43">
        <f t="shared" si="20"/>
        <v>0</v>
      </c>
      <c r="AG90" s="38"/>
      <c r="AH90" s="43">
        <f t="shared" si="21"/>
        <v>0</v>
      </c>
    </row>
    <row r="91" spans="3:34" x14ac:dyDescent="0.25">
      <c r="C91" s="28" t="str">
        <f>'MP Calculations'!D118</f>
        <v>2074-75</v>
      </c>
      <c r="D91" s="43" t="str">
        <f>IF(LEFT($C91,4)*1&lt;LEFT('General inputs'!$I$16,4)+'General inputs'!$H$38,SUM(G91,J91,M91,P91,S91,V91,Y91,AB91,AE91,AH91),"")</f>
        <v/>
      </c>
      <c r="F91" s="38"/>
      <c r="G91" s="185"/>
      <c r="I91" s="38"/>
      <c r="J91" s="185"/>
      <c r="L91" s="186"/>
      <c r="M91" s="43"/>
      <c r="O91" s="38"/>
      <c r="P91" s="43">
        <f t="shared" si="15"/>
        <v>0</v>
      </c>
      <c r="R91" s="38"/>
      <c r="S91" s="43">
        <f t="shared" si="16"/>
        <v>0</v>
      </c>
      <c r="U91" s="38"/>
      <c r="V91" s="43">
        <f t="shared" si="17"/>
        <v>0</v>
      </c>
      <c r="X91" s="38"/>
      <c r="Y91" s="43">
        <f t="shared" si="18"/>
        <v>0</v>
      </c>
      <c r="AA91" s="38"/>
      <c r="AB91" s="43">
        <f t="shared" si="19"/>
        <v>0</v>
      </c>
      <c r="AD91" s="38"/>
      <c r="AE91" s="43">
        <f t="shared" si="20"/>
        <v>0</v>
      </c>
      <c r="AG91" s="38"/>
      <c r="AH91" s="43">
        <f t="shared" si="21"/>
        <v>0</v>
      </c>
    </row>
    <row r="92" spans="3:34" x14ac:dyDescent="0.25">
      <c r="C92" s="28" t="str">
        <f>'MP Calculations'!D119</f>
        <v>2075-76</v>
      </c>
      <c r="D92" s="43" t="str">
        <f>IF(LEFT($C92,4)*1&lt;LEFT('General inputs'!$I$16,4)+'General inputs'!$H$38,SUM(G92,J92,M92,P92,S92,V92,Y92,AB92,AE92,AH92),"")</f>
        <v/>
      </c>
      <c r="F92" s="38"/>
      <c r="G92" s="185"/>
      <c r="I92" s="38"/>
      <c r="J92" s="185"/>
      <c r="L92" s="186"/>
      <c r="M92" s="43"/>
      <c r="O92" s="38"/>
      <c r="P92" s="43">
        <f t="shared" si="15"/>
        <v>0</v>
      </c>
      <c r="R92" s="38"/>
      <c r="S92" s="43">
        <f t="shared" si="16"/>
        <v>0</v>
      </c>
      <c r="U92" s="38"/>
      <c r="V92" s="43">
        <f t="shared" si="17"/>
        <v>0</v>
      </c>
      <c r="X92" s="38"/>
      <c r="Y92" s="43">
        <f t="shared" si="18"/>
        <v>0</v>
      </c>
      <c r="AA92" s="38"/>
      <c r="AB92" s="43">
        <f t="shared" si="19"/>
        <v>0</v>
      </c>
      <c r="AD92" s="38"/>
      <c r="AE92" s="43">
        <f t="shared" si="20"/>
        <v>0</v>
      </c>
      <c r="AG92" s="38"/>
      <c r="AH92" s="43">
        <f t="shared" si="21"/>
        <v>0</v>
      </c>
    </row>
    <row r="93" spans="3:34" x14ac:dyDescent="0.25">
      <c r="C93" s="28" t="str">
        <f>'MP Calculations'!D120</f>
        <v>2076-77</v>
      </c>
      <c r="D93" s="43" t="str">
        <f>IF(LEFT($C93,4)*1&lt;LEFT('General inputs'!$I$16,4)+'General inputs'!$H$38,SUM(G93,J93,M93,P93,S93,V93,Y93,AB93,AE93,AH93),"")</f>
        <v/>
      </c>
      <c r="F93" s="38"/>
      <c r="G93" s="185"/>
      <c r="I93" s="38"/>
      <c r="J93" s="185"/>
      <c r="L93" s="186"/>
      <c r="M93" s="43"/>
      <c r="O93" s="38"/>
      <c r="P93" s="43">
        <f t="shared" si="15"/>
        <v>0</v>
      </c>
      <c r="R93" s="38"/>
      <c r="S93" s="43">
        <f t="shared" si="16"/>
        <v>0</v>
      </c>
      <c r="U93" s="38"/>
      <c r="V93" s="43">
        <f t="shared" si="17"/>
        <v>0</v>
      </c>
      <c r="X93" s="38"/>
      <c r="Y93" s="43">
        <f t="shared" si="18"/>
        <v>0</v>
      </c>
      <c r="AA93" s="38"/>
      <c r="AB93" s="43">
        <f t="shared" si="19"/>
        <v>0</v>
      </c>
      <c r="AD93" s="38"/>
      <c r="AE93" s="43">
        <f t="shared" si="20"/>
        <v>0</v>
      </c>
      <c r="AG93" s="38"/>
      <c r="AH93" s="43">
        <f t="shared" si="21"/>
        <v>0</v>
      </c>
    </row>
    <row r="94" spans="3:34" x14ac:dyDescent="0.25">
      <c r="C94" s="28" t="str">
        <f>'MP Calculations'!D121</f>
        <v>2077-78</v>
      </c>
      <c r="D94" s="43" t="str">
        <f>IF(LEFT($C94,4)*1&lt;LEFT('General inputs'!$I$16,4)+'General inputs'!$H$38,SUM(G94,J94,M94,P94,S94,V94,Y94,AB94,AE94,AH94),"")</f>
        <v/>
      </c>
      <c r="F94" s="38"/>
      <c r="G94" s="185"/>
      <c r="I94" s="38"/>
      <c r="J94" s="185"/>
      <c r="L94" s="186"/>
      <c r="M94" s="43"/>
      <c r="O94" s="38"/>
      <c r="P94" s="43">
        <f t="shared" si="15"/>
        <v>0</v>
      </c>
      <c r="R94" s="38"/>
      <c r="S94" s="43">
        <f t="shared" si="16"/>
        <v>0</v>
      </c>
      <c r="U94" s="38"/>
      <c r="V94" s="43">
        <f t="shared" si="17"/>
        <v>0</v>
      </c>
      <c r="X94" s="38"/>
      <c r="Y94" s="43">
        <f t="shared" si="18"/>
        <v>0</v>
      </c>
      <c r="AA94" s="38"/>
      <c r="AB94" s="43">
        <f t="shared" si="19"/>
        <v>0</v>
      </c>
      <c r="AD94" s="38"/>
      <c r="AE94" s="43">
        <f t="shared" si="20"/>
        <v>0</v>
      </c>
      <c r="AG94" s="38"/>
      <c r="AH94" s="43">
        <f t="shared" si="21"/>
        <v>0</v>
      </c>
    </row>
    <row r="95" spans="3:34" x14ac:dyDescent="0.25">
      <c r="C95" s="28" t="str">
        <f>'MP Calculations'!D122</f>
        <v>2078-79</v>
      </c>
      <c r="D95" s="43" t="str">
        <f>IF(LEFT($C95,4)*1&lt;LEFT('General inputs'!$I$16,4)+'General inputs'!$H$38,SUM(G95,J95,M95,P95,S95,V95,Y95,AB95,AE95,AH95),"")</f>
        <v/>
      </c>
      <c r="F95" s="38"/>
      <c r="G95" s="185"/>
      <c r="I95" s="38"/>
      <c r="J95" s="185"/>
      <c r="L95" s="186"/>
      <c r="M95" s="43"/>
      <c r="O95" s="38"/>
      <c r="P95" s="43">
        <f t="shared" si="15"/>
        <v>0</v>
      </c>
      <c r="R95" s="38"/>
      <c r="S95" s="43">
        <f t="shared" si="16"/>
        <v>0</v>
      </c>
      <c r="U95" s="38"/>
      <c r="V95" s="43">
        <f t="shared" si="17"/>
        <v>0</v>
      </c>
      <c r="X95" s="38"/>
      <c r="Y95" s="43">
        <f t="shared" si="18"/>
        <v>0</v>
      </c>
      <c r="AA95" s="38"/>
      <c r="AB95" s="43">
        <f t="shared" si="19"/>
        <v>0</v>
      </c>
      <c r="AD95" s="38"/>
      <c r="AE95" s="43">
        <f t="shared" si="20"/>
        <v>0</v>
      </c>
      <c r="AG95" s="38"/>
      <c r="AH95" s="43">
        <f t="shared" si="21"/>
        <v>0</v>
      </c>
    </row>
    <row r="96" spans="3:34" x14ac:dyDescent="0.25">
      <c r="C96" s="28" t="str">
        <f>'MP Calculations'!D123</f>
        <v>2079-80</v>
      </c>
      <c r="D96" s="43" t="str">
        <f>IF(LEFT($C96,4)*1&lt;LEFT('General inputs'!$I$16,4)+'General inputs'!$H$38,SUM(G96,J96,M96,P96,S96,V96,Y96,AB96,AE96,AH96),"")</f>
        <v/>
      </c>
      <c r="F96" s="38"/>
      <c r="G96" s="185"/>
      <c r="I96" s="38"/>
      <c r="J96" s="185"/>
      <c r="L96" s="186"/>
      <c r="M96" s="43"/>
      <c r="O96" s="38"/>
      <c r="P96" s="43">
        <f t="shared" si="15"/>
        <v>0</v>
      </c>
      <c r="R96" s="38"/>
      <c r="S96" s="43">
        <f t="shared" si="16"/>
        <v>0</v>
      </c>
      <c r="U96" s="38"/>
      <c r="V96" s="43">
        <f t="shared" si="17"/>
        <v>0</v>
      </c>
      <c r="X96" s="38"/>
      <c r="Y96" s="43">
        <f t="shared" si="18"/>
        <v>0</v>
      </c>
      <c r="AA96" s="38"/>
      <c r="AB96" s="43">
        <f t="shared" si="19"/>
        <v>0</v>
      </c>
      <c r="AD96" s="38"/>
      <c r="AE96" s="43">
        <f t="shared" si="20"/>
        <v>0</v>
      </c>
      <c r="AG96" s="38"/>
      <c r="AH96" s="43">
        <f t="shared" si="21"/>
        <v>0</v>
      </c>
    </row>
    <row r="97" spans="3:34" x14ac:dyDescent="0.25">
      <c r="C97" s="28" t="str">
        <f>'MP Calculations'!D124</f>
        <v>2080-81</v>
      </c>
      <c r="D97" s="43" t="str">
        <f>IF(LEFT($C97,4)*1&lt;LEFT('General inputs'!$I$16,4)+'General inputs'!$H$38,SUM(G97,J97,M97,P97,S97,V97,Y97,AB97,AE97,AH97),"")</f>
        <v/>
      </c>
      <c r="F97" s="38"/>
      <c r="G97" s="185"/>
      <c r="I97" s="38"/>
      <c r="J97" s="185"/>
      <c r="L97" s="186"/>
      <c r="M97" s="43"/>
      <c r="O97" s="38"/>
      <c r="P97" s="43">
        <f t="shared" si="15"/>
        <v>0</v>
      </c>
      <c r="R97" s="38"/>
      <c r="S97" s="43">
        <f t="shared" si="16"/>
        <v>0</v>
      </c>
      <c r="U97" s="38"/>
      <c r="V97" s="43">
        <f t="shared" si="17"/>
        <v>0</v>
      </c>
      <c r="X97" s="38"/>
      <c r="Y97" s="43">
        <f t="shared" si="18"/>
        <v>0</v>
      </c>
      <c r="AA97" s="38"/>
      <c r="AB97" s="43">
        <f t="shared" si="19"/>
        <v>0</v>
      </c>
      <c r="AD97" s="38"/>
      <c r="AE97" s="43">
        <f t="shared" si="20"/>
        <v>0</v>
      </c>
      <c r="AG97" s="38"/>
      <c r="AH97" s="43">
        <f t="shared" si="21"/>
        <v>0</v>
      </c>
    </row>
    <row r="98" spans="3:34" x14ac:dyDescent="0.25">
      <c r="C98" s="28" t="str">
        <f>'MP Calculations'!D125</f>
        <v>2081-82</v>
      </c>
      <c r="D98" s="43" t="str">
        <f>IF(LEFT($C98,4)*1&lt;LEFT('General inputs'!$I$16,4)+'General inputs'!$H$38,SUM(G98,J98,M98,P98,S98,V98,Y98,AB98,AE98,AH98),"")</f>
        <v/>
      </c>
      <c r="F98" s="38"/>
      <c r="G98" s="185"/>
      <c r="I98" s="38"/>
      <c r="J98" s="185"/>
      <c r="L98" s="186"/>
      <c r="M98" s="43"/>
      <c r="O98" s="38"/>
      <c r="P98" s="43">
        <f t="shared" si="15"/>
        <v>0</v>
      </c>
      <c r="R98" s="38"/>
      <c r="S98" s="43">
        <f t="shared" si="16"/>
        <v>0</v>
      </c>
      <c r="U98" s="38"/>
      <c r="V98" s="43">
        <f t="shared" si="17"/>
        <v>0</v>
      </c>
      <c r="X98" s="38"/>
      <c r="Y98" s="43">
        <f t="shared" si="18"/>
        <v>0</v>
      </c>
      <c r="AA98" s="38"/>
      <c r="AB98" s="43">
        <f t="shared" si="19"/>
        <v>0</v>
      </c>
      <c r="AD98" s="38"/>
      <c r="AE98" s="43">
        <f t="shared" si="20"/>
        <v>0</v>
      </c>
      <c r="AG98" s="38"/>
      <c r="AH98" s="43">
        <f t="shared" si="21"/>
        <v>0</v>
      </c>
    </row>
    <row r="99" spans="3:34" x14ac:dyDescent="0.25">
      <c r="C99" s="28" t="str">
        <f>'MP Calculations'!D126</f>
        <v>2082-83</v>
      </c>
      <c r="D99" s="43" t="str">
        <f>IF(LEFT($C99,4)*1&lt;LEFT('General inputs'!$I$16,4)+'General inputs'!$H$38,SUM(G99,J99,M99,P99,S99,V99,Y99,AB99,AE99,AH99),"")</f>
        <v/>
      </c>
      <c r="F99" s="38"/>
      <c r="G99" s="185"/>
      <c r="I99" s="38"/>
      <c r="J99" s="185"/>
      <c r="L99" s="186"/>
      <c r="M99" s="43"/>
      <c r="O99" s="38"/>
      <c r="P99" s="43">
        <f t="shared" si="15"/>
        <v>0</v>
      </c>
      <c r="R99" s="38"/>
      <c r="S99" s="43">
        <f t="shared" si="16"/>
        <v>0</v>
      </c>
      <c r="U99" s="38"/>
      <c r="V99" s="43">
        <f t="shared" si="17"/>
        <v>0</v>
      </c>
      <c r="X99" s="38"/>
      <c r="Y99" s="43">
        <f t="shared" si="18"/>
        <v>0</v>
      </c>
      <c r="AA99" s="38"/>
      <c r="AB99" s="43">
        <f t="shared" si="19"/>
        <v>0</v>
      </c>
      <c r="AD99" s="38"/>
      <c r="AE99" s="43">
        <f t="shared" si="20"/>
        <v>0</v>
      </c>
      <c r="AG99" s="38"/>
      <c r="AH99" s="43">
        <f t="shared" si="21"/>
        <v>0</v>
      </c>
    </row>
    <row r="100" spans="3:34" x14ac:dyDescent="0.25">
      <c r="C100" s="28" t="str">
        <f>'MP Calculations'!D127</f>
        <v>2083-84</v>
      </c>
      <c r="D100" s="43" t="str">
        <f>IF(LEFT($C100,4)*1&lt;LEFT('General inputs'!$I$16,4)+'General inputs'!$H$38,SUM(G100,J100,M100,P100,S100,V100,Y100,AB100,AE100,AH100),"")</f>
        <v/>
      </c>
      <c r="F100" s="38"/>
      <c r="G100" s="185"/>
      <c r="I100" s="38"/>
      <c r="J100" s="185"/>
      <c r="L100" s="186"/>
      <c r="M100" s="43"/>
      <c r="O100" s="38"/>
      <c r="P100" s="43">
        <f t="shared" si="15"/>
        <v>0</v>
      </c>
      <c r="R100" s="38"/>
      <c r="S100" s="43">
        <f t="shared" si="16"/>
        <v>0</v>
      </c>
      <c r="U100" s="38"/>
      <c r="V100" s="43">
        <f t="shared" si="17"/>
        <v>0</v>
      </c>
      <c r="X100" s="38"/>
      <c r="Y100" s="43">
        <f t="shared" si="18"/>
        <v>0</v>
      </c>
      <c r="AA100" s="38"/>
      <c r="AB100" s="43">
        <f t="shared" si="19"/>
        <v>0</v>
      </c>
      <c r="AD100" s="38"/>
      <c r="AE100" s="43">
        <f t="shared" si="20"/>
        <v>0</v>
      </c>
      <c r="AG100" s="38"/>
      <c r="AH100" s="43">
        <f t="shared" si="21"/>
        <v>0</v>
      </c>
    </row>
    <row r="101" spans="3:34" x14ac:dyDescent="0.25">
      <c r="C101" s="28" t="str">
        <f>'MP Calculations'!D128</f>
        <v>2084-85</v>
      </c>
      <c r="D101" s="43" t="str">
        <f>IF(LEFT($C101,4)*1&lt;LEFT('General inputs'!$I$16,4)+'General inputs'!$H$38,SUM(G101,J101,M101,P101,S101,V101,Y101,AB101,AE101,AH101),"")</f>
        <v/>
      </c>
      <c r="F101" s="38"/>
      <c r="G101" s="185"/>
      <c r="I101" s="38"/>
      <c r="J101" s="185"/>
      <c r="L101" s="186"/>
      <c r="M101" s="43"/>
      <c r="O101" s="38"/>
      <c r="P101" s="43">
        <f t="shared" si="15"/>
        <v>0</v>
      </c>
      <c r="R101" s="38"/>
      <c r="S101" s="43">
        <f t="shared" si="16"/>
        <v>0</v>
      </c>
      <c r="U101" s="38"/>
      <c r="V101" s="43">
        <f t="shared" si="17"/>
        <v>0</v>
      </c>
      <c r="X101" s="38"/>
      <c r="Y101" s="43">
        <f t="shared" si="18"/>
        <v>0</v>
      </c>
      <c r="AA101" s="38"/>
      <c r="AB101" s="43">
        <f t="shared" si="19"/>
        <v>0</v>
      </c>
      <c r="AD101" s="38"/>
      <c r="AE101" s="43">
        <f t="shared" si="20"/>
        <v>0</v>
      </c>
      <c r="AG101" s="38"/>
      <c r="AH101" s="43">
        <f t="shared" si="21"/>
        <v>0</v>
      </c>
    </row>
    <row r="102" spans="3:34" x14ac:dyDescent="0.25">
      <c r="C102" s="28" t="str">
        <f>'MP Calculations'!D129</f>
        <v>2085-86</v>
      </c>
      <c r="D102" s="43" t="str">
        <f>IF(LEFT($C102,4)*1&lt;LEFT('General inputs'!$I$16,4)+'General inputs'!$H$38,SUM(G102,J102,M102,P102,S102,V102,Y102,AB102,AE102,AH102),"")</f>
        <v/>
      </c>
      <c r="F102" s="38"/>
      <c r="G102" s="185"/>
      <c r="I102" s="38"/>
      <c r="J102" s="185"/>
      <c r="L102" s="186"/>
      <c r="M102" s="43"/>
      <c r="O102" s="38"/>
      <c r="P102" s="43">
        <f t="shared" si="15"/>
        <v>0</v>
      </c>
      <c r="R102" s="38"/>
      <c r="S102" s="43">
        <f t="shared" si="16"/>
        <v>0</v>
      </c>
      <c r="U102" s="38"/>
      <c r="V102" s="43">
        <f t="shared" si="17"/>
        <v>0</v>
      </c>
      <c r="X102" s="38"/>
      <c r="Y102" s="43">
        <f t="shared" si="18"/>
        <v>0</v>
      </c>
      <c r="AA102" s="38"/>
      <c r="AB102" s="43">
        <f t="shared" si="19"/>
        <v>0</v>
      </c>
      <c r="AD102" s="38"/>
      <c r="AE102" s="43">
        <f t="shared" si="20"/>
        <v>0</v>
      </c>
      <c r="AG102" s="38"/>
      <c r="AH102" s="43">
        <f t="shared" si="21"/>
        <v>0</v>
      </c>
    </row>
    <row r="103" spans="3:34" x14ac:dyDescent="0.25">
      <c r="D103" s="44"/>
      <c r="F103" s="44"/>
      <c r="G103" s="44"/>
      <c r="I103" s="44"/>
      <c r="J103" s="44"/>
      <c r="L103" s="55"/>
      <c r="M103" s="44"/>
      <c r="O103" s="44"/>
      <c r="P103" s="44"/>
      <c r="R103" s="44"/>
      <c r="S103" s="44"/>
      <c r="U103" s="44"/>
      <c r="V103" s="44"/>
      <c r="X103" s="44"/>
      <c r="Y103" s="44"/>
      <c r="AA103" s="44"/>
      <c r="AB103" s="44"/>
      <c r="AD103" s="44"/>
      <c r="AE103" s="44"/>
      <c r="AG103" s="44"/>
      <c r="AH103" s="44"/>
    </row>
  </sheetData>
  <mergeCells count="8">
    <mergeCell ref="AD8:AE8"/>
    <mergeCell ref="AG8:AH8"/>
    <mergeCell ref="L8:M8"/>
    <mergeCell ref="O8:P8"/>
    <mergeCell ref="R8:S8"/>
    <mergeCell ref="U8:V8"/>
    <mergeCell ref="X8:Y8"/>
    <mergeCell ref="AA8:AB8"/>
  </mergeCells>
  <dataValidations count="1">
    <dataValidation type="list" allowBlank="1" showInputMessage="1" showErrorMessage="1" sqref="O9 R9 U9 X9 AA9 AD9 AG9 L9" xr:uid="{00000000-0002-0000-0800-000000000000}">
      <formula1>$AJ$12:$AJ$19</formula1>
    </dataValidation>
  </dataValidations>
  <pageMargins left="0.7" right="0.7" top="0.75" bottom="0.75" header="0.3" footer="0.3"/>
  <pageSetup paperSize="9" orientation="portrait" horizontalDpi="200" verticalDpi="20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60" id="{9AED8FE6-1E3F-40FA-BC8D-6814ADDD04B9}">
            <xm:f>LEFT($C69,4)*1&gt;LEFT('General inputs'!$I$16,4)+'General inputs'!$H$38-1</xm:f>
            <x14:dxf>
              <fill>
                <patternFill>
                  <bgColor rgb="FFDDDDDD"/>
                </patternFill>
              </fill>
            </x14:dxf>
          </x14:cfRule>
          <xm:sqref>D69:D102</xm:sqref>
        </x14:conditionalFormatting>
        <x14:conditionalFormatting xmlns:xm="http://schemas.microsoft.com/office/excel/2006/main">
          <x14:cfRule type="expression" priority="49" id="{95E9D61C-41DD-450B-B9C3-0D029F26CA69}">
            <xm:f>LEFT($C12,4)*1&gt;LEFT('General inputs'!$I$16,4)*1+'General inputs'!$H$38-1</xm:f>
            <x14:dxf>
              <fill>
                <patternFill>
                  <bgColor rgb="FFDDDDDD"/>
                </patternFill>
              </fill>
            </x14:dxf>
          </x14:cfRule>
          <xm:sqref>F12:F102 I12:I102 L12:L102 O12:O102 R12:R102 U12:U102 X12:X102 AA12:AA102 AD12:AD102 AG12:AG102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7dbf6c8-2d13-4cc8-b9cc-158f7eeca08b">
      <Terms xmlns="http://schemas.microsoft.com/office/infopath/2007/PartnerControls"/>
    </lcf76f155ced4ddcb4097134ff3c332f>
    <TaxCatchAll xmlns="adaf1f68-63ae-4574-8325-2993fa162e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F227C087376F544BCF146733A4D3C15" ma:contentTypeVersion="13" ma:contentTypeDescription="Create a new document." ma:contentTypeScope="" ma:versionID="4a5daac12f2786c72c4ed817587f2975">
  <xsd:schema xmlns:xsd="http://www.w3.org/2001/XMLSchema" xmlns:xs="http://www.w3.org/2001/XMLSchema" xmlns:p="http://schemas.microsoft.com/office/2006/metadata/properties" xmlns:ns2="37dbf6c8-2d13-4cc8-b9cc-158f7eeca08b" xmlns:ns3="adaf1f68-63ae-4574-8325-2993fa162e81" targetNamespace="http://schemas.microsoft.com/office/2006/metadata/properties" ma:root="true" ma:fieldsID="0ea82f889cdaacf919345218f0512068" ns2:_="" ns3:_="">
    <xsd:import namespace="37dbf6c8-2d13-4cc8-b9cc-158f7eeca08b"/>
    <xsd:import namespace="adaf1f68-63ae-4574-8325-2993fa162e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dbf6c8-2d13-4cc8-b9cc-158f7eec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9e01b71-7c18-4006-bfa5-456d3a880d6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af1f68-63ae-4574-8325-2993fa162e8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46b6394-ac87-40e3-9345-b5559cd1061e}" ma:internalName="TaxCatchAll" ma:showField="CatchAllData" ma:web="adaf1f68-63ae-4574-8325-2993fa162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92686B-109C-4C2E-9EB9-58A7DA8EFFF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daf1f68-63ae-4574-8325-2993fa162e81"/>
    <ds:schemaRef ds:uri="37dbf6c8-2d13-4cc8-b9cc-158f7eeca08b"/>
    <ds:schemaRef ds:uri="http://www.w3.org/XML/1998/namespace"/>
    <ds:schemaRef ds:uri="http://purl.org/dc/dcmitype/"/>
  </ds:schemaRefs>
</ds:datastoreItem>
</file>

<file path=customXml/itemProps2.xml><?xml version="1.0" encoding="utf-8"?>
<ds:datastoreItem xmlns:ds="http://schemas.openxmlformats.org/officeDocument/2006/customXml" ds:itemID="{2FD8D81A-D3E2-4807-8564-70B228CBE0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dbf6c8-2d13-4cc8-b9cc-158f7eeca08b"/>
    <ds:schemaRef ds:uri="adaf1f68-63ae-4574-8325-2993fa162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324545-89A4-45ED-9194-47AEDC4BF9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Cover</vt:lpstr>
      <vt:lpstr>Journal of changes</vt:lpstr>
      <vt:lpstr>Summary of result</vt:lpstr>
      <vt:lpstr>MP Calculations</vt:lpstr>
      <vt:lpstr>General inputs</vt:lpstr>
      <vt:lpstr>Pre-1996 assets</vt:lpstr>
      <vt:lpstr>Post-1996 commissioned assets</vt:lpstr>
      <vt:lpstr>Uncommissioned assets</vt:lpstr>
      <vt:lpstr>ET inputs</vt:lpstr>
      <vt:lpstr>Reduction amount</vt:lpstr>
      <vt:lpstr>Headwork assets</vt:lpstr>
      <vt:lpstr>Scheme cost allocation</vt:lpstr>
      <vt:lpstr>Asset exclusions</vt:lpstr>
      <vt:lpstr>Cover!Print_Area</vt:lpstr>
    </vt:vector>
  </TitlesOfParts>
  <Manager/>
  <Company>IPART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 McLennan</dc:creator>
  <cp:keywords/>
  <dc:description/>
  <cp:lastModifiedBy>Maria Tortura</cp:lastModifiedBy>
  <cp:revision/>
  <dcterms:created xsi:type="dcterms:W3CDTF">2014-05-19T07:21:06Z</dcterms:created>
  <dcterms:modified xsi:type="dcterms:W3CDTF">2023-12-01T00:01:41Z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0x0101001F227C087376F544BCF146733A4D3C15</vt:lpwstr>
  </property>
  <property fmtid="{D5CDD505-2E9C-101B-9397-08002B2CF9AE}" pid="3" name="MediaServiceImageTags">
    <vt:lpwstr/>
  </property>
</Properties>
</file>